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alcaldia\A CONTRATOS 2025\INFRAESTRUCTURA\CONVENIO SOLIDARIO SAN JOSE DE LA PROVIDENCIA CALLE 22 SUR\"/>
    </mc:Choice>
  </mc:AlternateContent>
  <xr:revisionPtr revIDLastSave="0" documentId="8_{B421A84F-F1C7-412A-8989-D3BC5AEECEBE}" xr6:coauthVersionLast="47" xr6:coauthVersionMax="47" xr10:uidLastSave="{00000000-0000-0000-0000-000000000000}"/>
  <bookViews>
    <workbookView xWindow="-120" yWindow="-120" windowWidth="29040" windowHeight="15840" activeTab="2" xr2:uid="{19072699-F690-4560-AF5D-8DC4D300C43C}"/>
  </bookViews>
  <sheets>
    <sheet name="presupuesto" sheetId="3" r:id="rId1"/>
    <sheet name="ADMINISTRATIVOS" sheetId="15" r:id="rId2"/>
    <sheet name="CRONOGRAMA" sheetId="16" r:id="rId3"/>
    <sheet name="apu presupuesto" sheetId="14" r:id="rId4"/>
    <sheet name="listados" sheetId="4" r:id="rId5"/>
    <sheet name="APU GOBER 050 RES" sheetId="17" r:id="rId6"/>
  </sheets>
  <definedNames>
    <definedName name="_xlnm.Print_Area" localSheetId="3">'apu presupuesto'!$A$1:$R$173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2" i="14" l="1"/>
  <c r="M141" i="14"/>
  <c r="P141" i="14" s="1"/>
  <c r="M57" i="14"/>
  <c r="M58" i="14" s="1"/>
  <c r="M16" i="14"/>
  <c r="M9" i="14"/>
  <c r="M142" i="14" l="1"/>
  <c r="L20" i="3"/>
  <c r="L19" i="3"/>
  <c r="K21" i="3"/>
  <c r="J21" i="3"/>
  <c r="M182" i="14"/>
  <c r="F9" i="15"/>
  <c r="F8" i="15"/>
  <c r="Q9" i="14"/>
  <c r="R52" i="14"/>
  <c r="R53" i="14"/>
  <c r="R54" i="14"/>
  <c r="R55" i="14"/>
  <c r="R56" i="14"/>
  <c r="R58" i="14"/>
  <c r="R59" i="14"/>
  <c r="Q57" i="14"/>
  <c r="R57" i="14" s="1"/>
  <c r="R96" i="14"/>
  <c r="R97" i="14"/>
  <c r="R98" i="14"/>
  <c r="R99" i="14"/>
  <c r="R101" i="14"/>
  <c r="R102" i="14"/>
  <c r="P110" i="14"/>
  <c r="O110" i="14"/>
  <c r="R136" i="14"/>
  <c r="R137" i="14"/>
  <c r="R138" i="14"/>
  <c r="R139" i="14"/>
  <c r="R140" i="14"/>
  <c r="R141" i="14"/>
  <c r="O144" i="14"/>
  <c r="D12" i="4" l="1"/>
  <c r="I94" i="14"/>
  <c r="M94" i="14" s="1"/>
  <c r="B65" i="3"/>
  <c r="I129" i="14" l="1"/>
  <c r="M129" i="14" s="1"/>
  <c r="I127" i="14"/>
  <c r="M127" i="14" s="1"/>
  <c r="I17" i="14"/>
  <c r="M17" i="14" s="1"/>
  <c r="Q17" i="14" s="1"/>
  <c r="I15" i="14"/>
  <c r="M15" i="14" s="1"/>
  <c r="T24" i="14"/>
  <c r="T25" i="14" s="1"/>
  <c r="K35" i="17"/>
  <c r="F38" i="3" l="1"/>
  <c r="F36" i="15"/>
  <c r="F43" i="15"/>
  <c r="F41" i="15"/>
  <c r="F40" i="15"/>
  <c r="B77" i="3"/>
  <c r="P173" i="14"/>
  <c r="F49" i="3" s="1"/>
  <c r="F47" i="3"/>
  <c r="F37" i="3"/>
  <c r="P80" i="14"/>
  <c r="F46" i="3" s="1"/>
  <c r="O80" i="14"/>
  <c r="F36" i="3" s="1"/>
  <c r="P60" i="14"/>
  <c r="F45" i="3" s="1"/>
  <c r="O60" i="14"/>
  <c r="O27" i="14"/>
  <c r="F34" i="3" s="1"/>
  <c r="I14" i="3"/>
  <c r="F35" i="3"/>
  <c r="J12" i="3" l="1"/>
  <c r="D8" i="16" l="1"/>
  <c r="F6" i="16"/>
  <c r="G5" i="16"/>
  <c r="D9" i="16"/>
  <c r="D7" i="16"/>
  <c r="D6" i="16"/>
  <c r="D5" i="16"/>
  <c r="D4" i="16"/>
  <c r="E9" i="16"/>
  <c r="F9" i="16" s="1"/>
  <c r="E8" i="16"/>
  <c r="F8" i="16" s="1"/>
  <c r="E7" i="16"/>
  <c r="F7" i="16" s="1"/>
  <c r="E6" i="16"/>
  <c r="E5" i="16"/>
  <c r="F5" i="16" s="1"/>
  <c r="E4" i="16"/>
  <c r="F4" i="16" s="1"/>
  <c r="B5" i="16"/>
  <c r="N156" i="14"/>
  <c r="R172" i="14"/>
  <c r="R171" i="14"/>
  <c r="R168" i="14"/>
  <c r="R167" i="14"/>
  <c r="R166" i="14"/>
  <c r="R164" i="14"/>
  <c r="R161" i="14"/>
  <c r="R160" i="14"/>
  <c r="R159" i="14"/>
  <c r="R157" i="14"/>
  <c r="R134" i="14"/>
  <c r="R133" i="14"/>
  <c r="R132" i="14"/>
  <c r="R130" i="14"/>
  <c r="R126" i="14"/>
  <c r="R125" i="14"/>
  <c r="R124" i="14"/>
  <c r="R122" i="14"/>
  <c r="R108" i="14"/>
  <c r="R105" i="14"/>
  <c r="R104" i="14"/>
  <c r="R103" i="14"/>
  <c r="R95" i="14"/>
  <c r="R49" i="14"/>
  <c r="R48" i="14"/>
  <c r="R47" i="14"/>
  <c r="R45" i="14"/>
  <c r="R42" i="14"/>
  <c r="R41" i="14"/>
  <c r="R40" i="14"/>
  <c r="R38" i="14"/>
  <c r="B14" i="3" l="1"/>
  <c r="B4" i="16" s="1"/>
  <c r="B35" i="3" l="1"/>
  <c r="B45" i="3" s="1"/>
  <c r="B55" i="3" s="1"/>
  <c r="D35" i="3"/>
  <c r="D45" i="3" s="1"/>
  <c r="D55" i="3" s="1"/>
  <c r="I170" i="14"/>
  <c r="M170" i="14" s="1"/>
  <c r="I169" i="14"/>
  <c r="M169" i="14" s="1"/>
  <c r="M171" i="14" s="1"/>
  <c r="B71" i="3" l="1"/>
  <c r="B76" i="3"/>
  <c r="C75" i="3" s="1"/>
  <c r="E15" i="3" s="1"/>
  <c r="L20" i="4"/>
  <c r="L21" i="4"/>
  <c r="I24" i="14"/>
  <c r="M24" i="14" s="1"/>
  <c r="I23" i="14"/>
  <c r="M23" i="14" s="1"/>
  <c r="I107" i="14" l="1"/>
  <c r="M107" i="14" s="1"/>
  <c r="I77" i="14"/>
  <c r="M77" i="14" s="1"/>
  <c r="I51" i="14"/>
  <c r="M51" i="14" s="1"/>
  <c r="Q51" i="14" s="1"/>
  <c r="R51" i="14" s="1"/>
  <c r="I106" i="14"/>
  <c r="M106" i="14" s="1"/>
  <c r="M108" i="14" s="1"/>
  <c r="I76" i="14"/>
  <c r="M76" i="14" s="1"/>
  <c r="M78" i="14" s="1"/>
  <c r="I135" i="14"/>
  <c r="M135" i="14" s="1"/>
  <c r="M136" i="14" s="1"/>
  <c r="I50" i="14"/>
  <c r="M50" i="14" s="1"/>
  <c r="M25" i="14"/>
  <c r="E35" i="3"/>
  <c r="G35" i="3" s="1"/>
  <c r="H5" i="16"/>
  <c r="I5" i="16" s="1"/>
  <c r="M52" i="14" l="1"/>
  <c r="Q50" i="14"/>
  <c r="R50" i="14" s="1"/>
  <c r="E45" i="3"/>
  <c r="E55" i="3" l="1"/>
  <c r="G45" i="3"/>
  <c r="A27" i="3"/>
  <c r="F101" i="3" l="1"/>
  <c r="B93" i="3"/>
  <c r="F107" i="3"/>
  <c r="F108" i="3" s="1"/>
  <c r="F105" i="3"/>
  <c r="G41" i="15"/>
  <c r="G43" i="15"/>
  <c r="G42" i="15"/>
  <c r="D7" i="3"/>
  <c r="A26" i="3"/>
  <c r="A25" i="3"/>
  <c r="R71" i="14"/>
  <c r="R73" i="14"/>
  <c r="R74" i="14"/>
  <c r="R75" i="14"/>
  <c r="R78" i="14"/>
  <c r="R10" i="14"/>
  <c r="R12" i="14"/>
  <c r="R13" i="14"/>
  <c r="R14" i="14"/>
  <c r="R18" i="14"/>
  <c r="R20" i="14"/>
  <c r="R21" i="14"/>
  <c r="R22" i="14"/>
  <c r="R25" i="14"/>
  <c r="A28" i="3"/>
  <c r="B92" i="3"/>
  <c r="B81" i="3"/>
  <c r="C80" i="3" s="1"/>
  <c r="B72" i="3"/>
  <c r="C70" i="3" s="1"/>
  <c r="B97" i="3"/>
  <c r="B96" i="3"/>
  <c r="C95" i="3" s="1"/>
  <c r="B91" i="3"/>
  <c r="B86" i="3"/>
  <c r="C85" i="3" s="1"/>
  <c r="D16" i="3"/>
  <c r="B16" i="3"/>
  <c r="N90" i="14"/>
  <c r="N120" i="14"/>
  <c r="N78" i="14"/>
  <c r="N71" i="14"/>
  <c r="N73" i="14"/>
  <c r="N74" i="14"/>
  <c r="N75" i="14"/>
  <c r="N76" i="14"/>
  <c r="N77" i="14"/>
  <c r="N70" i="14"/>
  <c r="Q77" i="14"/>
  <c r="R77" i="14" s="1"/>
  <c r="Q76" i="14"/>
  <c r="D18" i="3"/>
  <c r="D14" i="3"/>
  <c r="D19" i="3"/>
  <c r="D17" i="3"/>
  <c r="G44" i="15"/>
  <c r="G37" i="15"/>
  <c r="G27" i="15"/>
  <c r="G28" i="15"/>
  <c r="G29" i="15"/>
  <c r="G30" i="15"/>
  <c r="G31" i="15"/>
  <c r="G32" i="15"/>
  <c r="G33" i="15"/>
  <c r="G26" i="15"/>
  <c r="G15" i="15"/>
  <c r="G16" i="15"/>
  <c r="G17" i="15"/>
  <c r="G19" i="15"/>
  <c r="G20" i="15"/>
  <c r="G21" i="15"/>
  <c r="G22" i="15"/>
  <c r="G23" i="15"/>
  <c r="G14" i="15"/>
  <c r="G9" i="15"/>
  <c r="G8" i="15"/>
  <c r="E45" i="15"/>
  <c r="E18" i="15"/>
  <c r="G18" i="15" s="1"/>
  <c r="B18" i="3"/>
  <c r="B17" i="3"/>
  <c r="B19" i="3"/>
  <c r="B34" i="3"/>
  <c r="B44" i="3" s="1"/>
  <c r="B54" i="3" s="1"/>
  <c r="N27" i="14"/>
  <c r="N9" i="14"/>
  <c r="N10" i="14"/>
  <c r="N14" i="14"/>
  <c r="N15" i="14"/>
  <c r="N16" i="14"/>
  <c r="N17" i="14"/>
  <c r="N18" i="14"/>
  <c r="N22" i="14"/>
  <c r="N23" i="14"/>
  <c r="N24" i="14"/>
  <c r="N25" i="14"/>
  <c r="N8" i="14"/>
  <c r="N144" i="14"/>
  <c r="N122" i="14"/>
  <c r="N126" i="14"/>
  <c r="N127" i="14"/>
  <c r="N128" i="14"/>
  <c r="N129" i="14"/>
  <c r="N130" i="14"/>
  <c r="N134" i="14"/>
  <c r="N135" i="14"/>
  <c r="N136" i="14"/>
  <c r="N140" i="14"/>
  <c r="N141" i="14"/>
  <c r="N142" i="14"/>
  <c r="N121" i="14"/>
  <c r="N110" i="14"/>
  <c r="N108" i="14"/>
  <c r="N95" i="14"/>
  <c r="N157" i="14"/>
  <c r="N155" i="14"/>
  <c r="N170" i="14"/>
  <c r="N169" i="14"/>
  <c r="N92" i="14"/>
  <c r="N93" i="14"/>
  <c r="N94" i="14"/>
  <c r="N105" i="14"/>
  <c r="N106" i="14"/>
  <c r="N107" i="14"/>
  <c r="N91" i="14"/>
  <c r="N161" i="14"/>
  <c r="N162" i="14"/>
  <c r="N163" i="14"/>
  <c r="N164" i="14"/>
  <c r="N168" i="14"/>
  <c r="N171" i="14"/>
  <c r="N173" i="14"/>
  <c r="Q170" i="14"/>
  <c r="R170" i="14" s="1"/>
  <c r="Q107" i="14"/>
  <c r="R107" i="14" s="1"/>
  <c r="Q94" i="14"/>
  <c r="R94" i="14" s="1"/>
  <c r="M10" i="14"/>
  <c r="Q24" i="14"/>
  <c r="R24" i="14" s="1"/>
  <c r="I35" i="4"/>
  <c r="K9" i="4"/>
  <c r="K7" i="4"/>
  <c r="G12" i="15" l="1"/>
  <c r="C90" i="3"/>
  <c r="E17" i="3"/>
  <c r="E16" i="3"/>
  <c r="B36" i="3"/>
  <c r="B46" i="3" s="1"/>
  <c r="B56" i="3" s="1"/>
  <c r="B6" i="16"/>
  <c r="D70" i="3"/>
  <c r="G4" i="16"/>
  <c r="B37" i="3"/>
  <c r="B47" i="3" s="1"/>
  <c r="B57" i="3" s="1"/>
  <c r="B7" i="16"/>
  <c r="D95" i="3"/>
  <c r="G9" i="16"/>
  <c r="D80" i="3"/>
  <c r="G6" i="16"/>
  <c r="D90" i="3"/>
  <c r="G8" i="16"/>
  <c r="B39" i="3"/>
  <c r="B49" i="3" s="1"/>
  <c r="B59" i="3" s="1"/>
  <c r="B9" i="16"/>
  <c r="B38" i="3"/>
  <c r="B48" i="3" s="1"/>
  <c r="B58" i="3" s="1"/>
  <c r="B8" i="16"/>
  <c r="D85" i="3"/>
  <c r="G7" i="16"/>
  <c r="I100" i="14"/>
  <c r="M100" i="14" s="1"/>
  <c r="M101" i="14" s="1"/>
  <c r="E19" i="3"/>
  <c r="R76" i="14"/>
  <c r="Q135" i="14"/>
  <c r="Q169" i="14"/>
  <c r="R169" i="14" s="1"/>
  <c r="Q106" i="14"/>
  <c r="Q23" i="14"/>
  <c r="D34" i="3"/>
  <c r="D44" i="3" s="1"/>
  <c r="D54" i="3" s="1"/>
  <c r="D39" i="3"/>
  <c r="D49" i="3" s="1"/>
  <c r="D59" i="3" s="1"/>
  <c r="D38" i="3"/>
  <c r="D48" i="3" s="1"/>
  <c r="D58" i="3" s="1"/>
  <c r="D37" i="3"/>
  <c r="D47" i="3" s="1"/>
  <c r="D57" i="3" s="1"/>
  <c r="D36" i="3"/>
  <c r="D46" i="3" s="1"/>
  <c r="D56" i="3" s="1"/>
  <c r="E18" i="3"/>
  <c r="E14" i="3"/>
  <c r="G24" i="15"/>
  <c r="G34" i="15"/>
  <c r="Q100" i="14" l="1"/>
  <c r="R100" i="14" s="1"/>
  <c r="R23" i="14"/>
  <c r="Q27" i="14"/>
  <c r="F54" i="3" s="1"/>
  <c r="R135" i="14"/>
  <c r="E36" i="3"/>
  <c r="E46" i="3" s="1"/>
  <c r="H6" i="16"/>
  <c r="I6" i="16" s="1"/>
  <c r="E37" i="3"/>
  <c r="H7" i="16"/>
  <c r="I7" i="16" s="1"/>
  <c r="H9" i="16"/>
  <c r="I9" i="16" s="1"/>
  <c r="H4" i="16"/>
  <c r="I4" i="16" s="1"/>
  <c r="E38" i="3"/>
  <c r="H8" i="16"/>
  <c r="I8" i="16" s="1"/>
  <c r="E39" i="3"/>
  <c r="R106" i="14"/>
  <c r="I163" i="14"/>
  <c r="E34" i="3"/>
  <c r="G36" i="15"/>
  <c r="G38" i="15" s="1"/>
  <c r="R9" i="14"/>
  <c r="M163" i="14" l="1"/>
  <c r="M164" i="14" s="1"/>
  <c r="G46" i="3"/>
  <c r="E56" i="3"/>
  <c r="G36" i="3"/>
  <c r="E49" i="3"/>
  <c r="E48" i="3"/>
  <c r="G38" i="3"/>
  <c r="E44" i="3"/>
  <c r="G34" i="3"/>
  <c r="E47" i="3"/>
  <c r="G37" i="3"/>
  <c r="Q163" i="14" l="1"/>
  <c r="R163" i="14" s="1"/>
  <c r="E54" i="3"/>
  <c r="G54" i="3" s="1"/>
  <c r="E59" i="3"/>
  <c r="G49" i="3"/>
  <c r="G47" i="3"/>
  <c r="E57" i="3"/>
  <c r="E58" i="3"/>
  <c r="F17" i="4" l="1"/>
  <c r="I43" i="14" l="1"/>
  <c r="M43" i="14" s="1"/>
  <c r="I156" i="14"/>
  <c r="M156" i="14" s="1"/>
  <c r="O156" i="14" s="1"/>
  <c r="O173" i="14" s="1"/>
  <c r="F39" i="3" s="1"/>
  <c r="I93" i="14"/>
  <c r="I92" i="14"/>
  <c r="I121" i="14"/>
  <c r="M121" i="14" s="1"/>
  <c r="M122" i="14" s="1"/>
  <c r="I37" i="14"/>
  <c r="M37" i="14" s="1"/>
  <c r="M38" i="14" s="1"/>
  <c r="Q43" i="14" l="1"/>
  <c r="M92" i="14"/>
  <c r="Q92" i="14" s="1"/>
  <c r="R92" i="14" s="1"/>
  <c r="M93" i="14"/>
  <c r="Q93" i="14" s="1"/>
  <c r="R93" i="14" s="1"/>
  <c r="G39" i="3"/>
  <c r="G40" i="3" s="1"/>
  <c r="G25" i="3" s="1"/>
  <c r="Q121" i="14"/>
  <c r="I44" i="14"/>
  <c r="Q37" i="14"/>
  <c r="R156" i="14"/>
  <c r="I91" i="14"/>
  <c r="M91" i="14" s="1"/>
  <c r="I155" i="14"/>
  <c r="M155" i="14" s="1"/>
  <c r="M157" i="14" s="1"/>
  <c r="Q129" i="14"/>
  <c r="R129" i="14" s="1"/>
  <c r="R43" i="14"/>
  <c r="I128" i="14"/>
  <c r="M95" i="14" l="1"/>
  <c r="M128" i="14"/>
  <c r="M130" i="14" s="1"/>
  <c r="M144" i="14" s="1"/>
  <c r="M44" i="14"/>
  <c r="M45" i="14" s="1"/>
  <c r="M60" i="14" s="1"/>
  <c r="F15" i="3" s="1"/>
  <c r="G15" i="3" s="1"/>
  <c r="Q144" i="14"/>
  <c r="F18" i="3"/>
  <c r="G18" i="3" s="1"/>
  <c r="F58" i="3"/>
  <c r="R37" i="14"/>
  <c r="P127" i="14"/>
  <c r="P16" i="14"/>
  <c r="R16" i="14" s="1"/>
  <c r="M173" i="14"/>
  <c r="Q155" i="14"/>
  <c r="Q91" i="14"/>
  <c r="Q110" i="14" s="1"/>
  <c r="Q162" i="14"/>
  <c r="R162" i="14" s="1"/>
  <c r="R121" i="14"/>
  <c r="Q44" i="14" l="1"/>
  <c r="P128" i="14"/>
  <c r="R128" i="14" s="1"/>
  <c r="Q173" i="14"/>
  <c r="F19" i="3"/>
  <c r="G19" i="3" s="1"/>
  <c r="M110" i="14"/>
  <c r="F17" i="3" s="1"/>
  <c r="F57" i="3"/>
  <c r="G58" i="3"/>
  <c r="R91" i="14"/>
  <c r="R110" i="14" s="1"/>
  <c r="S110" i="14" s="1"/>
  <c r="R155" i="14"/>
  <c r="R173" i="14" s="1"/>
  <c r="P15" i="14"/>
  <c r="P27" i="14" s="1"/>
  <c r="M18" i="14"/>
  <c r="M27" i="14" s="1"/>
  <c r="R127" i="14"/>
  <c r="R17" i="14"/>
  <c r="S173" i="14" l="1"/>
  <c r="R44" i="14"/>
  <c r="R60" i="14" s="1"/>
  <c r="Q60" i="14"/>
  <c r="P144" i="14"/>
  <c r="F48" i="3" s="1"/>
  <c r="G48" i="3" s="1"/>
  <c r="G17" i="3"/>
  <c r="J17" i="3"/>
  <c r="F14" i="3"/>
  <c r="G14" i="3" s="1"/>
  <c r="I37" i="3"/>
  <c r="G57" i="3"/>
  <c r="F44" i="3"/>
  <c r="F59" i="3"/>
  <c r="R15" i="14"/>
  <c r="R27" i="14" s="1"/>
  <c r="S27" i="14" s="1"/>
  <c r="I38" i="3" l="1"/>
  <c r="F55" i="3"/>
  <c r="S60" i="14"/>
  <c r="I39" i="3"/>
  <c r="G59" i="3"/>
  <c r="I34" i="3"/>
  <c r="G44" i="3"/>
  <c r="G50" i="3" s="1"/>
  <c r="G26" i="3" s="1"/>
  <c r="G55" i="3" l="1"/>
  <c r="I35" i="3"/>
  <c r="G40" i="15" l="1"/>
  <c r="G48" i="15" s="1"/>
  <c r="G50" i="15" s="1"/>
  <c r="G22" i="3" l="1"/>
  <c r="G28" i="3" s="1"/>
  <c r="R144" i="14" l="1"/>
  <c r="S142" i="14" s="1"/>
  <c r="I70" i="14"/>
  <c r="M70" i="14" s="1"/>
  <c r="M71" i="14" s="1"/>
  <c r="M80" i="14" s="1"/>
  <c r="F16" i="3" s="1"/>
  <c r="G16" i="3" s="1"/>
  <c r="G21" i="3" s="1"/>
  <c r="G23" i="3" s="1"/>
  <c r="Q70" i="14" l="1"/>
  <c r="Q80" i="14" l="1"/>
  <c r="R70" i="14"/>
  <c r="R80" i="14" s="1"/>
  <c r="S80" i="14" l="1"/>
  <c r="F56" i="3"/>
  <c r="I36" i="3" l="1"/>
  <c r="G56" i="3"/>
  <c r="G60" i="3" s="1"/>
  <c r="I60" i="3" l="1"/>
  <c r="G27" i="3"/>
  <c r="I28" i="3" l="1"/>
  <c r="G29" i="3"/>
  <c r="I29" i="3"/>
  <c r="G30" i="3"/>
  <c r="J29" i="3" l="1"/>
  <c r="J31" i="3" s="1"/>
  <c r="I19" i="3"/>
  <c r="I21" i="3" s="1"/>
  <c r="J43" i="15"/>
  <c r="J40" i="15"/>
  <c r="J41" i="15" s="1"/>
</calcChain>
</file>

<file path=xl/sharedStrings.xml><?xml version="1.0" encoding="utf-8"?>
<sst xmlns="http://schemas.openxmlformats.org/spreadsheetml/2006/main" count="686" uniqueCount="302">
  <si>
    <t>ALCALDÍA MUNICIPAL DE SOGAMOSO</t>
  </si>
  <si>
    <t>NIT.891.855.130</t>
  </si>
  <si>
    <t>INFRAESTRUCTURA CON PROPÓSITO</t>
  </si>
  <si>
    <t>DEPARTAMENTO</t>
  </si>
  <si>
    <t>FECHA ELABORACIÓN</t>
  </si>
  <si>
    <t>BOYACÁ</t>
  </si>
  <si>
    <t>DESCRIPCIÓN</t>
  </si>
  <si>
    <t>ÍTEM</t>
  </si>
  <si>
    <t>UNIDAD</t>
  </si>
  <si>
    <t>CANTIDAD</t>
  </si>
  <si>
    <t>VR UNITARIO</t>
  </si>
  <si>
    <t>und</t>
  </si>
  <si>
    <t>blt</t>
  </si>
  <si>
    <t xml:space="preserve">SUB-TOTAL </t>
  </si>
  <si>
    <t>m</t>
  </si>
  <si>
    <t>hr</t>
  </si>
  <si>
    <t>vj</t>
  </si>
  <si>
    <t>COSTOS DE ADMINISTRACIÓN DE REFERENCIA</t>
  </si>
  <si>
    <t>Retroexcavadora Pajarita</t>
  </si>
  <si>
    <t>Piedra Rajón</t>
  </si>
  <si>
    <t>Motoniveladora Potencia mínima 120 HP y Max 215 HP</t>
  </si>
  <si>
    <t>Vibrocompactador CA-15 o Similar</t>
  </si>
  <si>
    <t>Retiro de escombros</t>
  </si>
  <si>
    <t>Cemento en saco de uso general x 50 kg puesto en obra (zona urbana)</t>
  </si>
  <si>
    <t xml:space="preserve">Instalación de sardinel prefabricado A - 80 </t>
  </si>
  <si>
    <t>Sardineles Prefabricados A-80</t>
  </si>
  <si>
    <t>ayudante/mes</t>
  </si>
  <si>
    <t>Arena de peña</t>
  </si>
  <si>
    <t>Mano de obra, preliminares, excavaciones manuales, rellenos</t>
  </si>
  <si>
    <t>TOTAL</t>
  </si>
  <si>
    <t>día</t>
  </si>
  <si>
    <t xml:space="preserve"> Ladrillo Tolete Común (incluye transporte zona urbana)</t>
  </si>
  <si>
    <t>Carrotanque Agua</t>
  </si>
  <si>
    <t>%</t>
  </si>
  <si>
    <t xml:space="preserve">Sardinel Prefabricado A-80 </t>
  </si>
  <si>
    <t>Base granular</t>
  </si>
  <si>
    <t>Mano de obra instalación de adoquín vertical</t>
  </si>
  <si>
    <t xml:space="preserve">Base granular </t>
  </si>
  <si>
    <t>PRESUPUESTO ESTIMADO DE REFERENCIA</t>
  </si>
  <si>
    <t>NOMBRE DEL ORGANISMO DE ACCIÓN COMUNAL</t>
  </si>
  <si>
    <t>LONGITUD DEL CORREDOR (Km)</t>
  </si>
  <si>
    <t xml:space="preserve">DIRECCIÓN TERRITORIAL </t>
  </si>
  <si>
    <t>ACTIVIDADES DE MANTENIMIENTO Y MEJORAMIENTO</t>
  </si>
  <si>
    <t>No</t>
  </si>
  <si>
    <t>UNID</t>
  </si>
  <si>
    <t>VALOR UNITARIO</t>
  </si>
  <si>
    <t>VALOR TOTAL</t>
  </si>
  <si>
    <t>ML</t>
  </si>
  <si>
    <t>SECCIÓN 1 - ACTIVIDADES DE MEJORAMIENTO</t>
  </si>
  <si>
    <t>M3</t>
  </si>
  <si>
    <t>SUB-TOTAL BÁSICO DE OBRA = (A)</t>
  </si>
  <si>
    <t xml:space="preserve">GASTOS ADMINISTRATIVOS  </t>
  </si>
  <si>
    <t>VALOR ESTIMADO CONVENIO</t>
  </si>
  <si>
    <t>MATERIALES</t>
  </si>
  <si>
    <t>MANO DE OBRA</t>
  </si>
  <si>
    <t>HERREMIENTAS Y EQUIPOS</t>
  </si>
  <si>
    <t>TRANSPORTE</t>
  </si>
  <si>
    <t>unidad</t>
  </si>
  <si>
    <t>#</t>
  </si>
  <si>
    <t>Código</t>
  </si>
  <si>
    <t>Insumo</t>
  </si>
  <si>
    <t>Precio ($ COP)</t>
  </si>
  <si>
    <t>kg</t>
  </si>
  <si>
    <t>u</t>
  </si>
  <si>
    <t>B0043080</t>
  </si>
  <si>
    <t>m2</t>
  </si>
  <si>
    <t>Adoquín rectangular biselado de 10cm x 20cm e=8cm</t>
  </si>
  <si>
    <t>m3</t>
  </si>
  <si>
    <t>Agua</t>
  </si>
  <si>
    <t>B0093320</t>
  </si>
  <si>
    <t>Arena fina de rio para sello de juntas</t>
  </si>
  <si>
    <t>B0013438</t>
  </si>
  <si>
    <t>Bordillo prefabricado en concreto Ref.A80 NTC-4109, 0,20 x 0,35 x 0.80 m</t>
  </si>
  <si>
    <t>B0103564</t>
  </si>
  <si>
    <t>Cemento portland ASTM C150 tipo I</t>
  </si>
  <si>
    <t>M2</t>
  </si>
  <si>
    <t>B0014304</t>
  </si>
  <si>
    <t>Material de base clase A (NT3) gradación gruesa BG 40</t>
  </si>
  <si>
    <t>B0014700</t>
  </si>
  <si>
    <t>Piedra para concreto ciclópeo (rajón o canto rodado)</t>
  </si>
  <si>
    <t>B0033034</t>
  </si>
  <si>
    <t xml:space="preserve">Subbase granular con agregado siderúrgico - clase B, gradación SBG-50     </t>
  </si>
  <si>
    <t>h</t>
  </si>
  <si>
    <t>C0010150</t>
  </si>
  <si>
    <t>Carrotanque de agua(1000 Galones)</t>
  </si>
  <si>
    <t>C0010611</t>
  </si>
  <si>
    <t>Motoniveladora, potencia 140 HP, ancho de cuchilla 3,66 m, peso 11 ton</t>
  </si>
  <si>
    <t>C0010822</t>
  </si>
  <si>
    <t>Retroexcavadora sobre llantas, motor 62HP, Profundidad de excavación de 5.41 metros</t>
  </si>
  <si>
    <t>C0010923</t>
  </si>
  <si>
    <t>Vibrocompactador, potencia 153 HP, peso 10 ton</t>
  </si>
  <si>
    <t>m3-km</t>
  </si>
  <si>
    <t>T0010032</t>
  </si>
  <si>
    <t>Transporte de material de demolición</t>
  </si>
  <si>
    <t>ANÁLISIS DE PRECIOS UNITARIOS DE REFERENCIA REGIONALIZADOS 2024-1</t>
  </si>
  <si>
    <t>Sub base granular</t>
  </si>
  <si>
    <t>LADRILLO TOLETE RECOCIDO</t>
  </si>
  <si>
    <t>UND</t>
  </si>
  <si>
    <t>Gobernación</t>
  </si>
  <si>
    <t>gobernación</t>
  </si>
  <si>
    <t>rendimiento gobernación</t>
  </si>
  <si>
    <t>INVIAS pero acostado el adoquin</t>
  </si>
  <si>
    <t>precio gobernación 2023</t>
  </si>
  <si>
    <t>hh</t>
  </si>
  <si>
    <t>canteras o distancias de transporte</t>
  </si>
  <si>
    <t>km</t>
  </si>
  <si>
    <t>Auxiliar de obra</t>
  </si>
  <si>
    <t>Oficial de obra</t>
  </si>
  <si>
    <t>Gobernación de Boyacá 2023</t>
  </si>
  <si>
    <t>Vibrocompactador tipo rana</t>
  </si>
  <si>
    <t>Capitulo</t>
  </si>
  <si>
    <t>SubCap.</t>
  </si>
  <si>
    <t>Actividad</t>
  </si>
  <si>
    <t>1.01.06. CONFORMACIÓN COMPACTACIÓN SUBRASANTE CBR=95%</t>
  </si>
  <si>
    <t>U.M.</t>
  </si>
  <si>
    <t>1</t>
  </si>
  <si>
    <t>Material</t>
  </si>
  <si>
    <t>Descripción</t>
  </si>
  <si>
    <t>Vr. Unitario</t>
  </si>
  <si>
    <t>Cantidad</t>
  </si>
  <si>
    <t>Vr. Parcial</t>
  </si>
  <si>
    <t>AGUA</t>
  </si>
  <si>
    <t>lt</t>
  </si>
  <si>
    <t xml:space="preserve">Total </t>
  </si>
  <si>
    <t>2</t>
  </si>
  <si>
    <t>Equipo</t>
  </si>
  <si>
    <t>CARROTANQUE AGUA (1000 gl)</t>
  </si>
  <si>
    <t>MOTONIVELADORA POTENCIA MINIMA 120 HP Y MAX 215 HP</t>
  </si>
  <si>
    <t>VIBROCOMPACTADOR CA-15 O SIMILAR</t>
  </si>
  <si>
    <t>3</t>
  </si>
  <si>
    <t>Mano de obra</t>
  </si>
  <si>
    <t>AUXILIAR DE OBRA (B)</t>
  </si>
  <si>
    <t>OFICIAL OBRA (A)</t>
  </si>
  <si>
    <t>Costo Total Actividad</t>
  </si>
  <si>
    <t>3.04.06. SUMINISTRO, EXTENDIDA Y COMPACTACION DE MATERIAL SELECCIONADO PARA BASE GRANULAR (INCLUYE  ACARREO LIBRE DE 5KM) (**)</t>
  </si>
  <si>
    <t>MATERIAL DE BASE GRANULAR (Invías)</t>
  </si>
  <si>
    <t>AUXILIAR DE OBRA  (A)</t>
  </si>
  <si>
    <t>jr</t>
  </si>
  <si>
    <t>4</t>
  </si>
  <si>
    <t>Transporte</t>
  </si>
  <si>
    <t>M3-km</t>
  </si>
  <si>
    <t>3.08.18. SUMINISTRO E INSTALACION DE BORDILLO PREFABRICADO A-80</t>
  </si>
  <si>
    <t>ARENA DE PEÑA</t>
  </si>
  <si>
    <t>BORDILLO PREFABRICADO A-80</t>
  </si>
  <si>
    <t>CEMENTO GRIS</t>
  </si>
  <si>
    <t>3.07.02. PAVIMENTO EN ADOQUIN DE CONCRETO  "HUESO DE PERRO" o "I"  DIMENSIONES LONGITUD 50 - 250 MM  ANCHO 50 - 80 MM - ESPESOR 80 - 100 MM  (NORMA NTC 2017 - INVIAS) (VEHICULAR)</t>
  </si>
  <si>
    <t>ARENA FINA PARA PAVIMENTO EN ADOQUIN</t>
  </si>
  <si>
    <t>VIBROCOMPACTADOR RANA</t>
  </si>
  <si>
    <t>Herrramienta y Equipo Menor(% M.O)</t>
  </si>
  <si>
    <t>0,35</t>
  </si>
  <si>
    <t>0,01</t>
  </si>
  <si>
    <t>0,05</t>
  </si>
  <si>
    <t>0,07</t>
  </si>
  <si>
    <t>1,3</t>
  </si>
  <si>
    <t>1,03</t>
  </si>
  <si>
    <t>0,03</t>
  </si>
  <si>
    <t>0,1</t>
  </si>
  <si>
    <t>CONSTRUCCIÓN VIA ADOQUINADA</t>
  </si>
  <si>
    <t>MESES</t>
  </si>
  <si>
    <t>PERSONAL TÉCNICO Y ADMINISTRATIVO</t>
  </si>
  <si>
    <t>1.1</t>
  </si>
  <si>
    <t>Mes</t>
  </si>
  <si>
    <t>1.3</t>
  </si>
  <si>
    <t>1.4</t>
  </si>
  <si>
    <t>Maestro de obra (Nómina)</t>
  </si>
  <si>
    <t>1.4.1</t>
  </si>
  <si>
    <t>Carga Prestacional Maestro de Obra</t>
  </si>
  <si>
    <t>SUBTOTAL</t>
  </si>
  <si>
    <t>SEGURIDAD INDUSTRIAL Y DOTACIÓN</t>
  </si>
  <si>
    <t>2.1</t>
  </si>
  <si>
    <t>Casco Industrial con certificación ansi con rache para obrero</t>
  </si>
  <si>
    <t>Unidad</t>
  </si>
  <si>
    <t>2.2</t>
  </si>
  <si>
    <t>Bota en caucho punta de acero para obrero</t>
  </si>
  <si>
    <t>2.3</t>
  </si>
  <si>
    <t>Gafa industrial unilente clara protectora</t>
  </si>
  <si>
    <t>2.4</t>
  </si>
  <si>
    <t>Guante de Carnaza corto reforzado</t>
  </si>
  <si>
    <t>2.5</t>
  </si>
  <si>
    <t>Guante baqueta corto reforzado</t>
  </si>
  <si>
    <t>2.6</t>
  </si>
  <si>
    <t>Peto Carnaza</t>
  </si>
  <si>
    <t>2.7</t>
  </si>
  <si>
    <t>Careta para guadañar</t>
  </si>
  <si>
    <t>2.8</t>
  </si>
  <si>
    <t>Tapaoidos de inserción siliconado</t>
  </si>
  <si>
    <t>2.9</t>
  </si>
  <si>
    <t>Botiquín Tipo A</t>
  </si>
  <si>
    <t>2.10</t>
  </si>
  <si>
    <t>Uniforme</t>
  </si>
  <si>
    <t>MEDIDAS AMBIENTALES</t>
  </si>
  <si>
    <t>3.1</t>
  </si>
  <si>
    <t>3.2</t>
  </si>
  <si>
    <t>Plástico negro Cal. 6 ancho 4m para cubrimiento de agregados</t>
  </si>
  <si>
    <t>3.3</t>
  </si>
  <si>
    <t>Cinta de demarcación L=500 M</t>
  </si>
  <si>
    <t>Señalizador trafico h=1,30m con base de caucho</t>
  </si>
  <si>
    <t>Señalizacion en lamina galvanizada con vinillo adhesivo</t>
  </si>
  <si>
    <t>Paleta de señalización PARE-SIGA</t>
  </si>
  <si>
    <t>Maletin Vial</t>
  </si>
  <si>
    <t>Caneca Plástica 55 gal para residuos</t>
  </si>
  <si>
    <t>GASTOS BANCARIOS</t>
  </si>
  <si>
    <t>4.1</t>
  </si>
  <si>
    <t>Gravámenes financieros 4*1000</t>
  </si>
  <si>
    <t>Global</t>
  </si>
  <si>
    <t>4.2</t>
  </si>
  <si>
    <t>Chequeras (100 cheques) o token</t>
  </si>
  <si>
    <t>OTROS COSTOS</t>
  </si>
  <si>
    <t>Bodega</t>
  </si>
  <si>
    <t>Exámenes de ingreso personal nómina</t>
  </si>
  <si>
    <t>Gastos de Desplazamiento OAC</t>
  </si>
  <si>
    <t>Caja menor-Papelería</t>
  </si>
  <si>
    <t>Póliza</t>
  </si>
  <si>
    <t>GBL</t>
  </si>
  <si>
    <t>memorias</t>
  </si>
  <si>
    <t>ancho</t>
  </si>
  <si>
    <t>Longitud</t>
  </si>
  <si>
    <t>Ancho</t>
  </si>
  <si>
    <t>Espesor</t>
  </si>
  <si>
    <t>3.03.10. EXCAVACION MANUAL EN MATERIAL COMUN</t>
  </si>
  <si>
    <t>0,2</t>
  </si>
  <si>
    <t>5%</t>
  </si>
  <si>
    <t>64546,55</t>
  </si>
  <si>
    <t>PRESUPUESTO DE APORTES DE LA OAC</t>
  </si>
  <si>
    <t>PRESUPUESTO DE APORTES DE MAQUINARIA DEL MUNICIPIO</t>
  </si>
  <si>
    <t>AOC</t>
  </si>
  <si>
    <t>MAQUINARIA</t>
  </si>
  <si>
    <t>PRESUPUESTO DE APORTE ECONÓMICO DEL MUNICIPIO</t>
  </si>
  <si>
    <t>CONVENIO SOLIDARIO ENTRE EL MUNICIPIO DE SOGAMOSO Y EL ORGANISMO DE ACCIÓN COMUNAL DE LA VDA SAN JOSÉ DE LA PROVIDENCIA, PARA LA REHABILITACIÓN DE LA CALLE 22 SUR CON CARRERA 11</t>
  </si>
  <si>
    <t xml:space="preserve">ACCIÓN COMUNAL DE LA VDA SAN JOSÉ DE LA PROVIDENCIA SOGAMOSO </t>
  </si>
  <si>
    <t>DISTRIBUCIÓN DE INVERSIONES EN EL CONVENIO</t>
  </si>
  <si>
    <t>Densidades y control de calidad de materiales</t>
  </si>
  <si>
    <t>Señalizacion provisional de la obra</t>
  </si>
  <si>
    <t>longitud</t>
  </si>
  <si>
    <t>Area</t>
  </si>
  <si>
    <t>espesor base</t>
  </si>
  <si>
    <t>CONFORMACIÓN COMPACTACIÓN SUBRASANTE CBR=95%</t>
  </si>
  <si>
    <t>PRELIMINARES</t>
  </si>
  <si>
    <t>OBRAS DE DRENAJE, PROTECCION Y ESTRUCTURAS</t>
  </si>
  <si>
    <t>EXCAVACION MANUAL EN MATERIAL COMUN</t>
  </si>
  <si>
    <t>SARDINELES Y ANDENES</t>
  </si>
  <si>
    <t>SUMINISTRO E INSTALACION DE BORDILLO PREFABRICADO A-80</t>
  </si>
  <si>
    <t>AFIRMADO, SUBBASES Y BASES</t>
  </si>
  <si>
    <t>PAVIMENTO ARTICULADO VEHICULAR</t>
  </si>
  <si>
    <t>4.3</t>
  </si>
  <si>
    <t>4.4</t>
  </si>
  <si>
    <t>4.5</t>
  </si>
  <si>
    <t>MEMORIA DE CANTIDADES</t>
  </si>
  <si>
    <t>Estampillas procultura 1,5%</t>
  </si>
  <si>
    <t>Descuentos por retefuente 2%.</t>
  </si>
  <si>
    <t>LADRILLO TOLETE COMÚN</t>
  </si>
  <si>
    <t>TOTAL APOYO ECONÓMICO</t>
  </si>
  <si>
    <t>RETROEXCAVADORA JD-510 O SIMILAR</t>
  </si>
  <si>
    <t>PEDRAPLEN COMPACTO</t>
  </si>
  <si>
    <t>EXPLANACIONES</t>
  </si>
  <si>
    <t>SUMINISTRO, EXTENDIDA Y COMPACTACION DE MATERIAL SELECCIONADO PARA BASE GRANULAR (INCLUYE  ACARREO LIBRE DE 5KM)</t>
  </si>
  <si>
    <t>PAVIMENTO EN ADOQUIN TOLETE COMUN INSTALADO EN PANDERETA.</t>
  </si>
  <si>
    <t>Municipio</t>
  </si>
  <si>
    <t>Retro</t>
  </si>
  <si>
    <t>Vibro</t>
  </si>
  <si>
    <t>Motoniveladora</t>
  </si>
  <si>
    <t>Convenio</t>
  </si>
  <si>
    <t>Transporte del ladrillo</t>
  </si>
  <si>
    <t xml:space="preserve">Minicargador </t>
  </si>
  <si>
    <t xml:space="preserve">Volquetas dobles </t>
  </si>
  <si>
    <t>Carro tanque</t>
  </si>
  <si>
    <t>Jr</t>
  </si>
  <si>
    <t>Total Mano de obra</t>
  </si>
  <si>
    <t>A/ECONÓMICO</t>
  </si>
  <si>
    <t>Ren</t>
  </si>
  <si>
    <t>Días</t>
  </si>
  <si>
    <t>Und</t>
  </si>
  <si>
    <t>AUXILIAR DE OBRA  (A) (2)</t>
  </si>
  <si>
    <t>Resolución No. 050 de 5 de mayo de 2025</t>
  </si>
  <si>
    <t>ANEXO 4 - LISTADO DE SALARIOS, PERSONAL Y CUADRILLAS
 SECRETARÍA DE INFRAESTRUCTURA PÚBLICA
 GOBERNACIÓN DE BOYACÁ</t>
  </si>
  <si>
    <t>3,65</t>
  </si>
  <si>
    <t>Valor</t>
  </si>
  <si>
    <t>2,01,06</t>
  </si>
  <si>
    <t>RETROEXCAVADORA</t>
  </si>
  <si>
    <t>0,015</t>
  </si>
  <si>
    <t>0,16</t>
  </si>
  <si>
    <t>CONFORMACIÓN DE PEDRAPLEN COMPACTO</t>
  </si>
  <si>
    <t>PIEDRA RAJON</t>
  </si>
  <si>
    <t>0,09</t>
  </si>
  <si>
    <t>2,3</t>
  </si>
  <si>
    <t>0,4</t>
  </si>
  <si>
    <t>volqueta</t>
  </si>
  <si>
    <t>Lt</t>
  </si>
  <si>
    <t>M3-Km</t>
  </si>
  <si>
    <t>3,02,10</t>
  </si>
  <si>
    <t>Transporte m3/Km</t>
  </si>
  <si>
    <t>H</t>
  </si>
  <si>
    <t>VIBROCOMPACTADOR RANA (AA)</t>
  </si>
  <si>
    <t>3,07,02</t>
  </si>
  <si>
    <t>Referencia</t>
  </si>
  <si>
    <t>Resolución Gobernación  050 de 5/5/2025</t>
  </si>
  <si>
    <t>Res 050 5/5/2025 Item 9,01,16  ADMINISTRADOR (INCLUYE SALARIO BASE + FACTOR PRESTACIONAL DEL 72.85%) valor $ 3,762,261,23   dedicación 20%</t>
  </si>
  <si>
    <t>Item 9,01,16   INGENIERO RESIDENTE (INCLUYE SALARIO BASE + FACTOR PRESTACIONAL DEL 72.85%) valor $ 7,029,353,60  50% de dedicación</t>
  </si>
  <si>
    <t>Item 9,01,16   INGENIERO RESIDENTE (INCLUYE SALARIO BASE + FACTOR PRESTACIONAL DEL 72.85%) valor $ 7,029,353,60  50% de dedicación (*)</t>
  </si>
  <si>
    <t>Res 050 5/5/2025 Item 9,01,16  ADMINISTRADOR (INCLUYE SALARIO BASE + FACTOR PRESTACIONAL DEL 72.85%) valor $ 3,762,261,23   dedicación 20% (*)</t>
  </si>
  <si>
    <t>* Correspoende a precio de la resolución No. 50 del 5-5-2025 en ANEXO 1 - LISTADO DE ANÁLISIS DE PRECIOS UNITARIOS POR CAPÍTULO SECRETARÍA DE INFRAESTRUCTURA PÚBLICA  GOBERNACIÓN DE BOYACÁ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</si>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</sst>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0.000"/>
    <numFmt numFmtId="166" formatCode="#,##0.0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 &quot;$&quot;\ * #,##0.00_ ;_ &quot;$&quot;\ * \-#,##0.00_ ;_ &quot;$&quot;\ * &quot;-&quot;??_ ;_ @_ "/>
    <numFmt numFmtId="170" formatCode="_ * #,##0_ ;_ * \-#,##0_ ;_ * &quot;-&quot;_ ;_ @_ "/>
    <numFmt numFmtId="171" formatCode="_(&quot;$&quot;\ * #,##0_);_(&quot;$&quot;\ * \(#,##0\);_(&quot;$&quot;\ * &quot;-&quot;_);_(@_)"/>
    <numFmt numFmtId="172" formatCode="_-[$$-240A]\ * #,##0.00_-;\-[$$-240A]\ * #,##0.00_-;_-[$$-240A]\ * &quot;-&quot;??_-;_-@_-"/>
    <numFmt numFmtId="173" formatCode="_-* #,##0.0000_-;\-* #,##0.0000_-;_-* &quot;-&quot;??_-;_-@_-"/>
    <numFmt numFmtId="174" formatCode="_ &quot;$&quot;\ * #,##0_ ;_ &quot;$&quot;\ * \-#,##0_ ;_ &quot;$&quot;\ * &quot;-&quot;_ ;_ @_ "/>
    <numFmt numFmtId="175" formatCode="&quot;$&quot;\ #,##0.00;[Red]&quot;$&quot;\ \-#,##0.00"/>
    <numFmt numFmtId="176" formatCode="&quot;$&quot;\ #,##0.00_);\(&quot;$&quot;\ #,##0.00\)"/>
    <numFmt numFmtId="177" formatCode="_-&quot;$&quot;\ * #,##0_-;\-&quot;$&quot;\ * #,##0_-;_-&quot;$&quot;\ * &quot;-&quot;??_-;_-@_-"/>
    <numFmt numFmtId="178" formatCode="_-&quot;$&quot;* #,##0.00_-;\-&quot;$&quot;* #,##0.00_-;_-&quot;$&quot;* &quot;-&quot;??_-;_-@_-"/>
    <numFmt numFmtId="179" formatCode="_ * #,##0.00_ ;_ * \-#,##0.00_ ;_ * &quot;-&quot;??_ ;_ @_ "/>
    <numFmt numFmtId="180" formatCode="_ * #,##0_ ;_ * \-#,##0_ ;_ * &quot;-&quot;??_ ;_ @_ "/>
    <numFmt numFmtId="181" formatCode="_-* #,##0.000000_-;\-* #,##0.000000_-;_-* &quot;-&quot;??_-;_-@_-"/>
    <numFmt numFmtId="182" formatCode="_-* #,##0.0000_-;\-* #,##0.0000_-;_-* &quot;-&quot;????_-;_-@_-"/>
    <numFmt numFmtId="183" formatCode="0.0000"/>
  </numFmts>
  <fonts count="5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000000"/>
      <name val="Calibri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color rgb="FF000000"/>
      <name val="Arial Narrow"/>
      <family val="2"/>
    </font>
    <font>
      <b/>
      <sz val="14"/>
      <color rgb="FF000000"/>
      <name val="Arial Narrow"/>
      <family val="2"/>
    </font>
    <font>
      <sz val="8"/>
      <name val="Calibri"/>
      <family val="2"/>
    </font>
    <font>
      <b/>
      <sz val="12"/>
      <color theme="1"/>
      <name val="Arial Narrow"/>
      <family val="2"/>
    </font>
    <font>
      <b/>
      <sz val="14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16"/>
      <name val="Arial Narrow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b/>
      <sz val="12"/>
      <color theme="1" tint="0.14999847407452621"/>
      <name val="Calibri"/>
      <family val="2"/>
      <scheme val="minor"/>
    </font>
    <font>
      <b/>
      <sz val="16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rgb="FF000000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rgb="FF000000"/>
      <name val="Calibri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rgb="FF000000"/>
      <name val="Calibri"/>
      <family val="2"/>
    </font>
    <font>
      <sz val="11"/>
      <name val="Arial Narrow"/>
      <family val="2"/>
    </font>
    <font>
      <sz val="12"/>
      <color indexed="8"/>
      <name val="Verdana"/>
      <family val="2"/>
    </font>
    <font>
      <sz val="9"/>
      <name val="Arial Narrow"/>
      <family val="2"/>
    </font>
    <font>
      <b/>
      <sz val="10"/>
      <color indexed="8"/>
      <name val="Arial Narrow"/>
      <family val="2"/>
    </font>
    <font>
      <b/>
      <sz val="18"/>
      <color indexed="8"/>
      <name val="Arial Narrow"/>
      <family val="2"/>
    </font>
    <font>
      <b/>
      <sz val="10"/>
      <name val="Arial Narrow"/>
      <family val="2"/>
    </font>
    <font>
      <sz val="14"/>
      <name val="Arial Narrow"/>
      <family val="2"/>
    </font>
    <font>
      <sz val="14"/>
      <color rgb="FF000000"/>
      <name val="Arial Narrow"/>
      <family val="2"/>
    </font>
    <font>
      <sz val="16"/>
      <name val="Arial Narrow"/>
      <family val="2"/>
    </font>
    <font>
      <sz val="14"/>
      <color theme="1"/>
      <name val="Arial Narrow"/>
      <family val="2"/>
    </font>
    <font>
      <sz val="14"/>
      <name val="Arial"/>
      <family val="2"/>
    </font>
    <font>
      <b/>
      <sz val="14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</fills>
  <borders count="1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23919D"/>
      </left>
      <right style="thin">
        <color rgb="FF23919D"/>
      </right>
      <top/>
      <bottom/>
      <diagonal/>
    </border>
    <border>
      <left/>
      <right style="thin">
        <color rgb="FF23919D"/>
      </right>
      <top style="thin">
        <color rgb="FF23919D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auto="1"/>
      </right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/>
      <diagonal/>
    </border>
  </borders>
  <cellStyleXfs count="44">
    <xf numFmtId="0" fontId="0" fillId="0" borderId="0"/>
    <xf numFmtId="0" fontId="6" fillId="2" borderId="0" applyNumberFormat="0" applyBorder="0" applyAlignment="0" applyProtection="0"/>
    <xf numFmtId="0" fontId="5" fillId="0" borderId="0"/>
    <xf numFmtId="0" fontId="4" fillId="0" borderId="0"/>
    <xf numFmtId="0" fontId="3" fillId="0" borderId="0"/>
    <xf numFmtId="44" fontId="7" fillId="0" borderId="0" applyFont="0" applyFill="0" applyBorder="0" applyAlignment="0" applyProtection="0"/>
    <xf numFmtId="0" fontId="16" fillId="0" borderId="0"/>
    <xf numFmtId="43" fontId="7" fillId="0" borderId="0" applyFont="0" applyFill="0" applyBorder="0" applyAlignment="0" applyProtection="0"/>
    <xf numFmtId="0" fontId="17" fillId="0" borderId="21" applyNumberFormat="0" applyFill="0" applyAlignment="0" applyProtection="0"/>
    <xf numFmtId="0" fontId="18" fillId="0" borderId="0"/>
    <xf numFmtId="167" fontId="18" fillId="0" borderId="0" applyFont="0" applyFill="0" applyBorder="0" applyAlignment="0" applyProtection="0"/>
    <xf numFmtId="0" fontId="18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8" fillId="0" borderId="0"/>
    <xf numFmtId="168" fontId="18" fillId="0" borderId="0" applyFont="0" applyFill="0" applyBorder="0" applyAlignment="0" applyProtection="0"/>
    <xf numFmtId="0" fontId="18" fillId="0" borderId="0"/>
    <xf numFmtId="169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23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0" fontId="17" fillId="0" borderId="21" applyNumberFormat="0" applyFill="0" applyAlignment="0" applyProtection="0"/>
    <xf numFmtId="0" fontId="31" fillId="0" borderId="0"/>
    <xf numFmtId="0" fontId="2" fillId="0" borderId="0"/>
    <xf numFmtId="0" fontId="7" fillId="0" borderId="0" applyNumberFormat="0" applyBorder="0" applyAlignment="0"/>
    <xf numFmtId="9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40" fillId="0" borderId="0" applyNumberFormat="0" applyFill="0" applyBorder="0" applyProtection="0">
      <alignment vertical="top"/>
    </xf>
    <xf numFmtId="0" fontId="1" fillId="0" borderId="0"/>
    <xf numFmtId="0" fontId="18" fillId="0" borderId="0"/>
    <xf numFmtId="0" fontId="18" fillId="0" borderId="0"/>
    <xf numFmtId="174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18" fillId="0" borderId="0"/>
    <xf numFmtId="178" fontId="23" fillId="0" borderId="0" applyFont="0" applyFill="0" applyBorder="0" applyAlignment="0" applyProtection="0"/>
    <xf numFmtId="174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68" fontId="23" fillId="0" borderId="0" applyFont="0" applyFill="0" applyBorder="0" applyAlignment="0" applyProtection="0"/>
  </cellStyleXfs>
  <cellXfs count="723">
    <xf numFmtId="0" fontId="0" fillId="0" borderId="0" xfId="0"/>
    <xf numFmtId="0" fontId="13" fillId="0" borderId="9" xfId="9" applyFont="1" applyBorder="1" applyAlignment="1">
      <alignment horizontal="center" vertical="center" wrapText="1" shrinkToFit="1"/>
    </xf>
    <xf numFmtId="0" fontId="13" fillId="0" borderId="6" xfId="9" applyFont="1" applyBorder="1" applyAlignment="1">
      <alignment vertical="center" wrapText="1" shrinkToFit="1"/>
    </xf>
    <xf numFmtId="44" fontId="0" fillId="0" borderId="0" xfId="5" applyFont="1"/>
    <xf numFmtId="0" fontId="24" fillId="0" borderId="0" xfId="0" applyFont="1" applyAlignment="1">
      <alignment horizontal="center"/>
    </xf>
    <xf numFmtId="44" fontId="24" fillId="0" borderId="0" xfId="5" applyFont="1" applyAlignment="1">
      <alignment horizontal="center"/>
    </xf>
    <xf numFmtId="0" fontId="24" fillId="0" borderId="0" xfId="0" applyFont="1" applyAlignment="1">
      <alignment horizontal="center" vertical="center"/>
    </xf>
    <xf numFmtId="44" fontId="24" fillId="0" borderId="0" xfId="5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9" borderId="47" xfId="8" applyFont="1" applyFill="1" applyBorder="1" applyAlignment="1" applyProtection="1">
      <alignment horizontal="center" vertical="center"/>
    </xf>
    <xf numFmtId="0" fontId="28" fillId="9" borderId="47" xfId="8" applyFont="1" applyFill="1" applyBorder="1" applyAlignment="1" applyProtection="1">
      <alignment horizontal="center" vertical="center"/>
    </xf>
    <xf numFmtId="0" fontId="30" fillId="3" borderId="44" xfId="23" applyFont="1" applyFill="1" applyBorder="1" applyAlignment="1">
      <alignment horizontal="center" vertical="center"/>
    </xf>
    <xf numFmtId="0" fontId="2" fillId="3" borderId="44" xfId="23" applyFill="1" applyBorder="1" applyAlignment="1">
      <alignment horizontal="center" vertical="center"/>
    </xf>
    <xf numFmtId="0" fontId="2" fillId="3" borderId="44" xfId="23" applyFill="1" applyBorder="1" applyAlignment="1">
      <alignment horizontal="left" vertical="center" wrapText="1"/>
    </xf>
    <xf numFmtId="0" fontId="2" fillId="3" borderId="44" xfId="23" applyFill="1" applyBorder="1" applyAlignment="1">
      <alignment horizontal="center" vertical="center" wrapText="1"/>
    </xf>
    <xf numFmtId="0" fontId="30" fillId="3" borderId="44" xfId="23" applyFont="1" applyFill="1" applyBorder="1" applyAlignment="1">
      <alignment horizontal="center" vertical="center" wrapText="1"/>
    </xf>
    <xf numFmtId="0" fontId="28" fillId="9" borderId="44" xfId="8" applyFont="1" applyFill="1" applyBorder="1" applyAlignment="1" applyProtection="1">
      <alignment horizontal="center" vertical="center"/>
    </xf>
    <xf numFmtId="0" fontId="17" fillId="9" borderId="47" xfId="8" applyFill="1" applyBorder="1" applyAlignment="1" applyProtection="1">
      <alignment horizontal="center" vertical="center"/>
    </xf>
    <xf numFmtId="3" fontId="28" fillId="9" borderId="44" xfId="1" applyNumberFormat="1" applyFont="1" applyFill="1" applyBorder="1" applyAlignment="1" applyProtection="1">
      <alignment horizontal="center" vertical="center"/>
    </xf>
    <xf numFmtId="0" fontId="1" fillId="3" borderId="44" xfId="23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44" fontId="0" fillId="0" borderId="0" xfId="5" applyFont="1" applyAlignment="1">
      <alignment vertical="center"/>
    </xf>
    <xf numFmtId="0" fontId="1" fillId="3" borderId="44" xfId="23" applyFont="1" applyFill="1" applyBorder="1" applyAlignment="1">
      <alignment horizontal="center" vertical="center" wrapText="1"/>
    </xf>
    <xf numFmtId="0" fontId="1" fillId="3" borderId="44" xfId="23" applyFont="1" applyFill="1" applyBorder="1" applyAlignment="1">
      <alignment horizontal="center" vertical="center"/>
    </xf>
    <xf numFmtId="44" fontId="25" fillId="9" borderId="47" xfId="5" applyFont="1" applyFill="1" applyBorder="1" applyAlignment="1" applyProtection="1">
      <alignment horizontal="center" vertical="center"/>
    </xf>
    <xf numFmtId="44" fontId="24" fillId="8" borderId="45" xfId="5" applyFont="1" applyFill="1" applyBorder="1" applyAlignment="1">
      <alignment horizontal="center" vertical="center" wrapText="1"/>
    </xf>
    <xf numFmtId="0" fontId="2" fillId="3" borderId="68" xfId="23" applyFill="1" applyBorder="1" applyAlignment="1">
      <alignment horizontal="center" vertical="center"/>
    </xf>
    <xf numFmtId="0" fontId="30" fillId="3" borderId="68" xfId="23" applyFont="1" applyFill="1" applyBorder="1" applyAlignment="1">
      <alignment horizontal="center" vertical="center"/>
    </xf>
    <xf numFmtId="3" fontId="1" fillId="3" borderId="44" xfId="8" applyNumberFormat="1" applyFont="1" applyFill="1" applyBorder="1" applyAlignment="1" applyProtection="1">
      <alignment horizontal="center" vertical="center"/>
    </xf>
    <xf numFmtId="3" fontId="1" fillId="3" borderId="44" xfId="8" applyNumberFormat="1" applyFont="1" applyFill="1" applyBorder="1" applyAlignment="1">
      <alignment vertical="center" wrapText="1"/>
    </xf>
    <xf numFmtId="3" fontId="1" fillId="3" borderId="44" xfId="8" applyNumberFormat="1" applyFont="1" applyFill="1" applyBorder="1" applyAlignment="1" applyProtection="1">
      <alignment vertical="center" wrapText="1"/>
    </xf>
    <xf numFmtId="0" fontId="1" fillId="3" borderId="44" xfId="8" applyFont="1" applyFill="1" applyBorder="1" applyAlignment="1" applyProtection="1">
      <alignment horizontal="center" vertical="center" wrapText="1"/>
    </xf>
    <xf numFmtId="0" fontId="1" fillId="3" borderId="44" xfId="8" applyFont="1" applyFill="1" applyBorder="1" applyAlignment="1" applyProtection="1">
      <alignment horizontal="left" vertical="center" wrapText="1"/>
    </xf>
    <xf numFmtId="0" fontId="0" fillId="3" borderId="0" xfId="0" applyFill="1"/>
    <xf numFmtId="0" fontId="33" fillId="10" borderId="0" xfId="27" applyFont="1" applyFill="1" applyBorder="1" applyAlignment="1">
      <alignment horizontal="center" vertical="center" wrapText="1"/>
    </xf>
    <xf numFmtId="1" fontId="18" fillId="3" borderId="0" xfId="28" applyNumberFormat="1" applyFont="1" applyFill="1" applyBorder="1" applyAlignment="1" applyProtection="1">
      <alignment horizontal="center" vertical="center"/>
      <protection locked="0"/>
    </xf>
    <xf numFmtId="172" fontId="18" fillId="3" borderId="0" xfId="11" applyNumberFormat="1" applyFill="1" applyAlignment="1" applyProtection="1">
      <alignment horizontal="right" vertical="center"/>
      <protection locked="0"/>
    </xf>
    <xf numFmtId="44" fontId="0" fillId="3" borderId="0" xfId="5" applyFont="1" applyFill="1" applyBorder="1"/>
    <xf numFmtId="0" fontId="24" fillId="0" borderId="7" xfId="0" applyFont="1" applyBorder="1" applyAlignment="1">
      <alignment horizontal="center"/>
    </xf>
    <xf numFmtId="0" fontId="2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24" fillId="0" borderId="7" xfId="5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44" fontId="0" fillId="0" borderId="7" xfId="5" applyFont="1" applyBorder="1" applyAlignment="1">
      <alignment vertical="center"/>
    </xf>
    <xf numFmtId="0" fontId="17" fillId="9" borderId="69" xfId="23" applyFont="1" applyFill="1" applyBorder="1" applyAlignment="1">
      <alignment horizontal="center" vertical="center"/>
    </xf>
    <xf numFmtId="0" fontId="29" fillId="3" borderId="46" xfId="1" applyFont="1" applyFill="1" applyBorder="1" applyAlignment="1" applyProtection="1">
      <alignment horizontal="center" vertical="center" wrapText="1"/>
    </xf>
    <xf numFmtId="0" fontId="33" fillId="10" borderId="7" xfId="27" applyFont="1" applyFill="1" applyBorder="1" applyAlignment="1">
      <alignment horizontal="center" vertical="center" wrapText="1"/>
    </xf>
    <xf numFmtId="44" fontId="18" fillId="3" borderId="7" xfId="5" applyFont="1" applyFill="1" applyBorder="1" applyAlignment="1" applyProtection="1">
      <alignment horizontal="center" vertical="center"/>
      <protection locked="0"/>
    </xf>
    <xf numFmtId="44" fontId="18" fillId="3" borderId="7" xfId="5" applyFont="1" applyFill="1" applyBorder="1" applyAlignment="1" applyProtection="1">
      <alignment horizontal="center" vertical="center" wrapText="1"/>
      <protection locked="0"/>
    </xf>
    <xf numFmtId="44" fontId="0" fillId="3" borderId="7" xfId="5" applyFont="1" applyFill="1" applyBorder="1" applyAlignment="1">
      <alignment horizontal="center"/>
    </xf>
    <xf numFmtId="44" fontId="0" fillId="11" borderId="7" xfId="5" applyFont="1" applyFill="1" applyBorder="1" applyAlignment="1">
      <alignment vertical="center"/>
    </xf>
    <xf numFmtId="44" fontId="0" fillId="5" borderId="7" xfId="5" applyFont="1" applyFill="1" applyBorder="1" applyAlignment="1">
      <alignment vertical="center"/>
    </xf>
    <xf numFmtId="44" fontId="0" fillId="11" borderId="0" xfId="5" applyFont="1" applyFill="1" applyAlignment="1">
      <alignment vertical="center"/>
    </xf>
    <xf numFmtId="44" fontId="28" fillId="9" borderId="44" xfId="5" applyFont="1" applyFill="1" applyBorder="1" applyAlignment="1" applyProtection="1">
      <alignment horizontal="center" vertical="center"/>
    </xf>
    <xf numFmtId="44" fontId="28" fillId="8" borderId="44" xfId="5" applyFont="1" applyFill="1" applyBorder="1" applyAlignment="1" applyProtection="1">
      <alignment horizontal="right" vertical="center" wrapText="1"/>
    </xf>
    <xf numFmtId="0" fontId="28" fillId="9" borderId="68" xfId="8" applyFont="1" applyFill="1" applyBorder="1" applyAlignment="1" applyProtection="1">
      <alignment horizontal="center" vertical="center"/>
    </xf>
    <xf numFmtId="44" fontId="33" fillId="10" borderId="0" xfId="5" applyFont="1" applyFill="1" applyBorder="1" applyAlignment="1">
      <alignment vertical="center" wrapText="1"/>
    </xf>
    <xf numFmtId="44" fontId="18" fillId="3" borderId="0" xfId="5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44" fontId="0" fillId="0" borderId="0" xfId="5" applyFont="1" applyFill="1" applyBorder="1" applyAlignment="1">
      <alignment vertical="center"/>
    </xf>
    <xf numFmtId="44" fontId="0" fillId="5" borderId="0" xfId="5" applyFont="1" applyFill="1"/>
    <xf numFmtId="44" fontId="37" fillId="0" borderId="0" xfId="5" applyFont="1" applyAlignment="1">
      <alignment vertical="center"/>
    </xf>
    <xf numFmtId="43" fontId="0" fillId="0" borderId="0" xfId="7" applyFont="1"/>
    <xf numFmtId="3" fontId="8" fillId="3" borderId="6" xfId="11" applyNumberFormat="1" applyFont="1" applyFill="1" applyBorder="1" applyAlignment="1">
      <alignment horizontal="center" vertical="center"/>
    </xf>
    <xf numFmtId="4" fontId="8" fillId="3" borderId="7" xfId="11" applyNumberFormat="1" applyFont="1" applyFill="1" applyBorder="1" applyAlignment="1">
      <alignment horizontal="center" vertical="center" wrapText="1"/>
    </xf>
    <xf numFmtId="0" fontId="41" fillId="6" borderId="0" xfId="33" applyFont="1" applyFill="1" applyAlignment="1">
      <alignment vertical="center" wrapText="1"/>
    </xf>
    <xf numFmtId="0" fontId="22" fillId="0" borderId="4" xfId="32" applyFont="1" applyBorder="1" applyAlignment="1">
      <alignment vertical="center"/>
    </xf>
    <xf numFmtId="0" fontId="39" fillId="0" borderId="5" xfId="32" applyFont="1" applyBorder="1" applyAlignment="1">
      <alignment vertical="center"/>
    </xf>
    <xf numFmtId="0" fontId="45" fillId="0" borderId="4" xfId="32" applyFont="1" applyBorder="1" applyAlignment="1">
      <alignment vertical="center"/>
    </xf>
    <xf numFmtId="0" fontId="45" fillId="0" borderId="5" xfId="32" applyFont="1" applyBorder="1" applyAlignment="1">
      <alignment vertical="center"/>
    </xf>
    <xf numFmtId="0" fontId="46" fillId="0" borderId="0" xfId="27" applyFont="1"/>
    <xf numFmtId="0" fontId="45" fillId="0" borderId="0" xfId="32" applyFont="1" applyAlignment="1">
      <alignment vertical="center"/>
    </xf>
    <xf numFmtId="0" fontId="14" fillId="0" borderId="9" xfId="32" applyFont="1" applyBorder="1" applyAlignment="1">
      <alignment horizontal="center" vertical="center"/>
    </xf>
    <xf numFmtId="0" fontId="14" fillId="0" borderId="9" xfId="35" applyFont="1" applyBorder="1" applyAlignment="1">
      <alignment horizontal="left" vertical="center"/>
    </xf>
    <xf numFmtId="0" fontId="14" fillId="0" borderId="13" xfId="35" applyFont="1" applyBorder="1" applyAlignment="1">
      <alignment horizontal="center" vertical="center"/>
    </xf>
    <xf numFmtId="0" fontId="14" fillId="0" borderId="14" xfId="35" applyFont="1" applyBorder="1" applyAlignment="1">
      <alignment horizontal="center" vertical="center"/>
    </xf>
    <xf numFmtId="0" fontId="45" fillId="0" borderId="9" xfId="32" applyFont="1" applyBorder="1" applyAlignment="1">
      <alignment horizontal="center" vertical="center"/>
    </xf>
    <xf numFmtId="0" fontId="45" fillId="0" borderId="15" xfId="35" applyFont="1" applyBorder="1" applyAlignment="1">
      <alignment horizontal="center" vertical="center"/>
    </xf>
    <xf numFmtId="4" fontId="45" fillId="0" borderId="15" xfId="37" applyNumberFormat="1" applyFont="1" applyFill="1" applyBorder="1" applyAlignment="1" applyProtection="1">
      <alignment horizontal="center" vertical="center" wrapText="1"/>
    </xf>
    <xf numFmtId="44" fontId="45" fillId="0" borderId="15" xfId="5" applyFont="1" applyFill="1" applyBorder="1" applyAlignment="1" applyProtection="1">
      <alignment horizontal="right" vertical="center" wrapText="1"/>
    </xf>
    <xf numFmtId="0" fontId="45" fillId="0" borderId="7" xfId="36" applyFont="1" applyBorder="1" applyAlignment="1">
      <alignment horizontal="left" vertical="center"/>
    </xf>
    <xf numFmtId="0" fontId="45" fillId="0" borderId="7" xfId="35" applyFont="1" applyBorder="1" applyAlignment="1">
      <alignment horizontal="center" vertical="center"/>
    </xf>
    <xf numFmtId="44" fontId="45" fillId="0" borderId="7" xfId="5" applyFont="1" applyFill="1" applyBorder="1" applyAlignment="1" applyProtection="1">
      <alignment horizontal="right" vertical="center" wrapText="1"/>
    </xf>
    <xf numFmtId="0" fontId="45" fillId="0" borderId="34" xfId="32" applyFont="1" applyBorder="1" applyAlignment="1">
      <alignment horizontal="center" vertical="center"/>
    </xf>
    <xf numFmtId="0" fontId="45" fillId="0" borderId="16" xfId="35" applyFont="1" applyBorder="1" applyAlignment="1">
      <alignment horizontal="center" vertical="center"/>
    </xf>
    <xf numFmtId="44" fontId="45" fillId="0" borderId="16" xfId="5" applyFont="1" applyFill="1" applyBorder="1" applyAlignment="1" applyProtection="1">
      <alignment horizontal="right" vertical="center" wrapText="1"/>
    </xf>
    <xf numFmtId="44" fontId="45" fillId="0" borderId="0" xfId="32" applyNumberFormat="1" applyFont="1" applyAlignment="1">
      <alignment vertical="center"/>
    </xf>
    <xf numFmtId="176" fontId="14" fillId="0" borderId="13" xfId="38" applyNumberFormat="1" applyFont="1" applyBorder="1" applyAlignment="1">
      <alignment horizontal="right" vertical="center" wrapText="1"/>
    </xf>
    <xf numFmtId="0" fontId="14" fillId="0" borderId="25" xfId="32" applyFont="1" applyBorder="1" applyAlignment="1">
      <alignment horizontal="center" vertical="center"/>
    </xf>
    <xf numFmtId="0" fontId="14" fillId="0" borderId="25" xfId="35" applyFont="1" applyBorder="1" applyAlignment="1">
      <alignment horizontal="left" vertical="center"/>
    </xf>
    <xf numFmtId="0" fontId="14" fillId="0" borderId="27" xfId="35" applyFont="1" applyBorder="1" applyAlignment="1">
      <alignment horizontal="center" vertical="center"/>
    </xf>
    <xf numFmtId="0" fontId="14" fillId="0" borderId="26" xfId="35" applyFont="1" applyBorder="1" applyAlignment="1">
      <alignment horizontal="center" vertical="center"/>
    </xf>
    <xf numFmtId="0" fontId="45" fillId="0" borderId="7" xfId="39" applyFont="1" applyBorder="1" applyAlignment="1">
      <alignment vertical="center"/>
    </xf>
    <xf numFmtId="0" fontId="45" fillId="0" borderId="7" xfId="39" applyFont="1" applyBorder="1" applyAlignment="1">
      <alignment horizontal="center" vertical="center"/>
    </xf>
    <xf numFmtId="177" fontId="45" fillId="0" borderId="7" xfId="5" applyNumberFormat="1" applyFont="1" applyFill="1" applyBorder="1" applyAlignment="1">
      <alignment horizontal="right" vertical="center" wrapText="1"/>
    </xf>
    <xf numFmtId="0" fontId="46" fillId="0" borderId="0" xfId="27" applyFont="1" applyAlignment="1">
      <alignment vertical="center"/>
    </xf>
    <xf numFmtId="176" fontId="14" fillId="0" borderId="7" xfId="38" applyNumberFormat="1" applyFont="1" applyBorder="1" applyAlignment="1">
      <alignment horizontal="right" vertical="center" wrapText="1"/>
    </xf>
    <xf numFmtId="0" fontId="14" fillId="0" borderId="34" xfId="32" applyFont="1" applyBorder="1" applyAlignment="1">
      <alignment horizontal="center" vertical="center"/>
    </xf>
    <xf numFmtId="0" fontId="45" fillId="0" borderId="14" xfId="36" applyFont="1" applyBorder="1" applyAlignment="1">
      <alignment horizontal="left" vertical="center"/>
    </xf>
    <xf numFmtId="44" fontId="45" fillId="0" borderId="7" xfId="5" applyFont="1" applyBorder="1" applyAlignment="1">
      <alignment horizontal="right" vertical="center" wrapText="1"/>
    </xf>
    <xf numFmtId="44" fontId="45" fillId="0" borderId="7" xfId="5" applyFont="1" applyFill="1" applyBorder="1" applyAlignment="1">
      <alignment horizontal="right" vertical="center" wrapText="1"/>
    </xf>
    <xf numFmtId="3" fontId="45" fillId="0" borderId="7" xfId="37" applyNumberFormat="1" applyFont="1" applyBorder="1" applyAlignment="1">
      <alignment horizontal="center" vertical="center" wrapText="1"/>
    </xf>
    <xf numFmtId="0" fontId="45" fillId="0" borderId="16" xfId="32" applyFont="1" applyBorder="1" applyAlignment="1">
      <alignment horizontal="center" vertical="center"/>
    </xf>
    <xf numFmtId="3" fontId="45" fillId="0" borderId="16" xfId="39" applyNumberFormat="1" applyFont="1" applyBorder="1" applyAlignment="1">
      <alignment horizontal="center" vertical="center"/>
    </xf>
    <xf numFmtId="44" fontId="45" fillId="0" borderId="16" xfId="5" applyFont="1" applyBorder="1" applyAlignment="1">
      <alignment horizontal="center" vertical="center"/>
    </xf>
    <xf numFmtId="0" fontId="14" fillId="0" borderId="17" xfId="32" applyFont="1" applyBorder="1" applyAlignment="1">
      <alignment horizontal="center" vertical="center"/>
    </xf>
    <xf numFmtId="0" fontId="14" fillId="0" borderId="17" xfId="35" applyFont="1" applyBorder="1" applyAlignment="1">
      <alignment horizontal="left" vertical="center"/>
    </xf>
    <xf numFmtId="0" fontId="45" fillId="0" borderId="13" xfId="35" applyFont="1" applyBorder="1" applyAlignment="1">
      <alignment horizontal="center" vertical="center"/>
    </xf>
    <xf numFmtId="166" fontId="45" fillId="0" borderId="7" xfId="37" applyNumberFormat="1" applyFont="1" applyFill="1" applyBorder="1" applyAlignment="1" applyProtection="1">
      <alignment horizontal="center" vertical="center" wrapText="1"/>
    </xf>
    <xf numFmtId="178" fontId="45" fillId="0" borderId="7" xfId="40" applyFont="1" applyFill="1" applyBorder="1" applyAlignment="1" applyProtection="1">
      <alignment horizontal="right" vertical="center" wrapText="1"/>
    </xf>
    <xf numFmtId="3" fontId="45" fillId="0" borderId="7" xfId="37" applyNumberFormat="1" applyFont="1" applyFill="1" applyBorder="1" applyAlignment="1" applyProtection="1">
      <alignment horizontal="center" vertical="center" wrapText="1"/>
    </xf>
    <xf numFmtId="178" fontId="45" fillId="3" borderId="7" xfId="40" applyFont="1" applyFill="1" applyBorder="1" applyAlignment="1" applyProtection="1">
      <alignment horizontal="right" vertical="center" wrapText="1"/>
    </xf>
    <xf numFmtId="164" fontId="14" fillId="0" borderId="7" xfId="41" applyNumberFormat="1" applyFont="1" applyFill="1" applyBorder="1" applyAlignment="1" applyProtection="1">
      <alignment horizontal="right" vertical="center"/>
    </xf>
    <xf numFmtId="0" fontId="45" fillId="0" borderId="10" xfId="3" applyFont="1" applyBorder="1" applyAlignment="1">
      <alignment vertical="center"/>
    </xf>
    <xf numFmtId="0" fontId="45" fillId="0" borderId="11" xfId="3" applyFont="1" applyBorder="1" applyAlignment="1">
      <alignment horizontal="center" vertical="center"/>
    </xf>
    <xf numFmtId="180" fontId="45" fillId="0" borderId="11" xfId="42" applyNumberFormat="1" applyFont="1" applyFill="1" applyBorder="1" applyAlignment="1" applyProtection="1">
      <alignment vertical="center" wrapText="1"/>
    </xf>
    <xf numFmtId="0" fontId="45" fillId="0" borderId="11" xfId="32" applyFont="1" applyBorder="1" applyAlignment="1">
      <alignment vertical="center"/>
    </xf>
    <xf numFmtId="44" fontId="45" fillId="0" borderId="11" xfId="32" applyNumberFormat="1" applyFont="1" applyBorder="1" applyAlignment="1">
      <alignment vertical="center"/>
    </xf>
    <xf numFmtId="0" fontId="45" fillId="0" borderId="12" xfId="32" applyFont="1" applyBorder="1" applyAlignment="1">
      <alignment vertical="center"/>
    </xf>
    <xf numFmtId="0" fontId="10" fillId="0" borderId="0" xfId="27" applyFont="1"/>
    <xf numFmtId="0" fontId="10" fillId="0" borderId="0" xfId="27" applyFont="1" applyAlignment="1">
      <alignment horizontal="center"/>
    </xf>
    <xf numFmtId="44" fontId="10" fillId="0" borderId="0" xfId="27" applyNumberFormat="1" applyFont="1"/>
    <xf numFmtId="0" fontId="10" fillId="0" borderId="1" xfId="27" applyFont="1" applyBorder="1"/>
    <xf numFmtId="0" fontId="10" fillId="0" borderId="2" xfId="27" applyFont="1" applyBorder="1" applyAlignment="1">
      <alignment horizontal="center"/>
    </xf>
    <xf numFmtId="0" fontId="10" fillId="0" borderId="2" xfId="27" applyFont="1" applyBorder="1"/>
    <xf numFmtId="0" fontId="10" fillId="0" borderId="3" xfId="27" applyFont="1" applyBorder="1"/>
    <xf numFmtId="0" fontId="22" fillId="0" borderId="0" xfId="32" applyFont="1" applyAlignment="1">
      <alignment horizontal="center" vertical="center"/>
    </xf>
    <xf numFmtId="0" fontId="44" fillId="6" borderId="0" xfId="34" applyFont="1" applyFill="1" applyAlignment="1">
      <alignment vertical="center"/>
    </xf>
    <xf numFmtId="4" fontId="8" fillId="3" borderId="7" xfId="11" applyNumberFormat="1" applyFont="1" applyFill="1" applyBorder="1" applyAlignment="1">
      <alignment horizontal="left" vertical="center" wrapText="1"/>
    </xf>
    <xf numFmtId="44" fontId="36" fillId="12" borderId="0" xfId="5" applyFont="1" applyFill="1" applyAlignment="1">
      <alignment horizontal="right" vertical="center" wrapText="1"/>
    </xf>
    <xf numFmtId="44" fontId="37" fillId="12" borderId="0" xfId="5" applyFont="1" applyFill="1" applyAlignment="1">
      <alignment vertical="center"/>
    </xf>
    <xf numFmtId="4" fontId="8" fillId="3" borderId="9" xfId="11" applyNumberFormat="1" applyFont="1" applyFill="1" applyBorder="1" applyAlignment="1">
      <alignment horizontal="left" vertical="center" wrapText="1"/>
    </xf>
    <xf numFmtId="4" fontId="8" fillId="3" borderId="13" xfId="11" applyNumberFormat="1" applyFont="1" applyFill="1" applyBorder="1" applyAlignment="1">
      <alignment horizontal="left" vertical="center" wrapText="1"/>
    </xf>
    <xf numFmtId="4" fontId="8" fillId="3" borderId="0" xfId="11" applyNumberFormat="1" applyFont="1" applyFill="1" applyAlignment="1">
      <alignment vertical="center" wrapText="1"/>
    </xf>
    <xf numFmtId="44" fontId="0" fillId="0" borderId="0" xfId="0" applyNumberFormat="1"/>
    <xf numFmtId="44" fontId="0" fillId="0" borderId="0" xfId="5" applyFont="1" applyAlignment="1"/>
    <xf numFmtId="168" fontId="14" fillId="3" borderId="0" xfId="17" applyFont="1" applyFill="1" applyBorder="1" applyAlignment="1" applyProtection="1">
      <alignment horizontal="center" vertical="center"/>
    </xf>
    <xf numFmtId="0" fontId="19" fillId="13" borderId="33" xfId="9" applyFont="1" applyFill="1" applyBorder="1" applyAlignment="1">
      <alignment horizontal="center" vertical="center" wrapText="1" shrinkToFit="1"/>
    </xf>
    <xf numFmtId="0" fontId="19" fillId="13" borderId="7" xfId="9" applyFont="1" applyFill="1" applyBorder="1" applyAlignment="1">
      <alignment horizontal="center" vertical="center" wrapText="1" shrinkToFit="1"/>
    </xf>
    <xf numFmtId="3" fontId="8" fillId="3" borderId="7" xfId="11" applyNumberFormat="1" applyFont="1" applyFill="1" applyBorder="1" applyAlignment="1">
      <alignment horizontal="center" vertical="center"/>
    </xf>
    <xf numFmtId="43" fontId="45" fillId="3" borderId="15" xfId="7" applyFont="1" applyFill="1" applyBorder="1" applyAlignment="1">
      <alignment horizontal="left" vertical="center" wrapText="1"/>
    </xf>
    <xf numFmtId="44" fontId="45" fillId="3" borderId="15" xfId="9" applyNumberFormat="1" applyFont="1" applyFill="1" applyBorder="1" applyAlignment="1">
      <alignment horizontal="left" vertical="center" wrapText="1"/>
    </xf>
    <xf numFmtId="43" fontId="45" fillId="3" borderId="7" xfId="7" applyFont="1" applyFill="1" applyBorder="1" applyAlignment="1">
      <alignment horizontal="left" vertical="center" wrapText="1"/>
    </xf>
    <xf numFmtId="44" fontId="45" fillId="3" borderId="7" xfId="9" applyNumberFormat="1" applyFont="1" applyFill="1" applyBorder="1" applyAlignment="1">
      <alignment horizontal="left" vertical="center" wrapText="1"/>
    </xf>
    <xf numFmtId="3" fontId="8" fillId="3" borderId="42" xfId="11" applyNumberFormat="1" applyFont="1" applyFill="1" applyBorder="1" applyAlignment="1">
      <alignment horizontal="center" vertical="center"/>
    </xf>
    <xf numFmtId="4" fontId="8" fillId="3" borderId="15" xfId="11" applyNumberFormat="1" applyFont="1" applyFill="1" applyBorder="1" applyAlignment="1">
      <alignment horizontal="center" vertical="center" wrapText="1"/>
    </xf>
    <xf numFmtId="3" fontId="8" fillId="3" borderId="37" xfId="11" applyNumberFormat="1" applyFont="1" applyFill="1" applyBorder="1" applyAlignment="1">
      <alignment horizontal="center" vertical="center"/>
    </xf>
    <xf numFmtId="4" fontId="8" fillId="3" borderId="16" xfId="11" applyNumberFormat="1" applyFont="1" applyFill="1" applyBorder="1" applyAlignment="1">
      <alignment horizontal="center" vertical="center" wrapText="1"/>
    </xf>
    <xf numFmtId="49" fontId="36" fillId="0" borderId="0" xfId="0" applyNumberFormat="1" applyFont="1" applyAlignment="1">
      <alignment horizontal="left" vertical="center" wrapText="1"/>
    </xf>
    <xf numFmtId="0" fontId="45" fillId="8" borderId="7" xfId="36" applyFont="1" applyFill="1" applyBorder="1" applyAlignment="1">
      <alignment horizontal="left" vertical="center"/>
    </xf>
    <xf numFmtId="0" fontId="45" fillId="8" borderId="14" xfId="36" applyFont="1" applyFill="1" applyBorder="1" applyAlignment="1">
      <alignment vertical="center"/>
    </xf>
    <xf numFmtId="0" fontId="45" fillId="8" borderId="30" xfId="36" applyFont="1" applyFill="1" applyBorder="1" applyAlignment="1">
      <alignment vertical="center"/>
    </xf>
    <xf numFmtId="44" fontId="0" fillId="0" borderId="0" xfId="5" applyFont="1" applyBorder="1"/>
    <xf numFmtId="0" fontId="37" fillId="0" borderId="4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5" xfId="0" applyFont="1" applyBorder="1" applyAlignment="1">
      <alignment vertical="center"/>
    </xf>
    <xf numFmtId="44" fontId="36" fillId="0" borderId="5" xfId="5" applyFont="1" applyBorder="1" applyAlignment="1">
      <alignment horizontal="right" vertical="center" wrapText="1"/>
    </xf>
    <xf numFmtId="44" fontId="37" fillId="0" borderId="5" xfId="5" applyFont="1" applyBorder="1" applyAlignment="1">
      <alignment vertical="center"/>
    </xf>
    <xf numFmtId="44" fontId="37" fillId="0" borderId="88" xfId="5" applyFont="1" applyBorder="1" applyAlignment="1">
      <alignment horizontal="center" wrapText="1"/>
    </xf>
    <xf numFmtId="44" fontId="37" fillId="12" borderId="81" xfId="5" applyFont="1" applyFill="1" applyBorder="1" applyAlignment="1">
      <alignment horizontal="right" vertical="center" wrapText="1"/>
    </xf>
    <xf numFmtId="44" fontId="37" fillId="12" borderId="81" xfId="5" applyFont="1" applyFill="1" applyBorder="1" applyAlignment="1">
      <alignment horizontal="center" vertical="center" wrapText="1"/>
    </xf>
    <xf numFmtId="44" fontId="37" fillId="12" borderId="94" xfId="5" applyFont="1" applyFill="1" applyBorder="1" applyAlignment="1">
      <alignment horizontal="right" vertical="center" wrapText="1"/>
    </xf>
    <xf numFmtId="44" fontId="36" fillId="12" borderId="95" xfId="5" applyFont="1" applyFill="1" applyBorder="1" applyAlignment="1">
      <alignment horizontal="right" vertical="center" wrapText="1"/>
    </xf>
    <xf numFmtId="44" fontId="37" fillId="12" borderId="95" xfId="5" applyFont="1" applyFill="1" applyBorder="1" applyAlignment="1">
      <alignment vertical="center"/>
    </xf>
    <xf numFmtId="44" fontId="37" fillId="12" borderId="94" xfId="5" applyFont="1" applyFill="1" applyBorder="1" applyAlignment="1">
      <alignment horizontal="center" vertical="center" wrapText="1"/>
    </xf>
    <xf numFmtId="0" fontId="45" fillId="8" borderId="14" xfId="36" applyFont="1" applyFill="1" applyBorder="1" applyAlignment="1">
      <alignment horizontal="left" vertical="center"/>
    </xf>
    <xf numFmtId="0" fontId="45" fillId="3" borderId="16" xfId="36" applyFont="1" applyFill="1" applyBorder="1" applyAlignment="1">
      <alignment horizontal="left" vertical="center"/>
    </xf>
    <xf numFmtId="44" fontId="45" fillId="14" borderId="97" xfId="5" applyFont="1" applyFill="1" applyBorder="1" applyAlignment="1">
      <alignment vertical="center"/>
    </xf>
    <xf numFmtId="44" fontId="45" fillId="3" borderId="98" xfId="5" applyFont="1" applyFill="1" applyBorder="1" applyAlignment="1">
      <alignment vertical="center"/>
    </xf>
    <xf numFmtId="44" fontId="45" fillId="3" borderId="99" xfId="5" applyFont="1" applyFill="1" applyBorder="1" applyAlignment="1">
      <alignment vertical="center"/>
    </xf>
    <xf numFmtId="44" fontId="45" fillId="0" borderId="97" xfId="32" applyNumberFormat="1" applyFont="1" applyBorder="1" applyAlignment="1">
      <alignment vertical="center"/>
    </xf>
    <xf numFmtId="0" fontId="45" fillId="14" borderId="99" xfId="32" applyFont="1" applyFill="1" applyBorder="1" applyAlignment="1">
      <alignment vertical="center"/>
    </xf>
    <xf numFmtId="4" fontId="9" fillId="3" borderId="18" xfId="11" applyNumberFormat="1" applyFont="1" applyFill="1" applyBorder="1" applyAlignment="1">
      <alignment horizontal="left" vertical="center" wrapText="1"/>
    </xf>
    <xf numFmtId="4" fontId="9" fillId="3" borderId="6" xfId="11" applyNumberFormat="1" applyFont="1" applyFill="1" applyBorder="1" applyAlignment="1">
      <alignment horizontal="left" vertical="center" wrapText="1"/>
    </xf>
    <xf numFmtId="0" fontId="24" fillId="8" borderId="8" xfId="0" applyFont="1" applyFill="1" applyBorder="1"/>
    <xf numFmtId="4" fontId="9" fillId="3" borderId="39" xfId="11" applyNumberFormat="1" applyFont="1" applyFill="1" applyBorder="1" applyAlignment="1">
      <alignment horizontal="left" vertical="center" wrapText="1"/>
    </xf>
    <xf numFmtId="0" fontId="24" fillId="8" borderId="41" xfId="0" applyFont="1" applyFill="1" applyBorder="1"/>
    <xf numFmtId="44" fontId="33" fillId="10" borderId="7" xfId="5" applyFont="1" applyFill="1" applyBorder="1" applyAlignment="1">
      <alignment vertical="center" wrapText="1"/>
    </xf>
    <xf numFmtId="172" fontId="34" fillId="3" borderId="7" xfId="29" applyNumberFormat="1" applyFont="1" applyFill="1" applyBorder="1" applyAlignment="1" applyProtection="1">
      <alignment horizontal="right" vertical="center"/>
      <protection locked="0"/>
    </xf>
    <xf numFmtId="44" fontId="34" fillId="3" borderId="7" xfId="5" applyFont="1" applyFill="1" applyBorder="1" applyAlignment="1" applyProtection="1">
      <alignment vertical="center"/>
      <protection locked="0"/>
    </xf>
    <xf numFmtId="0" fontId="0" fillId="0" borderId="11" xfId="0" applyBorder="1"/>
    <xf numFmtId="44" fontId="36" fillId="0" borderId="0" xfId="5" applyFont="1" applyBorder="1" applyAlignment="1">
      <alignment vertical="center" wrapText="1"/>
    </xf>
    <xf numFmtId="44" fontId="37" fillId="12" borderId="93" xfId="5" applyFont="1" applyFill="1" applyBorder="1" applyAlignment="1">
      <alignment horizontal="center" vertical="center" wrapText="1"/>
    </xf>
    <xf numFmtId="44" fontId="36" fillId="12" borderId="56" xfId="5" applyFont="1" applyFill="1" applyBorder="1" applyAlignment="1">
      <alignment horizontal="right" vertical="center" wrapText="1"/>
    </xf>
    <xf numFmtId="0" fontId="33" fillId="16" borderId="7" xfId="27" applyFont="1" applyFill="1" applyBorder="1" applyAlignment="1">
      <alignment horizontal="center" vertical="center" wrapText="1"/>
    </xf>
    <xf numFmtId="44" fontId="33" fillId="16" borderId="7" xfId="5" applyFont="1" applyFill="1" applyBorder="1" applyAlignment="1">
      <alignment vertical="center" wrapText="1"/>
    </xf>
    <xf numFmtId="172" fontId="34" fillId="15" borderId="7" xfId="29" applyNumberFormat="1" applyFont="1" applyFill="1" applyBorder="1" applyAlignment="1" applyProtection="1">
      <alignment horizontal="right" vertical="center"/>
      <protection locked="0"/>
    </xf>
    <xf numFmtId="44" fontId="34" fillId="15" borderId="7" xfId="5" applyFont="1" applyFill="1" applyBorder="1" applyAlignment="1" applyProtection="1">
      <alignment vertical="center"/>
      <protection locked="0"/>
    </xf>
    <xf numFmtId="4" fontId="14" fillId="3" borderId="4" xfId="13" applyNumberFormat="1" applyFont="1" applyFill="1" applyBorder="1" applyAlignment="1">
      <alignment horizontal="right" vertical="center" wrapText="1"/>
    </xf>
    <xf numFmtId="4" fontId="14" fillId="3" borderId="0" xfId="13" applyNumberFormat="1" applyFont="1" applyFill="1" applyAlignment="1">
      <alignment horizontal="right" vertical="center" wrapText="1"/>
    </xf>
    <xf numFmtId="4" fontId="14" fillId="3" borderId="24" xfId="13" applyNumberFormat="1" applyFont="1" applyFill="1" applyBorder="1" applyAlignment="1">
      <alignment horizontal="right" vertical="center" wrapText="1"/>
    </xf>
    <xf numFmtId="168" fontId="14" fillId="3" borderId="17" xfId="17" applyFont="1" applyFill="1" applyBorder="1" applyAlignment="1" applyProtection="1">
      <alignment horizontal="center" vertical="center"/>
    </xf>
    <xf numFmtId="44" fontId="36" fillId="3" borderId="0" xfId="5" applyFont="1" applyFill="1" applyBorder="1" applyAlignment="1">
      <alignment horizontal="right" vertical="center" wrapText="1"/>
    </xf>
    <xf numFmtId="4" fontId="0" fillId="0" borderId="7" xfId="0" applyNumberFormat="1" applyBorder="1" applyAlignment="1">
      <alignment horizontal="center" vertical="center"/>
    </xf>
    <xf numFmtId="43" fontId="0" fillId="0" borderId="0" xfId="7" applyFon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4" fillId="0" borderId="0" xfId="0" applyFont="1"/>
    <xf numFmtId="49" fontId="37" fillId="0" borderId="4" xfId="0" applyNumberFormat="1" applyFont="1" applyBorder="1" applyAlignment="1">
      <alignment horizontal="left" vertical="center" wrapText="1"/>
    </xf>
    <xf numFmtId="49" fontId="37" fillId="0" borderId="0" xfId="0" applyNumberFormat="1" applyFont="1" applyAlignment="1">
      <alignment horizontal="left" vertical="center" wrapText="1"/>
    </xf>
    <xf numFmtId="44" fontId="35" fillId="0" borderId="54" xfId="5" applyFont="1" applyBorder="1"/>
    <xf numFmtId="0" fontId="38" fillId="0" borderId="0" xfId="0" applyFont="1"/>
    <xf numFmtId="0" fontId="35" fillId="0" borderId="53" xfId="0" applyFont="1" applyBorder="1" applyAlignment="1">
      <alignment horizontal="center" wrapText="1"/>
    </xf>
    <xf numFmtId="0" fontId="35" fillId="0" borderId="54" xfId="0" applyFont="1" applyBorder="1" applyAlignment="1">
      <alignment horizontal="center" wrapText="1"/>
    </xf>
    <xf numFmtId="0" fontId="35" fillId="0" borderId="55" xfId="0" applyFont="1" applyBorder="1" applyAlignment="1">
      <alignment horizontal="center" wrapText="1"/>
    </xf>
    <xf numFmtId="44" fontId="38" fillId="0" borderId="18" xfId="5" applyFont="1" applyBorder="1" applyAlignment="1"/>
    <xf numFmtId="44" fontId="38" fillId="0" borderId="19" xfId="5" applyFont="1" applyBorder="1" applyAlignment="1"/>
    <xf numFmtId="44" fontId="38" fillId="0" borderId="20" xfId="5" applyFont="1" applyBorder="1" applyAlignment="1"/>
    <xf numFmtId="44" fontId="38" fillId="0" borderId="6" xfId="5" applyFont="1" applyBorder="1" applyAlignment="1"/>
    <xf numFmtId="44" fontId="38" fillId="0" borderId="7" xfId="5" applyFont="1" applyBorder="1" applyAlignment="1"/>
    <xf numFmtId="44" fontId="38" fillId="0" borderId="8" xfId="5" applyFont="1" applyBorder="1" applyAlignment="1"/>
    <xf numFmtId="44" fontId="38" fillId="3" borderId="0" xfId="5" applyFont="1" applyFill="1" applyBorder="1" applyAlignment="1"/>
    <xf numFmtId="44" fontId="38" fillId="0" borderId="0" xfId="5" applyFont="1"/>
    <xf numFmtId="0" fontId="35" fillId="0" borderId="7" xfId="0" applyFont="1" applyBorder="1" applyAlignment="1">
      <alignment horizontal="center" vertical="center" wrapText="1"/>
    </xf>
    <xf numFmtId="44" fontId="38" fillId="0" borderId="7" xfId="5" applyFont="1" applyBorder="1"/>
    <xf numFmtId="44" fontId="38" fillId="0" borderId="0" xfId="5" applyFont="1" applyAlignment="1"/>
    <xf numFmtId="0" fontId="38" fillId="0" borderId="7" xfId="0" applyFont="1" applyBorder="1"/>
    <xf numFmtId="44" fontId="38" fillId="0" borderId="7" xfId="0" applyNumberFormat="1" applyFont="1" applyBorder="1"/>
    <xf numFmtId="44" fontId="38" fillId="0" borderId="16" xfId="5" applyFont="1" applyBorder="1"/>
    <xf numFmtId="44" fontId="37" fillId="12" borderId="81" xfId="5" applyFont="1" applyFill="1" applyBorder="1" applyAlignment="1">
      <alignment horizontal="center" wrapText="1"/>
    </xf>
    <xf numFmtId="44" fontId="37" fillId="12" borderId="81" xfId="5" applyFont="1" applyFill="1" applyBorder="1" applyAlignment="1">
      <alignment horizontal="right" wrapText="1"/>
    </xf>
    <xf numFmtId="0" fontId="35" fillId="0" borderId="6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8" fillId="0" borderId="6" xfId="0" applyFont="1" applyBorder="1"/>
    <xf numFmtId="44" fontId="38" fillId="0" borderId="8" xfId="0" applyNumberFormat="1" applyFont="1" applyBorder="1"/>
    <xf numFmtId="44" fontId="38" fillId="0" borderId="6" xfId="5" applyFont="1" applyBorder="1"/>
    <xf numFmtId="44" fontId="38" fillId="0" borderId="37" xfId="5" applyFont="1" applyBorder="1"/>
    <xf numFmtId="0" fontId="0" fillId="0" borderId="10" xfId="0" applyBorder="1"/>
    <xf numFmtId="0" fontId="0" fillId="0" borderId="12" xfId="0" applyBorder="1"/>
    <xf numFmtId="49" fontId="50" fillId="3" borderId="0" xfId="0" applyNumberFormat="1" applyFont="1" applyFill="1" applyAlignment="1">
      <alignment horizontal="right" vertical="center" wrapText="1"/>
    </xf>
    <xf numFmtId="44" fontId="50" fillId="3" borderId="5" xfId="5" applyFont="1" applyFill="1" applyBorder="1" applyAlignment="1">
      <alignment horizontal="right" vertical="center" wrapText="1"/>
    </xf>
    <xf numFmtId="0" fontId="49" fillId="3" borderId="10" xfId="0" applyFont="1" applyFill="1" applyBorder="1" applyAlignment="1">
      <alignment vertical="center"/>
    </xf>
    <xf numFmtId="0" fontId="49" fillId="3" borderId="11" xfId="0" applyFont="1" applyFill="1" applyBorder="1" applyAlignment="1">
      <alignment vertical="center"/>
    </xf>
    <xf numFmtId="44" fontId="50" fillId="3" borderId="12" xfId="5" applyFont="1" applyFill="1" applyBorder="1" applyAlignment="1">
      <alignment horizontal="right" vertical="center" wrapText="1"/>
    </xf>
    <xf numFmtId="0" fontId="15" fillId="3" borderId="0" xfId="0" applyFont="1" applyFill="1"/>
    <xf numFmtId="0" fontId="49" fillId="3" borderId="4" xfId="0" applyFont="1" applyFill="1" applyBorder="1" applyAlignment="1">
      <alignment vertical="center"/>
    </xf>
    <xf numFmtId="0" fontId="49" fillId="3" borderId="0" xfId="0" applyFont="1" applyFill="1" applyAlignment="1">
      <alignment vertical="center"/>
    </xf>
    <xf numFmtId="0" fontId="49" fillId="3" borderId="5" xfId="0" applyFont="1" applyFill="1" applyBorder="1" applyAlignment="1">
      <alignment vertical="center"/>
    </xf>
    <xf numFmtId="44" fontId="49" fillId="3" borderId="5" xfId="5" applyFont="1" applyFill="1" applyBorder="1" applyAlignment="1">
      <alignment vertical="center"/>
    </xf>
    <xf numFmtId="44" fontId="49" fillId="3" borderId="88" xfId="5" applyFont="1" applyFill="1" applyBorder="1" applyAlignment="1">
      <alignment horizontal="center" wrapText="1"/>
    </xf>
    <xf numFmtId="49" fontId="49" fillId="3" borderId="4" xfId="0" applyNumberFormat="1" applyFont="1" applyFill="1" applyBorder="1" applyAlignment="1">
      <alignment horizontal="left" vertical="center" wrapText="1"/>
    </xf>
    <xf numFmtId="49" fontId="49" fillId="3" borderId="0" xfId="0" applyNumberFormat="1" applyFont="1" applyFill="1" applyAlignment="1">
      <alignment horizontal="left" vertical="center" wrapText="1"/>
    </xf>
    <xf numFmtId="49" fontId="49" fillId="3" borderId="0" xfId="0" applyNumberFormat="1" applyFont="1" applyFill="1" applyAlignment="1">
      <alignment horizontal="center" vertical="center" wrapText="1"/>
    </xf>
    <xf numFmtId="49" fontId="50" fillId="3" borderId="0" xfId="0" applyNumberFormat="1" applyFont="1" applyFill="1" applyAlignment="1">
      <alignment horizontal="left" vertical="center" wrapText="1"/>
    </xf>
    <xf numFmtId="44" fontId="50" fillId="3" borderId="0" xfId="5" applyFont="1" applyFill="1" applyBorder="1" applyAlignment="1">
      <alignment vertical="center" wrapText="1"/>
    </xf>
    <xf numFmtId="49" fontId="49" fillId="3" borderId="4" xfId="0" applyNumberFormat="1" applyFont="1" applyFill="1" applyBorder="1" applyAlignment="1">
      <alignment vertical="center" wrapText="1"/>
    </xf>
    <xf numFmtId="49" fontId="49" fillId="3" borderId="0" xfId="0" applyNumberFormat="1" applyFont="1" applyFill="1" applyAlignment="1">
      <alignment vertical="center" wrapText="1"/>
    </xf>
    <xf numFmtId="44" fontId="50" fillId="3" borderId="0" xfId="5" applyFont="1" applyFill="1" applyAlignment="1">
      <alignment horizontal="right" vertical="center" wrapText="1"/>
    </xf>
    <xf numFmtId="44" fontId="49" fillId="3" borderId="0" xfId="5" applyFont="1" applyFill="1" applyAlignment="1">
      <alignment vertical="center"/>
    </xf>
    <xf numFmtId="44" fontId="25" fillId="9" borderId="0" xfId="5" applyFont="1" applyFill="1" applyBorder="1" applyAlignment="1" applyProtection="1">
      <alignment horizontal="center" vertical="center"/>
    </xf>
    <xf numFmtId="44" fontId="24" fillId="8" borderId="0" xfId="5" applyFont="1" applyFill="1" applyBorder="1" applyAlignment="1">
      <alignment horizontal="center" vertical="center" wrapText="1"/>
    </xf>
    <xf numFmtId="3" fontId="28" fillId="9" borderId="68" xfId="1" applyNumberFormat="1" applyFont="1" applyFill="1" applyBorder="1" applyAlignment="1" applyProtection="1">
      <alignment horizontal="center" vertical="center"/>
    </xf>
    <xf numFmtId="44" fontId="28" fillId="9" borderId="0" xfId="5" applyFont="1" applyFill="1" applyBorder="1" applyAlignment="1" applyProtection="1">
      <alignment horizontal="center" vertical="center"/>
    </xf>
    <xf numFmtId="44" fontId="28" fillId="8" borderId="0" xfId="5" applyFont="1" applyFill="1" applyBorder="1" applyAlignment="1" applyProtection="1">
      <alignment horizontal="right" vertical="center" wrapText="1"/>
    </xf>
    <xf numFmtId="0" fontId="49" fillId="3" borderId="51" xfId="0" applyFont="1" applyFill="1" applyBorder="1" applyAlignment="1">
      <alignment vertical="center"/>
    </xf>
    <xf numFmtId="0" fontId="49" fillId="3" borderId="52" xfId="0" applyFont="1" applyFill="1" applyBorder="1" applyAlignment="1">
      <alignment vertical="center"/>
    </xf>
    <xf numFmtId="49" fontId="50" fillId="3" borderId="50" xfId="0" applyNumberFormat="1" applyFont="1" applyFill="1" applyBorder="1" applyAlignment="1">
      <alignment horizontal="right" vertical="center" wrapText="1"/>
    </xf>
    <xf numFmtId="44" fontId="50" fillId="3" borderId="52" xfId="5" applyFont="1" applyFill="1" applyBorder="1" applyAlignment="1">
      <alignment horizontal="right" vertical="center" wrapText="1"/>
    </xf>
    <xf numFmtId="49" fontId="50" fillId="3" borderId="50" xfId="0" applyNumberFormat="1" applyFont="1" applyFill="1" applyBorder="1" applyAlignment="1">
      <alignment vertical="top" wrapText="1"/>
    </xf>
    <xf numFmtId="49" fontId="50" fillId="3" borderId="51" xfId="0" applyNumberFormat="1" applyFont="1" applyFill="1" applyBorder="1" applyAlignment="1">
      <alignment horizontal="center" vertical="center" wrapText="1"/>
    </xf>
    <xf numFmtId="49" fontId="50" fillId="3" borderId="0" xfId="0" applyNumberFormat="1" applyFont="1" applyFill="1" applyAlignment="1">
      <alignment horizontal="center" vertical="center" wrapText="1"/>
    </xf>
    <xf numFmtId="49" fontId="50" fillId="3" borderId="50" xfId="0" applyNumberFormat="1" applyFont="1" applyFill="1" applyBorder="1" applyAlignment="1">
      <alignment vertical="center" wrapText="1"/>
    </xf>
    <xf numFmtId="44" fontId="49" fillId="3" borderId="52" xfId="5" applyFont="1" applyFill="1" applyBorder="1" applyAlignment="1">
      <alignment vertical="center"/>
    </xf>
    <xf numFmtId="44" fontId="50" fillId="3" borderId="106" xfId="5" applyFont="1" applyFill="1" applyBorder="1" applyAlignment="1">
      <alignment horizontal="right" vertical="center" wrapText="1"/>
    </xf>
    <xf numFmtId="49" fontId="50" fillId="3" borderId="50" xfId="0" applyNumberFormat="1" applyFont="1" applyFill="1" applyBorder="1" applyAlignment="1">
      <alignment horizontal="left" vertical="center" wrapText="1"/>
    </xf>
    <xf numFmtId="44" fontId="38" fillId="0" borderId="107" xfId="5" applyFont="1" applyBorder="1" applyAlignment="1"/>
    <xf numFmtId="44" fontId="38" fillId="0" borderId="96" xfId="5" applyFont="1" applyBorder="1" applyAlignment="1"/>
    <xf numFmtId="44" fontId="38" fillId="0" borderId="49" xfId="5" applyFont="1" applyBorder="1" applyAlignment="1"/>
    <xf numFmtId="49" fontId="50" fillId="3" borderId="11" xfId="0" applyNumberFormat="1" applyFont="1" applyFill="1" applyBorder="1" applyAlignment="1">
      <alignment vertical="center" wrapText="1"/>
    </xf>
    <xf numFmtId="0" fontId="38" fillId="0" borderId="107" xfId="0" applyFont="1" applyBorder="1"/>
    <xf numFmtId="0" fontId="38" fillId="0" borderId="96" xfId="0" applyFont="1" applyBorder="1"/>
    <xf numFmtId="44" fontId="38" fillId="0" borderId="49" xfId="0" applyNumberFormat="1" applyFont="1" applyBorder="1"/>
    <xf numFmtId="44" fontId="38" fillId="0" borderId="96" xfId="0" applyNumberFormat="1" applyFont="1" applyBorder="1"/>
    <xf numFmtId="0" fontId="49" fillId="3" borderId="1" xfId="0" applyFont="1" applyFill="1" applyBorder="1" applyAlignment="1">
      <alignment vertical="center"/>
    </xf>
    <xf numFmtId="0" fontId="49" fillId="3" borderId="2" xfId="0" applyFont="1" applyFill="1" applyBorder="1" applyAlignment="1">
      <alignment vertical="center"/>
    </xf>
    <xf numFmtId="0" fontId="49" fillId="3" borderId="3" xfId="0" applyFont="1" applyFill="1" applyBorder="1" applyAlignment="1">
      <alignment vertical="center"/>
    </xf>
    <xf numFmtId="44" fontId="36" fillId="0" borderId="52" xfId="5" applyFont="1" applyBorder="1" applyAlignment="1">
      <alignment horizontal="right" vertical="center" wrapText="1"/>
    </xf>
    <xf numFmtId="49" fontId="36" fillId="0" borderId="50" xfId="0" applyNumberFormat="1" applyFont="1" applyBorder="1" applyAlignment="1">
      <alignment horizontal="left" vertical="center" wrapText="1"/>
    </xf>
    <xf numFmtId="0" fontId="37" fillId="0" borderId="51" xfId="0" applyFont="1" applyBorder="1" applyAlignment="1">
      <alignment vertical="center"/>
    </xf>
    <xf numFmtId="44" fontId="37" fillId="0" borderId="52" xfId="5" applyFont="1" applyBorder="1" applyAlignment="1">
      <alignment vertical="center"/>
    </xf>
    <xf numFmtId="44" fontId="35" fillId="0" borderId="0" xfId="5" applyFont="1" applyBorder="1"/>
    <xf numFmtId="44" fontId="38" fillId="0" borderId="42" xfId="5" applyFont="1" applyBorder="1"/>
    <xf numFmtId="44" fontId="38" fillId="0" borderId="15" xfId="5" applyFont="1" applyBorder="1"/>
    <xf numFmtId="44" fontId="38" fillId="0" borderId="43" xfId="0" applyNumberFormat="1" applyFont="1" applyBorder="1"/>
    <xf numFmtId="0" fontId="35" fillId="0" borderId="3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8" fillId="0" borderId="42" xfId="0" applyFont="1" applyBorder="1" applyAlignment="1">
      <alignment vertical="center"/>
    </xf>
    <xf numFmtId="0" fontId="38" fillId="0" borderId="15" xfId="0" applyFont="1" applyBorder="1" applyAlignment="1">
      <alignment vertical="center"/>
    </xf>
    <xf numFmtId="44" fontId="38" fillId="0" borderId="15" xfId="0" applyNumberFormat="1" applyFont="1" applyBorder="1" applyAlignment="1">
      <alignment vertical="center"/>
    </xf>
    <xf numFmtId="44" fontId="38" fillId="0" borderId="43" xfId="0" applyNumberFormat="1" applyFont="1" applyBorder="1" applyAlignment="1">
      <alignment vertical="center"/>
    </xf>
    <xf numFmtId="0" fontId="38" fillId="0" borderId="42" xfId="0" applyFont="1" applyBorder="1"/>
    <xf numFmtId="0" fontId="38" fillId="0" borderId="15" xfId="0" applyFont="1" applyBorder="1"/>
    <xf numFmtId="44" fontId="38" fillId="0" borderId="15" xfId="0" applyNumberFormat="1" applyFont="1" applyBorder="1"/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44" fontId="38" fillId="0" borderId="107" xfId="5" applyFont="1" applyBorder="1"/>
    <xf numFmtId="44" fontId="38" fillId="0" borderId="96" xfId="5" applyFont="1" applyBorder="1"/>
    <xf numFmtId="44" fontId="49" fillId="3" borderId="3" xfId="5" applyFont="1" applyFill="1" applyBorder="1" applyAlignment="1">
      <alignment vertical="center"/>
    </xf>
    <xf numFmtId="49" fontId="50" fillId="3" borderId="106" xfId="0" applyNumberFormat="1" applyFont="1" applyFill="1" applyBorder="1" applyAlignment="1">
      <alignment horizontal="center" vertical="center" wrapText="1"/>
    </xf>
    <xf numFmtId="49" fontId="50" fillId="3" borderId="10" xfId="0" applyNumberFormat="1" applyFont="1" applyFill="1" applyBorder="1" applyAlignment="1">
      <alignment horizontal="right" vertical="center" wrapText="1"/>
    </xf>
    <xf numFmtId="44" fontId="37" fillId="12" borderId="118" xfId="5" applyFont="1" applyFill="1" applyBorder="1" applyAlignment="1">
      <alignment horizontal="right" vertical="center" wrapText="1"/>
    </xf>
    <xf numFmtId="44" fontId="50" fillId="3" borderId="119" xfId="5" applyFont="1" applyFill="1" applyBorder="1" applyAlignment="1">
      <alignment horizontal="center" vertical="center" wrapText="1"/>
    </xf>
    <xf numFmtId="49" fontId="50" fillId="3" borderId="11" xfId="0" applyNumberFormat="1" applyFont="1" applyFill="1" applyBorder="1" applyAlignment="1">
      <alignment horizontal="left" vertical="center" wrapText="1"/>
    </xf>
    <xf numFmtId="44" fontId="49" fillId="3" borderId="20" xfId="5" applyFont="1" applyFill="1" applyBorder="1" applyAlignment="1">
      <alignment horizontal="right" vertical="center" wrapText="1"/>
    </xf>
    <xf numFmtId="44" fontId="50" fillId="3" borderId="106" xfId="5" applyFont="1" applyFill="1" applyBorder="1" applyAlignment="1">
      <alignment horizontal="center" vertical="center" wrapText="1"/>
    </xf>
    <xf numFmtId="49" fontId="50" fillId="3" borderId="106" xfId="0" applyNumberFormat="1" applyFont="1" applyFill="1" applyBorder="1" applyAlignment="1">
      <alignment horizontal="center" wrapText="1"/>
    </xf>
    <xf numFmtId="44" fontId="50" fillId="3" borderId="106" xfId="5" applyFont="1" applyFill="1" applyBorder="1" applyAlignment="1">
      <alignment horizontal="center" wrapText="1"/>
    </xf>
    <xf numFmtId="44" fontId="36" fillId="0" borderId="106" xfId="5" applyFont="1" applyBorder="1" applyAlignment="1">
      <alignment horizontal="center" wrapText="1"/>
    </xf>
    <xf numFmtId="173" fontId="45" fillId="3" borderId="7" xfId="7" applyNumberFormat="1" applyFont="1" applyFill="1" applyBorder="1" applyAlignment="1">
      <alignment horizontal="center" vertical="center" wrapText="1"/>
    </xf>
    <xf numFmtId="0" fontId="14" fillId="7" borderId="7" xfId="9" applyFont="1" applyFill="1" applyBorder="1" applyAlignment="1">
      <alignment vertical="center" wrapText="1"/>
    </xf>
    <xf numFmtId="0" fontId="14" fillId="7" borderId="7" xfId="9" applyFont="1" applyFill="1" applyBorder="1" applyAlignment="1">
      <alignment horizontal="center" vertical="center" wrapText="1"/>
    </xf>
    <xf numFmtId="181" fontId="45" fillId="3" borderId="7" xfId="7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82" fontId="0" fillId="0" borderId="9" xfId="0" applyNumberForma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8" borderId="4" xfId="0" applyFill="1" applyBorder="1"/>
    <xf numFmtId="0" fontId="0" fillId="8" borderId="0" xfId="0" applyFill="1"/>
    <xf numFmtId="0" fontId="0" fillId="3" borderId="5" xfId="0" applyFill="1" applyBorder="1"/>
    <xf numFmtId="0" fontId="0" fillId="3" borderId="4" xfId="0" applyFill="1" applyBorder="1"/>
    <xf numFmtId="182" fontId="0" fillId="0" borderId="0" xfId="0" applyNumberFormat="1" applyAlignment="1">
      <alignment horizontal="center" vertical="center"/>
    </xf>
    <xf numFmtId="0" fontId="20" fillId="7" borderId="16" xfId="9" applyFont="1" applyFill="1" applyBorder="1" applyAlignment="1">
      <alignment vertical="center" wrapText="1" shrinkToFit="1"/>
    </xf>
    <xf numFmtId="0" fontId="14" fillId="7" borderId="19" xfId="9" applyFont="1" applyFill="1" applyBorder="1" applyAlignment="1">
      <alignment vertical="center" wrapText="1"/>
    </xf>
    <xf numFmtId="0" fontId="45" fillId="0" borderId="7" xfId="32" applyFont="1" applyBorder="1" applyAlignment="1">
      <alignment horizontal="center" vertical="center"/>
    </xf>
    <xf numFmtId="0" fontId="43" fillId="6" borderId="0" xfId="33" applyFont="1" applyFill="1" applyBorder="1" applyAlignment="1">
      <alignment horizontal="center" vertical="center" wrapText="1"/>
    </xf>
    <xf numFmtId="0" fontId="14" fillId="12" borderId="16" xfId="35" applyFont="1" applyFill="1" applyBorder="1" applyAlignment="1">
      <alignment horizontal="center" vertical="center"/>
    </xf>
    <xf numFmtId="0" fontId="14" fillId="0" borderId="9" xfId="36" applyFont="1" applyBorder="1" applyAlignment="1">
      <alignment horizontal="center" vertical="center"/>
    </xf>
    <xf numFmtId="0" fontId="14" fillId="0" borderId="14" xfId="36" applyFont="1" applyBorder="1" applyAlignment="1">
      <alignment horizontal="center" vertical="center"/>
    </xf>
    <xf numFmtId="0" fontId="14" fillId="0" borderId="13" xfId="36" applyFont="1" applyBorder="1" applyAlignment="1">
      <alignment horizontal="center" vertical="center"/>
    </xf>
    <xf numFmtId="44" fontId="0" fillId="0" borderId="0" xfId="5" applyFont="1" applyBorder="1" applyAlignment="1">
      <alignment vertical="center"/>
    </xf>
    <xf numFmtId="44" fontId="38" fillId="0" borderId="24" xfId="5" applyFont="1" applyBorder="1"/>
    <xf numFmtId="0" fontId="0" fillId="0" borderId="51" xfId="0" applyBorder="1"/>
    <xf numFmtId="183" fontId="24" fillId="8" borderId="20" xfId="0" applyNumberFormat="1" applyFont="1" applyFill="1" applyBorder="1"/>
    <xf numFmtId="0" fontId="0" fillId="0" borderId="0" xfId="0" applyAlignment="1">
      <alignment wrapText="1"/>
    </xf>
    <xf numFmtId="0" fontId="0" fillId="0" borderId="7" xfId="0" applyBorder="1" applyAlignment="1">
      <alignment vertical="center" wrapText="1"/>
    </xf>
    <xf numFmtId="0" fontId="24" fillId="4" borderId="7" xfId="0" applyFont="1" applyFill="1" applyBorder="1" applyAlignment="1">
      <alignment wrapText="1"/>
    </xf>
    <xf numFmtId="0" fontId="24" fillId="4" borderId="7" xfId="0" applyFont="1" applyFill="1" applyBorder="1" applyAlignment="1">
      <alignment horizontal="center"/>
    </xf>
    <xf numFmtId="44" fontId="0" fillId="0" borderId="7" xfId="5" applyFont="1" applyBorder="1" applyAlignment="1">
      <alignment horizontal="center" vertical="center"/>
    </xf>
    <xf numFmtId="0" fontId="37" fillId="3" borderId="0" xfId="0" applyFont="1" applyFill="1" applyAlignment="1">
      <alignment vertical="center"/>
    </xf>
    <xf numFmtId="49" fontId="36" fillId="3" borderId="50" xfId="0" applyNumberFormat="1" applyFont="1" applyFill="1" applyBorder="1" applyAlignment="1">
      <alignment horizontal="right" vertical="center" wrapText="1"/>
    </xf>
    <xf numFmtId="49" fontId="37" fillId="3" borderId="0" xfId="0" applyNumberFormat="1" applyFont="1" applyFill="1" applyAlignment="1">
      <alignment horizontal="center" vertical="center" wrapText="1"/>
    </xf>
    <xf numFmtId="49" fontId="36" fillId="3" borderId="0" xfId="0" applyNumberFormat="1" applyFont="1" applyFill="1" applyAlignment="1">
      <alignment horizontal="right" vertical="center" wrapText="1"/>
    </xf>
    <xf numFmtId="0" fontId="37" fillId="3" borderId="51" xfId="0" applyFont="1" applyFill="1" applyBorder="1" applyAlignment="1">
      <alignment vertical="center"/>
    </xf>
    <xf numFmtId="44" fontId="35" fillId="0" borderId="53" xfId="5" applyFont="1" applyBorder="1"/>
    <xf numFmtId="44" fontId="35" fillId="0" borderId="55" xfId="5" applyFont="1" applyBorder="1"/>
    <xf numFmtId="44" fontId="50" fillId="3" borderId="59" xfId="5" applyFont="1" applyFill="1" applyBorder="1" applyAlignment="1">
      <alignment horizontal="right" vertical="center" wrapText="1"/>
    </xf>
    <xf numFmtId="44" fontId="36" fillId="12" borderId="51" xfId="5" applyFont="1" applyFill="1" applyBorder="1" applyAlignment="1">
      <alignment horizontal="right" vertical="center" wrapText="1"/>
    </xf>
    <xf numFmtId="0" fontId="45" fillId="8" borderId="15" xfId="36" applyFont="1" applyFill="1" applyBorder="1" applyAlignment="1">
      <alignment horizontal="left" vertical="center" wrapText="1"/>
    </xf>
    <xf numFmtId="0" fontId="45" fillId="8" borderId="7" xfId="36" applyFont="1" applyFill="1" applyBorder="1" applyAlignment="1">
      <alignment horizontal="left" vertical="center" wrapText="1"/>
    </xf>
    <xf numFmtId="43" fontId="8" fillId="3" borderId="15" xfId="7" applyFont="1" applyFill="1" applyBorder="1" applyAlignment="1">
      <alignment horizontal="left" vertical="center" wrapText="1"/>
    </xf>
    <xf numFmtId="44" fontId="8" fillId="3" borderId="15" xfId="9" applyNumberFormat="1" applyFont="1" applyFill="1" applyBorder="1" applyAlignment="1">
      <alignment horizontal="left" vertical="center" wrapText="1"/>
    </xf>
    <xf numFmtId="43" fontId="8" fillId="3" borderId="7" xfId="7" applyFont="1" applyFill="1" applyBorder="1" applyAlignment="1">
      <alignment horizontal="left" vertical="center" wrapText="1"/>
    </xf>
    <xf numFmtId="44" fontId="8" fillId="3" borderId="7" xfId="9" applyNumberFormat="1" applyFont="1" applyFill="1" applyBorder="1" applyAlignment="1">
      <alignment horizontal="left" vertical="center" wrapText="1"/>
    </xf>
    <xf numFmtId="43" fontId="8" fillId="3" borderId="16" xfId="7" applyFont="1" applyFill="1" applyBorder="1" applyAlignment="1">
      <alignment horizontal="left" vertical="center" wrapText="1"/>
    </xf>
    <xf numFmtId="44" fontId="8" fillId="3" borderId="16" xfId="9" applyNumberFormat="1" applyFont="1" applyFill="1" applyBorder="1" applyAlignment="1">
      <alignment horizontal="left" vertical="center" wrapText="1"/>
    </xf>
    <xf numFmtId="0" fontId="19" fillId="6" borderId="6" xfId="9" applyFont="1" applyFill="1" applyBorder="1" applyAlignment="1">
      <alignment horizontal="center" vertical="center" wrapText="1"/>
    </xf>
    <xf numFmtId="0" fontId="19" fillId="6" borderId="7" xfId="9" applyFont="1" applyFill="1" applyBorder="1" applyAlignment="1">
      <alignment horizontal="center" vertical="center" wrapText="1"/>
    </xf>
    <xf numFmtId="0" fontId="19" fillId="6" borderId="8" xfId="9" applyFont="1" applyFill="1" applyBorder="1" applyAlignment="1">
      <alignment horizontal="center" vertical="center" wrapText="1"/>
    </xf>
    <xf numFmtId="0" fontId="19" fillId="13" borderId="7" xfId="9" applyFont="1" applyFill="1" applyBorder="1" applyAlignment="1">
      <alignment horizontal="center" vertical="center" wrapText="1" shrinkToFit="1"/>
    </xf>
    <xf numFmtId="0" fontId="19" fillId="13" borderId="34" xfId="9" applyFont="1" applyFill="1" applyBorder="1" applyAlignment="1">
      <alignment horizontal="center" vertical="center" wrapText="1" shrinkToFit="1"/>
    </xf>
    <xf numFmtId="0" fontId="19" fillId="13" borderId="35" xfId="9" applyFont="1" applyFill="1" applyBorder="1" applyAlignment="1">
      <alignment horizontal="center" vertical="center" wrapText="1" shrinkToFit="1"/>
    </xf>
    <xf numFmtId="0" fontId="19" fillId="13" borderId="9" xfId="9" applyFont="1" applyFill="1" applyBorder="1" applyAlignment="1">
      <alignment horizontal="center" vertical="center" wrapText="1" shrinkToFit="1"/>
    </xf>
    <xf numFmtId="0" fontId="19" fillId="13" borderId="36" xfId="9" applyFont="1" applyFill="1" applyBorder="1" applyAlignment="1">
      <alignment horizontal="center" vertical="center" wrapText="1" shrinkToFit="1"/>
    </xf>
    <xf numFmtId="0" fontId="19" fillId="6" borderId="29" xfId="9" applyFont="1" applyFill="1" applyBorder="1" applyAlignment="1">
      <alignment horizontal="center" vertical="center" wrapText="1"/>
    </xf>
    <xf numFmtId="0" fontId="19" fillId="6" borderId="30" xfId="9" applyFont="1" applyFill="1" applyBorder="1" applyAlignment="1">
      <alignment horizontal="center" vertical="center" wrapText="1"/>
    </xf>
    <xf numFmtId="0" fontId="19" fillId="6" borderId="31" xfId="9" applyFont="1" applyFill="1" applyBorder="1" applyAlignment="1">
      <alignment horizontal="center" vertical="center" wrapText="1"/>
    </xf>
    <xf numFmtId="0" fontId="14" fillId="6" borderId="18" xfId="9" applyFont="1" applyFill="1" applyBorder="1" applyAlignment="1">
      <alignment horizontal="center" vertical="center"/>
    </xf>
    <xf numFmtId="0" fontId="14" fillId="6" borderId="6" xfId="9" applyFont="1" applyFill="1" applyBorder="1" applyAlignment="1">
      <alignment horizontal="center" vertical="center"/>
    </xf>
    <xf numFmtId="0" fontId="14" fillId="0" borderId="22" xfId="9" applyFont="1" applyBorder="1" applyAlignment="1">
      <alignment horizontal="center" vertical="center"/>
    </xf>
    <xf numFmtId="0" fontId="14" fillId="0" borderId="2" xfId="9" applyFont="1" applyBorder="1" applyAlignment="1">
      <alignment horizontal="center" vertical="center"/>
    </xf>
    <xf numFmtId="0" fontId="14" fillId="0" borderId="23" xfId="9" applyFont="1" applyBorder="1" applyAlignment="1">
      <alignment horizontal="center" vertical="center"/>
    </xf>
    <xf numFmtId="0" fontId="14" fillId="0" borderId="3" xfId="9" applyFont="1" applyBorder="1" applyAlignment="1">
      <alignment horizontal="center" vertical="center"/>
    </xf>
    <xf numFmtId="0" fontId="14" fillId="0" borderId="17" xfId="9" applyFont="1" applyBorder="1" applyAlignment="1">
      <alignment horizontal="center" vertical="center"/>
    </xf>
    <xf numFmtId="0" fontId="14" fillId="0" borderId="0" xfId="9" applyFont="1" applyAlignment="1">
      <alignment horizontal="center" vertical="center"/>
    </xf>
    <xf numFmtId="0" fontId="14" fillId="0" borderId="5" xfId="9" applyFont="1" applyBorder="1" applyAlignment="1">
      <alignment horizontal="center" vertical="center"/>
    </xf>
    <xf numFmtId="0" fontId="14" fillId="0" borderId="25" xfId="9" applyFont="1" applyBorder="1" applyAlignment="1">
      <alignment horizontal="center" vertical="center"/>
    </xf>
    <xf numFmtId="0" fontId="14" fillId="0" borderId="26" xfId="9" applyFont="1" applyBorder="1" applyAlignment="1">
      <alignment horizontal="center" vertical="center"/>
    </xf>
    <xf numFmtId="0" fontId="14" fillId="0" borderId="28" xfId="9" applyFont="1" applyBorder="1" applyAlignment="1">
      <alignment horizontal="center" vertical="center"/>
    </xf>
    <xf numFmtId="0" fontId="14" fillId="0" borderId="24" xfId="9" applyFont="1" applyBorder="1" applyAlignment="1">
      <alignment horizontal="center" vertical="center"/>
    </xf>
    <xf numFmtId="0" fontId="14" fillId="0" borderId="27" xfId="9" applyFont="1" applyBorder="1" applyAlignment="1">
      <alignment horizontal="center" vertical="center"/>
    </xf>
    <xf numFmtId="167" fontId="20" fillId="7" borderId="7" xfId="10" applyFont="1" applyFill="1" applyBorder="1" applyAlignment="1">
      <alignment horizontal="center" vertical="center" wrapText="1"/>
    </xf>
    <xf numFmtId="167" fontId="20" fillId="7" borderId="16" xfId="10" applyFont="1" applyFill="1" applyBorder="1" applyAlignment="1">
      <alignment horizontal="center" vertical="center" wrapText="1"/>
    </xf>
    <xf numFmtId="0" fontId="20" fillId="7" borderId="7" xfId="9" applyFont="1" applyFill="1" applyBorder="1" applyAlignment="1">
      <alignment horizontal="center" vertical="center"/>
    </xf>
    <xf numFmtId="0" fontId="20" fillId="7" borderId="8" xfId="9" applyFont="1" applyFill="1" applyBorder="1" applyAlignment="1">
      <alignment horizontal="center" vertical="center"/>
    </xf>
    <xf numFmtId="0" fontId="20" fillId="7" borderId="16" xfId="9" applyFont="1" applyFill="1" applyBorder="1" applyAlignment="1">
      <alignment horizontal="center" vertical="center"/>
    </xf>
    <xf numFmtId="0" fontId="20" fillId="7" borderId="38" xfId="9" applyFont="1" applyFill="1" applyBorder="1" applyAlignment="1">
      <alignment horizontal="center" vertical="center"/>
    </xf>
    <xf numFmtId="0" fontId="20" fillId="7" borderId="6" xfId="9" applyFont="1" applyFill="1" applyBorder="1" applyAlignment="1">
      <alignment horizontal="center" vertical="center" wrapText="1"/>
    </xf>
    <xf numFmtId="0" fontId="47" fillId="7" borderId="6" xfId="9" applyFont="1" applyFill="1" applyBorder="1" applyAlignment="1">
      <alignment horizontal="center" vertical="center" wrapText="1"/>
    </xf>
    <xf numFmtId="0" fontId="47" fillId="7" borderId="37" xfId="9" applyFont="1" applyFill="1" applyBorder="1" applyAlignment="1">
      <alignment horizontal="center" vertical="center" wrapText="1"/>
    </xf>
    <xf numFmtId="166" fontId="20" fillId="7" borderId="7" xfId="9" applyNumberFormat="1" applyFont="1" applyFill="1" applyBorder="1" applyAlignment="1">
      <alignment horizontal="center" vertical="center" wrapText="1"/>
    </xf>
    <xf numFmtId="166" fontId="20" fillId="7" borderId="16" xfId="9" applyNumberFormat="1" applyFont="1" applyFill="1" applyBorder="1" applyAlignment="1">
      <alignment horizontal="center" vertical="center" wrapText="1"/>
    </xf>
    <xf numFmtId="168" fontId="8" fillId="3" borderId="7" xfId="14" applyFont="1" applyFill="1" applyBorder="1" applyAlignment="1" applyProtection="1">
      <alignment horizontal="center" vertical="center" wrapText="1"/>
    </xf>
    <xf numFmtId="0" fontId="22" fillId="3" borderId="8" xfId="15" applyFont="1" applyFill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 shrinkToFit="1"/>
    </xf>
    <xf numFmtId="0" fontId="13" fillId="0" borderId="7" xfId="9" applyFont="1" applyBorder="1" applyAlignment="1">
      <alignment horizontal="center" vertical="center" wrapText="1" shrinkToFit="1"/>
    </xf>
    <xf numFmtId="165" fontId="13" fillId="0" borderId="7" xfId="9" applyNumberFormat="1" applyFont="1" applyBorder="1" applyAlignment="1">
      <alignment horizontal="center" vertical="center" wrapText="1" shrinkToFit="1"/>
    </xf>
    <xf numFmtId="14" fontId="13" fillId="0" borderId="9" xfId="9" applyNumberFormat="1" applyFont="1" applyBorder="1" applyAlignment="1">
      <alignment horizontal="center" vertical="center" wrapText="1" shrinkToFit="1"/>
    </xf>
    <xf numFmtId="0" fontId="13" fillId="0" borderId="36" xfId="9" applyFont="1" applyBorder="1" applyAlignment="1">
      <alignment horizontal="center" vertical="center" wrapText="1" shrinkToFit="1"/>
    </xf>
    <xf numFmtId="0" fontId="20" fillId="7" borderId="6" xfId="9" applyFont="1" applyFill="1" applyBorder="1" applyAlignment="1">
      <alignment horizontal="center" vertical="center" wrapText="1" shrinkToFit="1"/>
    </xf>
    <xf numFmtId="0" fontId="20" fillId="7" borderId="7" xfId="9" applyFont="1" applyFill="1" applyBorder="1" applyAlignment="1">
      <alignment horizontal="center" vertical="center" wrapText="1" shrinkToFit="1"/>
    </xf>
    <xf numFmtId="0" fontId="20" fillId="7" borderId="8" xfId="9" applyFont="1" applyFill="1" applyBorder="1" applyAlignment="1">
      <alignment horizontal="center" vertical="center" wrapText="1" shrinkToFit="1"/>
    </xf>
    <xf numFmtId="0" fontId="20" fillId="7" borderId="66" xfId="9" applyFont="1" applyFill="1" applyBorder="1" applyAlignment="1">
      <alignment horizontal="left" vertical="center" wrapText="1" shrinkToFit="1"/>
    </xf>
    <xf numFmtId="0" fontId="20" fillId="7" borderId="60" xfId="9" applyFont="1" applyFill="1" applyBorder="1" applyAlignment="1">
      <alignment horizontal="left" vertical="center" wrapText="1" shrinkToFit="1"/>
    </xf>
    <xf numFmtId="0" fontId="20" fillId="7" borderId="58" xfId="9" applyFont="1" applyFill="1" applyBorder="1" applyAlignment="1">
      <alignment horizontal="left" vertical="center" wrapText="1" shrinkToFit="1"/>
    </xf>
    <xf numFmtId="0" fontId="14" fillId="7" borderId="61" xfId="9" applyFont="1" applyFill="1" applyBorder="1" applyAlignment="1">
      <alignment horizontal="center" vertical="center" wrapText="1"/>
    </xf>
    <xf numFmtId="0" fontId="14" fillId="7" borderId="62" xfId="9" applyFont="1" applyFill="1" applyBorder="1" applyAlignment="1">
      <alignment horizontal="center" vertical="center" wrapText="1"/>
    </xf>
    <xf numFmtId="0" fontId="14" fillId="7" borderId="63" xfId="9" applyFont="1" applyFill="1" applyBorder="1" applyAlignment="1">
      <alignment horizontal="center" vertical="center" wrapText="1"/>
    </xf>
    <xf numFmtId="0" fontId="20" fillId="7" borderId="57" xfId="9" applyFont="1" applyFill="1" applyBorder="1" applyAlignment="1">
      <alignment horizontal="center" vertical="center" wrapText="1" shrinkToFit="1"/>
    </xf>
    <xf numFmtId="0" fontId="20" fillId="7" borderId="67" xfId="9" applyFont="1" applyFill="1" applyBorder="1" applyAlignment="1">
      <alignment horizontal="center" vertical="center" wrapText="1" shrinkToFit="1"/>
    </xf>
    <xf numFmtId="0" fontId="14" fillId="7" borderId="64" xfId="9" applyFont="1" applyFill="1" applyBorder="1" applyAlignment="1">
      <alignment horizontal="center" vertical="center" wrapText="1"/>
    </xf>
    <xf numFmtId="0" fontId="14" fillId="7" borderId="65" xfId="9" applyFont="1" applyFill="1" applyBorder="1" applyAlignment="1">
      <alignment horizontal="center" vertical="center" wrapText="1"/>
    </xf>
    <xf numFmtId="4" fontId="8" fillId="3" borderId="7" xfId="11" applyNumberFormat="1" applyFont="1" applyFill="1" applyBorder="1" applyAlignment="1">
      <alignment horizontal="left" vertical="center" wrapText="1"/>
    </xf>
    <xf numFmtId="4" fontId="8" fillId="3" borderId="9" xfId="11" applyNumberFormat="1" applyFont="1" applyFill="1" applyBorder="1" applyAlignment="1">
      <alignment horizontal="left" vertical="center" wrapText="1"/>
    </xf>
    <xf numFmtId="4" fontId="8" fillId="3" borderId="13" xfId="11" applyNumberFormat="1" applyFont="1" applyFill="1" applyBorder="1" applyAlignment="1">
      <alignment horizontal="left" vertical="center" wrapText="1"/>
    </xf>
    <xf numFmtId="4" fontId="9" fillId="13" borderId="6" xfId="16" applyNumberFormat="1" applyFont="1" applyFill="1" applyBorder="1" applyAlignment="1" applyProtection="1">
      <alignment horizontal="right" vertical="center" wrapText="1"/>
    </xf>
    <xf numFmtId="4" fontId="9" fillId="13" borderId="7" xfId="16" applyNumberFormat="1" applyFont="1" applyFill="1" applyBorder="1" applyAlignment="1" applyProtection="1">
      <alignment horizontal="right" vertical="center" wrapText="1"/>
    </xf>
    <xf numFmtId="168" fontId="9" fillId="13" borderId="7" xfId="17" applyFont="1" applyFill="1" applyBorder="1" applyAlignment="1" applyProtection="1">
      <alignment horizontal="center" vertical="center"/>
    </xf>
    <xf numFmtId="168" fontId="9" fillId="13" borderId="8" xfId="17" applyFont="1" applyFill="1" applyBorder="1" applyAlignment="1" applyProtection="1">
      <alignment horizontal="center" vertical="center"/>
    </xf>
    <xf numFmtId="0" fontId="11" fillId="13" borderId="18" xfId="2" applyFont="1" applyFill="1" applyBorder="1" applyAlignment="1">
      <alignment horizontal="center" vertical="center" wrapText="1"/>
    </xf>
    <xf numFmtId="0" fontId="11" fillId="13" borderId="19" xfId="2" applyFont="1" applyFill="1" applyBorder="1" applyAlignment="1">
      <alignment horizontal="center" vertical="center" wrapText="1"/>
    </xf>
    <xf numFmtId="44" fontId="8" fillId="3" borderId="15" xfId="5" applyFont="1" applyFill="1" applyBorder="1" applyAlignment="1" applyProtection="1">
      <alignment horizontal="center" vertical="center" wrapText="1"/>
    </xf>
    <xf numFmtId="44" fontId="8" fillId="3" borderId="43" xfId="5" applyFont="1" applyFill="1" applyBorder="1" applyAlignment="1">
      <alignment horizontal="center" vertical="center" wrapText="1"/>
    </xf>
    <xf numFmtId="4" fontId="8" fillId="3" borderId="15" xfId="11" applyNumberFormat="1" applyFont="1" applyFill="1" applyBorder="1" applyAlignment="1">
      <alignment horizontal="left" vertical="center" wrapText="1"/>
    </xf>
    <xf numFmtId="168" fontId="48" fillId="13" borderId="7" xfId="2" applyNumberFormat="1" applyFont="1" applyFill="1" applyBorder="1" applyAlignment="1">
      <alignment horizontal="center" vertical="center" wrapText="1"/>
    </xf>
    <xf numFmtId="0" fontId="48" fillId="13" borderId="8" xfId="2" applyFont="1" applyFill="1" applyBorder="1" applyAlignment="1">
      <alignment horizontal="center" vertical="center" wrapText="1"/>
    </xf>
    <xf numFmtId="168" fontId="45" fillId="13" borderId="16" xfId="17" applyFont="1" applyFill="1" applyBorder="1" applyAlignment="1" applyProtection="1">
      <alignment horizontal="center" vertical="center"/>
    </xf>
    <xf numFmtId="168" fontId="45" fillId="13" borderId="38" xfId="17" applyFont="1" applyFill="1" applyBorder="1" applyAlignment="1" applyProtection="1">
      <alignment horizontal="center" vertical="center"/>
    </xf>
    <xf numFmtId="168" fontId="14" fillId="13" borderId="15" xfId="17" applyFont="1" applyFill="1" applyBorder="1" applyAlignment="1" applyProtection="1">
      <alignment horizontal="center" vertical="center"/>
    </xf>
    <xf numFmtId="168" fontId="14" fillId="13" borderId="43" xfId="17" applyFont="1" applyFill="1" applyBorder="1" applyAlignment="1" applyProtection="1">
      <alignment horizontal="center" vertical="center"/>
    </xf>
    <xf numFmtId="0" fontId="11" fillId="13" borderId="6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48" fillId="13" borderId="6" xfId="2" applyFont="1" applyFill="1" applyBorder="1" applyAlignment="1">
      <alignment horizontal="center" vertical="center" wrapText="1"/>
    </xf>
    <xf numFmtId="0" fontId="48" fillId="13" borderId="7" xfId="2" applyFont="1" applyFill="1" applyBorder="1" applyAlignment="1">
      <alignment horizontal="center" vertical="center" wrapText="1"/>
    </xf>
    <xf numFmtId="4" fontId="45" fillId="13" borderId="37" xfId="13" applyNumberFormat="1" applyFont="1" applyFill="1" applyBorder="1" applyAlignment="1">
      <alignment horizontal="center" vertical="center" wrapText="1"/>
    </xf>
    <xf numFmtId="4" fontId="45" fillId="13" borderId="16" xfId="13" applyNumberFormat="1" applyFont="1" applyFill="1" applyBorder="1" applyAlignment="1">
      <alignment horizontal="center" vertical="center" wrapText="1"/>
    </xf>
    <xf numFmtId="168" fontId="46" fillId="13" borderId="7" xfId="2" applyNumberFormat="1" applyFont="1" applyFill="1" applyBorder="1" applyAlignment="1">
      <alignment horizontal="center" vertical="center" wrapText="1"/>
    </xf>
    <xf numFmtId="0" fontId="46" fillId="13" borderId="8" xfId="2" applyFont="1" applyFill="1" applyBorder="1" applyAlignment="1">
      <alignment horizontal="center" vertical="center" wrapText="1"/>
    </xf>
    <xf numFmtId="0" fontId="14" fillId="7" borderId="53" xfId="9" applyFont="1" applyFill="1" applyBorder="1" applyAlignment="1">
      <alignment horizontal="left" vertical="center" wrapText="1"/>
    </xf>
    <xf numFmtId="0" fontId="14" fillId="7" borderId="54" xfId="9" applyFont="1" applyFill="1" applyBorder="1" applyAlignment="1">
      <alignment horizontal="left" vertical="center" wrapText="1"/>
    </xf>
    <xf numFmtId="0" fontId="14" fillId="7" borderId="55" xfId="9" applyFont="1" applyFill="1" applyBorder="1" applyAlignment="1">
      <alignment horizontal="left" vertical="center" wrapText="1"/>
    </xf>
    <xf numFmtId="4" fontId="14" fillId="13" borderId="39" xfId="13" applyNumberFormat="1" applyFont="1" applyFill="1" applyBorder="1" applyAlignment="1">
      <alignment horizontal="right" vertical="center" wrapText="1"/>
    </xf>
    <xf numFmtId="4" fontId="14" fillId="13" borderId="40" xfId="13" applyNumberFormat="1" applyFont="1" applyFill="1" applyBorder="1" applyAlignment="1">
      <alignment horizontal="right" vertical="center" wrapText="1"/>
    </xf>
    <xf numFmtId="168" fontId="14" fillId="13" borderId="40" xfId="17" applyFont="1" applyFill="1" applyBorder="1" applyAlignment="1" applyProtection="1">
      <alignment horizontal="center" vertical="center"/>
    </xf>
    <xf numFmtId="168" fontId="14" fillId="13" borderId="41" xfId="17" applyFont="1" applyFill="1" applyBorder="1" applyAlignment="1" applyProtection="1">
      <alignment horizontal="center" vertical="center"/>
    </xf>
    <xf numFmtId="4" fontId="14" fillId="13" borderId="6" xfId="13" applyNumberFormat="1" applyFont="1" applyFill="1" applyBorder="1" applyAlignment="1">
      <alignment horizontal="right" vertical="center"/>
    </xf>
    <xf numFmtId="4" fontId="14" fillId="13" borderId="7" xfId="13" applyNumberFormat="1" applyFont="1" applyFill="1" applyBorder="1" applyAlignment="1">
      <alignment horizontal="right" vertical="center"/>
    </xf>
    <xf numFmtId="44" fontId="14" fillId="13" borderId="7" xfId="22" applyNumberFormat="1" applyFont="1" applyFill="1" applyBorder="1" applyAlignment="1" applyProtection="1">
      <alignment horizontal="center" vertical="center" wrapText="1"/>
    </xf>
    <xf numFmtId="44" fontId="14" fillId="13" borderId="8" xfId="22" applyNumberFormat="1" applyFont="1" applyFill="1" applyBorder="1" applyAlignment="1" applyProtection="1">
      <alignment horizontal="center" vertical="center" wrapText="1"/>
    </xf>
    <xf numFmtId="4" fontId="14" fillId="13" borderId="6" xfId="13" applyNumberFormat="1" applyFont="1" applyFill="1" applyBorder="1" applyAlignment="1">
      <alignment horizontal="right" vertical="center" wrapText="1"/>
    </xf>
    <xf numFmtId="168" fontId="14" fillId="13" borderId="7" xfId="17" applyFont="1" applyFill="1" applyBorder="1" applyAlignment="1" applyProtection="1">
      <alignment horizontal="center" vertical="center" wrapText="1"/>
    </xf>
    <xf numFmtId="168" fontId="14" fillId="13" borderId="8" xfId="17" applyFont="1" applyFill="1" applyBorder="1" applyAlignment="1" applyProtection="1">
      <alignment horizontal="center" vertical="center" wrapText="1"/>
    </xf>
    <xf numFmtId="168" fontId="46" fillId="13" borderId="19" xfId="2" applyNumberFormat="1" applyFont="1" applyFill="1" applyBorder="1" applyAlignment="1">
      <alignment horizontal="center" vertical="center" wrapText="1"/>
    </xf>
    <xf numFmtId="0" fontId="46" fillId="13" borderId="20" xfId="2" applyFont="1" applyFill="1" applyBorder="1" applyAlignment="1">
      <alignment horizontal="center" vertical="center" wrapText="1"/>
    </xf>
    <xf numFmtId="4" fontId="9" fillId="8" borderId="39" xfId="16" applyNumberFormat="1" applyFont="1" applyFill="1" applyBorder="1" applyAlignment="1" applyProtection="1">
      <alignment horizontal="right" vertical="center" wrapText="1"/>
    </xf>
    <xf numFmtId="4" fontId="9" fillId="8" borderId="40" xfId="16" applyNumberFormat="1" applyFont="1" applyFill="1" applyBorder="1" applyAlignment="1" applyProtection="1">
      <alignment horizontal="right" vertical="center" wrapText="1"/>
    </xf>
    <xf numFmtId="44" fontId="9" fillId="8" borderId="40" xfId="5" applyFont="1" applyFill="1" applyBorder="1" applyAlignment="1" applyProtection="1">
      <alignment horizontal="center" vertical="center"/>
    </xf>
    <xf numFmtId="44" fontId="9" fillId="8" borderId="41" xfId="5" applyFont="1" applyFill="1" applyBorder="1" applyAlignment="1" applyProtection="1">
      <alignment horizontal="center" vertical="center"/>
    </xf>
    <xf numFmtId="0" fontId="26" fillId="8" borderId="50" xfId="0" applyFont="1" applyFill="1" applyBorder="1" applyAlignment="1">
      <alignment horizontal="center"/>
    </xf>
    <xf numFmtId="0" fontId="26" fillId="8" borderId="51" xfId="0" applyFont="1" applyFill="1" applyBorder="1" applyAlignment="1">
      <alignment horizontal="center"/>
    </xf>
    <xf numFmtId="0" fontId="26" fillId="8" borderId="52" xfId="0" applyFont="1" applyFill="1" applyBorder="1" applyAlignment="1">
      <alignment horizontal="center"/>
    </xf>
    <xf numFmtId="0" fontId="26" fillId="8" borderId="82" xfId="0" applyFont="1" applyFill="1" applyBorder="1" applyAlignment="1">
      <alignment horizontal="center"/>
    </xf>
    <xf numFmtId="0" fontId="26" fillId="8" borderId="83" xfId="0" applyFont="1" applyFill="1" applyBorder="1" applyAlignment="1">
      <alignment horizontal="center"/>
    </xf>
    <xf numFmtId="0" fontId="26" fillId="8" borderId="48" xfId="0" applyFont="1" applyFill="1" applyBorder="1" applyAlignment="1">
      <alignment horizontal="center"/>
    </xf>
    <xf numFmtId="4" fontId="8" fillId="3" borderId="16" xfId="11" applyNumberFormat="1" applyFont="1" applyFill="1" applyBorder="1" applyAlignment="1">
      <alignment horizontal="left" vertical="center" wrapText="1"/>
    </xf>
    <xf numFmtId="44" fontId="8" fillId="3" borderId="96" xfId="5" applyFont="1" applyFill="1" applyBorder="1" applyAlignment="1" applyProtection="1">
      <alignment horizontal="center" vertical="center" wrapText="1"/>
    </xf>
    <xf numFmtId="44" fontId="8" fillId="3" borderId="49" xfId="5" applyFont="1" applyFill="1" applyBorder="1" applyAlignment="1">
      <alignment horizontal="center" vertical="center" wrapText="1"/>
    </xf>
    <xf numFmtId="4" fontId="9" fillId="8" borderId="53" xfId="16" applyNumberFormat="1" applyFont="1" applyFill="1" applyBorder="1" applyAlignment="1" applyProtection="1">
      <alignment horizontal="right" vertical="center" wrapText="1"/>
    </xf>
    <xf numFmtId="4" fontId="9" fillId="8" borderId="54" xfId="16" applyNumberFormat="1" applyFont="1" applyFill="1" applyBorder="1" applyAlignment="1" applyProtection="1">
      <alignment horizontal="right" vertical="center" wrapText="1"/>
    </xf>
    <xf numFmtId="44" fontId="9" fillId="8" borderId="54" xfId="5" applyFont="1" applyFill="1" applyBorder="1" applyAlignment="1" applyProtection="1">
      <alignment horizontal="center" vertical="center"/>
    </xf>
    <xf numFmtId="44" fontId="9" fillId="8" borderId="55" xfId="5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4" fillId="3" borderId="0" xfId="0" applyFont="1" applyFill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4" fontId="14" fillId="13" borderId="32" xfId="13" applyNumberFormat="1" applyFont="1" applyFill="1" applyBorder="1" applyAlignment="1">
      <alignment horizontal="center" vertical="center" wrapText="1"/>
    </xf>
    <xf numFmtId="4" fontId="14" fillId="13" borderId="26" xfId="13" applyNumberFormat="1" applyFont="1" applyFill="1" applyBorder="1" applyAlignment="1">
      <alignment horizontal="center" vertical="center" wrapText="1"/>
    </xf>
    <xf numFmtId="4" fontId="14" fillId="13" borderId="27" xfId="13" applyNumberFormat="1" applyFont="1" applyFill="1" applyBorder="1" applyAlignment="1">
      <alignment horizontal="center" vertical="center" wrapText="1"/>
    </xf>
    <xf numFmtId="0" fontId="24" fillId="14" borderId="50" xfId="0" applyFont="1" applyFill="1" applyBorder="1" applyAlignment="1">
      <alignment horizontal="center"/>
    </xf>
    <xf numFmtId="0" fontId="24" fillId="14" borderId="51" xfId="0" applyFont="1" applyFill="1" applyBorder="1" applyAlignment="1">
      <alignment horizontal="center"/>
    </xf>
    <xf numFmtId="0" fontId="24" fillId="14" borderId="52" xfId="0" applyFont="1" applyFill="1" applyBorder="1" applyAlignment="1">
      <alignment horizontal="center"/>
    </xf>
    <xf numFmtId="168" fontId="14" fillId="13" borderId="102" xfId="17" applyFont="1" applyFill="1" applyBorder="1" applyAlignment="1" applyProtection="1">
      <alignment horizontal="center" vertical="center"/>
    </xf>
    <xf numFmtId="168" fontId="14" fillId="13" borderId="52" xfId="17" applyFont="1" applyFill="1" applyBorder="1" applyAlignment="1" applyProtection="1">
      <alignment horizontal="center" vertical="center"/>
    </xf>
    <xf numFmtId="4" fontId="14" fillId="13" borderId="50" xfId="13" applyNumberFormat="1" applyFont="1" applyFill="1" applyBorder="1" applyAlignment="1">
      <alignment horizontal="center" vertical="center" wrapText="1"/>
    </xf>
    <xf numFmtId="4" fontId="14" fillId="13" borderId="51" xfId="13" applyNumberFormat="1" applyFont="1" applyFill="1" applyBorder="1" applyAlignment="1">
      <alignment horizontal="center" vertical="center" wrapText="1"/>
    </xf>
    <xf numFmtId="4" fontId="14" fillId="13" borderId="101" xfId="13" applyNumberFormat="1" applyFont="1" applyFill="1" applyBorder="1" applyAlignment="1">
      <alignment horizontal="center" vertical="center" wrapText="1"/>
    </xf>
    <xf numFmtId="0" fontId="10" fillId="0" borderId="34" xfId="27" applyFont="1" applyBorder="1" applyAlignment="1">
      <alignment horizontal="justify" vertical="center" wrapText="1"/>
    </xf>
    <xf numFmtId="0" fontId="10" fillId="0" borderId="30" xfId="27" applyFont="1" applyBorder="1" applyAlignment="1">
      <alignment horizontal="justify" vertical="center" wrapText="1"/>
    </xf>
    <xf numFmtId="0" fontId="10" fillId="0" borderId="35" xfId="27" applyFont="1" applyBorder="1" applyAlignment="1">
      <alignment horizontal="justify" vertical="center" wrapText="1"/>
    </xf>
    <xf numFmtId="0" fontId="10" fillId="0" borderId="25" xfId="27" applyFont="1" applyBorder="1" applyAlignment="1">
      <alignment horizontal="justify" vertical="center" wrapText="1"/>
    </xf>
    <xf numFmtId="0" fontId="10" fillId="0" borderId="26" xfId="27" applyFont="1" applyBorder="1" applyAlignment="1">
      <alignment horizontal="justify" vertical="center" wrapText="1"/>
    </xf>
    <xf numFmtId="0" fontId="10" fillId="0" borderId="27" xfId="27" applyFont="1" applyBorder="1" applyAlignment="1">
      <alignment horizontal="justify" vertical="center" wrapText="1"/>
    </xf>
    <xf numFmtId="0" fontId="14" fillId="0" borderId="7" xfId="32" applyFont="1" applyBorder="1" applyAlignment="1">
      <alignment horizontal="center" vertical="center"/>
    </xf>
    <xf numFmtId="0" fontId="45" fillId="0" borderId="7" xfId="32" applyFont="1" applyBorder="1" applyAlignment="1">
      <alignment horizontal="center" vertical="center"/>
    </xf>
    <xf numFmtId="0" fontId="42" fillId="6" borderId="0" xfId="33" applyFont="1" applyFill="1" applyBorder="1" applyAlignment="1">
      <alignment horizontal="center" vertical="center" wrapText="1"/>
    </xf>
    <xf numFmtId="0" fontId="43" fillId="6" borderId="0" xfId="33" applyFont="1" applyFill="1" applyBorder="1" applyAlignment="1">
      <alignment horizontal="center" vertical="center" wrapText="1"/>
    </xf>
    <xf numFmtId="0" fontId="14" fillId="12" borderId="16" xfId="35" applyFont="1" applyFill="1" applyBorder="1" applyAlignment="1">
      <alignment horizontal="center" vertical="center"/>
    </xf>
    <xf numFmtId="0" fontId="14" fillId="12" borderId="35" xfId="35" applyFont="1" applyFill="1" applyBorder="1" applyAlignment="1">
      <alignment horizontal="center" vertical="center"/>
    </xf>
    <xf numFmtId="0" fontId="14" fillId="0" borderId="9" xfId="36" applyFont="1" applyBorder="1" applyAlignment="1">
      <alignment horizontal="center" vertical="center"/>
    </xf>
    <xf numFmtId="0" fontId="14" fillId="0" borderId="14" xfId="36" applyFont="1" applyBorder="1" applyAlignment="1">
      <alignment horizontal="center" vertical="center"/>
    </xf>
    <xf numFmtId="0" fontId="14" fillId="0" borderId="13" xfId="36" applyFont="1" applyBorder="1" applyAlignment="1">
      <alignment horizontal="center" vertical="center"/>
    </xf>
    <xf numFmtId="49" fontId="49" fillId="3" borderId="4" xfId="0" applyNumberFormat="1" applyFont="1" applyFill="1" applyBorder="1" applyAlignment="1">
      <alignment horizontal="left" vertical="center" wrapText="1"/>
    </xf>
    <xf numFmtId="49" fontId="49" fillId="3" borderId="0" xfId="0" applyNumberFormat="1" applyFont="1" applyFill="1" applyAlignment="1">
      <alignment horizontal="left" vertical="center" wrapText="1"/>
    </xf>
    <xf numFmtId="49" fontId="49" fillId="3" borderId="0" xfId="0" applyNumberFormat="1" applyFont="1" applyFill="1" applyAlignment="1">
      <alignment horizontal="center" vertical="center" wrapText="1"/>
    </xf>
    <xf numFmtId="49" fontId="50" fillId="3" borderId="11" xfId="0" applyNumberFormat="1" applyFont="1" applyFill="1" applyBorder="1" applyAlignment="1">
      <alignment horizontal="left" vertical="center" wrapText="1"/>
    </xf>
    <xf numFmtId="49" fontId="50" fillId="3" borderId="51" xfId="0" applyNumberFormat="1" applyFont="1" applyFill="1" applyBorder="1" applyAlignment="1">
      <alignment horizontal="left" vertical="center" wrapText="1"/>
    </xf>
    <xf numFmtId="49" fontId="49" fillId="3" borderId="87" xfId="0" applyNumberFormat="1" applyFont="1" applyFill="1" applyBorder="1" applyAlignment="1">
      <alignment horizontal="left" vertical="center" wrapText="1"/>
    </xf>
    <xf numFmtId="49" fontId="49" fillId="3" borderId="78" xfId="0" applyNumberFormat="1" applyFont="1" applyFill="1" applyBorder="1" applyAlignment="1">
      <alignment horizontal="left" vertical="center" wrapText="1"/>
    </xf>
    <xf numFmtId="49" fontId="49" fillId="3" borderId="78" xfId="0" applyNumberFormat="1" applyFont="1" applyFill="1" applyBorder="1" applyAlignment="1">
      <alignment horizontal="center" vertical="center" wrapText="1"/>
    </xf>
    <xf numFmtId="49" fontId="49" fillId="3" borderId="78" xfId="0" applyNumberFormat="1" applyFont="1" applyFill="1" applyBorder="1" applyAlignment="1">
      <alignment horizontal="center" wrapText="1"/>
    </xf>
    <xf numFmtId="49" fontId="50" fillId="3" borderId="50" xfId="0" applyNumberFormat="1" applyFont="1" applyFill="1" applyBorder="1" applyAlignment="1">
      <alignment horizontal="center" vertical="center" wrapText="1"/>
    </xf>
    <xf numFmtId="49" fontId="50" fillId="3" borderId="51" xfId="0" applyNumberFormat="1" applyFont="1" applyFill="1" applyBorder="1" applyAlignment="1">
      <alignment horizontal="center" vertical="center" wrapText="1"/>
    </xf>
    <xf numFmtId="49" fontId="50" fillId="3" borderId="52" xfId="0" applyNumberFormat="1" applyFont="1" applyFill="1" applyBorder="1" applyAlignment="1">
      <alignment horizontal="center" vertical="center" wrapText="1"/>
    </xf>
    <xf numFmtId="44" fontId="49" fillId="3" borderId="78" xfId="5" applyFont="1" applyFill="1" applyBorder="1" applyAlignment="1">
      <alignment horizontal="right" wrapText="1"/>
    </xf>
    <xf numFmtId="43" fontId="49" fillId="3" borderId="78" xfId="7" applyFont="1" applyFill="1" applyBorder="1" applyAlignment="1">
      <alignment horizontal="right" wrapText="1"/>
    </xf>
    <xf numFmtId="49" fontId="50" fillId="13" borderId="75" xfId="0" applyNumberFormat="1" applyFont="1" applyFill="1" applyBorder="1" applyAlignment="1">
      <alignment horizontal="left" vertical="center" wrapText="1"/>
    </xf>
    <xf numFmtId="49" fontId="50" fillId="13" borderId="76" xfId="0" applyNumberFormat="1" applyFont="1" applyFill="1" applyBorder="1" applyAlignment="1">
      <alignment horizontal="left" vertical="center" wrapText="1"/>
    </xf>
    <xf numFmtId="49" fontId="50" fillId="13" borderId="86" xfId="0" applyNumberFormat="1" applyFont="1" applyFill="1" applyBorder="1" applyAlignment="1">
      <alignment horizontal="left" vertical="center" wrapText="1"/>
    </xf>
    <xf numFmtId="49" fontId="50" fillId="13" borderId="100" xfId="0" applyNumberFormat="1" applyFont="1" applyFill="1" applyBorder="1" applyAlignment="1">
      <alignment horizontal="left" vertical="center" wrapText="1"/>
    </xf>
    <xf numFmtId="49" fontId="50" fillId="13" borderId="2" xfId="0" applyNumberFormat="1" applyFont="1" applyFill="1" applyBorder="1" applyAlignment="1">
      <alignment horizontal="left" vertical="center" wrapText="1"/>
    </xf>
    <xf numFmtId="49" fontId="50" fillId="13" borderId="3" xfId="0" applyNumberFormat="1" applyFont="1" applyFill="1" applyBorder="1" applyAlignment="1">
      <alignment horizontal="left" vertical="center" wrapText="1"/>
    </xf>
    <xf numFmtId="49" fontId="50" fillId="13" borderId="73" xfId="0" applyNumberFormat="1" applyFont="1" applyFill="1" applyBorder="1" applyAlignment="1">
      <alignment horizontal="left" vertical="center" wrapText="1"/>
    </xf>
    <xf numFmtId="49" fontId="50" fillId="13" borderId="0" xfId="0" applyNumberFormat="1" applyFont="1" applyFill="1" applyAlignment="1">
      <alignment horizontal="left" vertical="center" wrapText="1"/>
    </xf>
    <xf numFmtId="49" fontId="50" fillId="13" borderId="5" xfId="0" applyNumberFormat="1" applyFont="1" applyFill="1" applyBorder="1" applyAlignment="1">
      <alignment horizontal="left" vertical="center" wrapText="1"/>
    </xf>
    <xf numFmtId="49" fontId="36" fillId="0" borderId="51" xfId="0" applyNumberFormat="1" applyFont="1" applyBorder="1" applyAlignment="1">
      <alignment horizontal="left" vertical="center" wrapText="1"/>
    </xf>
    <xf numFmtId="49" fontId="36" fillId="0" borderId="108" xfId="0" applyNumberFormat="1" applyFont="1" applyBorder="1" applyAlignment="1">
      <alignment horizontal="left" vertical="center" wrapText="1"/>
    </xf>
    <xf numFmtId="49" fontId="36" fillId="0" borderId="109" xfId="0" applyNumberFormat="1" applyFont="1" applyBorder="1" applyAlignment="1">
      <alignment horizontal="left" vertical="center" wrapText="1"/>
    </xf>
    <xf numFmtId="49" fontId="36" fillId="3" borderId="111" xfId="0" applyNumberFormat="1" applyFont="1" applyFill="1" applyBorder="1" applyAlignment="1">
      <alignment horizontal="center" vertical="center" wrapText="1"/>
    </xf>
    <xf numFmtId="49" fontId="36" fillId="3" borderId="51" xfId="0" applyNumberFormat="1" applyFont="1" applyFill="1" applyBorder="1" applyAlignment="1">
      <alignment horizontal="center" vertical="center" wrapText="1"/>
    </xf>
    <xf numFmtId="49" fontId="36" fillId="3" borderId="105" xfId="0" applyNumberFormat="1" applyFont="1" applyFill="1" applyBorder="1" applyAlignment="1">
      <alignment horizontal="center" vertical="center" wrapText="1"/>
    </xf>
    <xf numFmtId="49" fontId="36" fillId="3" borderId="111" xfId="0" applyNumberFormat="1" applyFont="1" applyFill="1" applyBorder="1" applyAlignment="1">
      <alignment horizontal="center" wrapText="1"/>
    </xf>
    <xf numFmtId="49" fontId="36" fillId="3" borderId="105" xfId="0" applyNumberFormat="1" applyFont="1" applyFill="1" applyBorder="1" applyAlignment="1">
      <alignment horizontal="center" wrapText="1"/>
    </xf>
    <xf numFmtId="49" fontId="36" fillId="0" borderId="111" xfId="0" applyNumberFormat="1" applyFont="1" applyBorder="1" applyAlignment="1">
      <alignment horizontal="center" wrapText="1"/>
    </xf>
    <xf numFmtId="49" fontId="36" fillId="0" borderId="105" xfId="0" applyNumberFormat="1" applyFont="1" applyBorder="1" applyAlignment="1">
      <alignment horizontal="center" wrapText="1"/>
    </xf>
    <xf numFmtId="49" fontId="49" fillId="3" borderId="123" xfId="0" applyNumberFormat="1" applyFont="1" applyFill="1" applyBorder="1" applyAlignment="1">
      <alignment horizontal="left" vertical="center" wrapText="1"/>
    </xf>
    <xf numFmtId="49" fontId="49" fillId="3" borderId="124" xfId="0" applyNumberFormat="1" applyFont="1" applyFill="1" applyBorder="1" applyAlignment="1">
      <alignment horizontal="left" vertical="center" wrapText="1"/>
    </xf>
    <xf numFmtId="49" fontId="49" fillId="3" borderId="112" xfId="0" applyNumberFormat="1" applyFont="1" applyFill="1" applyBorder="1" applyAlignment="1">
      <alignment horizontal="center" vertical="center" wrapText="1"/>
    </xf>
    <xf numFmtId="49" fontId="49" fillId="3" borderId="11" xfId="0" applyNumberFormat="1" applyFont="1" applyFill="1" applyBorder="1" applyAlignment="1">
      <alignment horizontal="center" vertical="center" wrapText="1"/>
    </xf>
    <xf numFmtId="49" fontId="49" fillId="3" borderId="103" xfId="0" applyNumberFormat="1" applyFont="1" applyFill="1" applyBorder="1" applyAlignment="1">
      <alignment horizontal="center" vertical="center" wrapText="1"/>
    </xf>
    <xf numFmtId="44" fontId="49" fillId="3" borderId="112" xfId="5" applyFont="1" applyFill="1" applyBorder="1" applyAlignment="1">
      <alignment horizontal="right" vertical="center" wrapText="1"/>
    </xf>
    <xf numFmtId="44" fontId="49" fillId="3" borderId="103" xfId="5" applyFont="1" applyFill="1" applyBorder="1" applyAlignment="1">
      <alignment horizontal="right" vertical="center" wrapText="1"/>
    </xf>
    <xf numFmtId="49" fontId="49" fillId="3" borderId="112" xfId="0" applyNumberFormat="1" applyFont="1" applyFill="1" applyBorder="1" applyAlignment="1">
      <alignment horizontal="right" vertical="center" wrapText="1"/>
    </xf>
    <xf numFmtId="49" fontId="49" fillId="3" borderId="103" xfId="0" applyNumberFormat="1" applyFont="1" applyFill="1" applyBorder="1" applyAlignment="1">
      <alignment horizontal="right" vertical="center" wrapText="1"/>
    </xf>
    <xf numFmtId="49" fontId="36" fillId="0" borderId="18" xfId="0" applyNumberFormat="1" applyFont="1" applyBorder="1" applyAlignment="1">
      <alignment horizontal="left" vertical="top" wrapText="1"/>
    </xf>
    <xf numFmtId="49" fontId="36" fillId="0" borderId="19" xfId="0" applyNumberFormat="1" applyFont="1" applyBorder="1" applyAlignment="1">
      <alignment horizontal="left" vertical="top" wrapText="1"/>
    </xf>
    <xf numFmtId="49" fontId="36" fillId="0" borderId="6" xfId="0" applyNumberFormat="1" applyFont="1" applyBorder="1" applyAlignment="1">
      <alignment horizontal="left" vertical="top" wrapText="1"/>
    </xf>
    <xf numFmtId="49" fontId="36" fillId="0" borderId="7" xfId="0" applyNumberFormat="1" applyFont="1" applyBorder="1" applyAlignment="1">
      <alignment horizontal="left" vertical="top" wrapText="1"/>
    </xf>
    <xf numFmtId="49" fontId="36" fillId="0" borderId="39" xfId="0" applyNumberFormat="1" applyFont="1" applyBorder="1" applyAlignment="1">
      <alignment horizontal="left" vertical="center" wrapText="1"/>
    </xf>
    <xf numFmtId="49" fontId="36" fillId="0" borderId="40" xfId="0" applyNumberFormat="1" applyFont="1" applyBorder="1" applyAlignment="1">
      <alignment horizontal="left" vertical="center" wrapText="1"/>
    </xf>
    <xf numFmtId="49" fontId="36" fillId="4" borderId="19" xfId="0" applyNumberFormat="1" applyFont="1" applyFill="1" applyBorder="1" applyAlignment="1">
      <alignment horizontal="left" vertical="center" wrapText="1"/>
    </xf>
    <xf numFmtId="49" fontId="36" fillId="4" borderId="7" xfId="0" applyNumberFormat="1" applyFont="1" applyFill="1" applyBorder="1" applyAlignment="1">
      <alignment horizontal="left" vertical="center" wrapText="1"/>
    </xf>
    <xf numFmtId="49" fontId="36" fillId="4" borderId="40" xfId="0" applyNumberFormat="1" applyFont="1" applyFill="1" applyBorder="1" applyAlignment="1">
      <alignment horizontal="left" vertical="center" wrapText="1"/>
    </xf>
    <xf numFmtId="49" fontId="49" fillId="3" borderId="113" xfId="0" applyNumberFormat="1" applyFont="1" applyFill="1" applyBorder="1" applyAlignment="1">
      <alignment horizontal="center" vertical="center" wrapText="1"/>
    </xf>
    <xf numFmtId="49" fontId="49" fillId="3" borderId="114" xfId="0" applyNumberFormat="1" applyFont="1" applyFill="1" applyBorder="1" applyAlignment="1">
      <alignment horizontal="center" vertical="center" wrapText="1"/>
    </xf>
    <xf numFmtId="49" fontId="49" fillId="3" borderId="115" xfId="0" applyNumberFormat="1" applyFont="1" applyFill="1" applyBorder="1" applyAlignment="1">
      <alignment horizontal="center" vertical="center" wrapText="1"/>
    </xf>
    <xf numFmtId="49" fontId="49" fillId="3" borderId="117" xfId="0" applyNumberFormat="1" applyFont="1" applyFill="1" applyBorder="1" applyAlignment="1">
      <alignment horizontal="center" vertical="center" wrapText="1"/>
    </xf>
    <xf numFmtId="49" fontId="49" fillId="3" borderId="91" xfId="0" applyNumberFormat="1" applyFont="1" applyFill="1" applyBorder="1" applyAlignment="1">
      <alignment horizontal="center" vertical="center" wrapText="1"/>
    </xf>
    <xf numFmtId="49" fontId="49" fillId="3" borderId="104" xfId="0" applyNumberFormat="1" applyFont="1" applyFill="1" applyBorder="1" applyAlignment="1">
      <alignment horizontal="center" vertical="center" wrapText="1"/>
    </xf>
    <xf numFmtId="49" fontId="50" fillId="3" borderId="105" xfId="0" applyNumberFormat="1" applyFont="1" applyFill="1" applyBorder="1" applyAlignment="1">
      <alignment horizontal="center" vertical="center" wrapText="1"/>
    </xf>
    <xf numFmtId="49" fontId="49" fillId="3" borderId="90" xfId="0" applyNumberFormat="1" applyFont="1" applyFill="1" applyBorder="1" applyAlignment="1">
      <alignment horizontal="center" vertical="center" wrapText="1"/>
    </xf>
    <xf numFmtId="49" fontId="49" fillId="3" borderId="19" xfId="0" applyNumberFormat="1" applyFont="1" applyFill="1" applyBorder="1" applyAlignment="1">
      <alignment horizontal="center" vertical="center" wrapText="1"/>
    </xf>
    <xf numFmtId="49" fontId="49" fillId="3" borderId="7" xfId="0" applyNumberFormat="1" applyFont="1" applyFill="1" applyBorder="1" applyAlignment="1">
      <alignment horizontal="center" vertical="center" wrapText="1"/>
    </xf>
    <xf numFmtId="49" fontId="49" fillId="3" borderId="40" xfId="0" applyNumberFormat="1" applyFont="1" applyFill="1" applyBorder="1" applyAlignment="1">
      <alignment horizontal="center" vertical="center" wrapText="1"/>
    </xf>
    <xf numFmtId="49" fontId="50" fillId="3" borderId="100" xfId="0" applyNumberFormat="1" applyFont="1" applyFill="1" applyBorder="1" applyAlignment="1">
      <alignment horizontal="center" vertical="center" wrapText="1"/>
    </xf>
    <xf numFmtId="49" fontId="50" fillId="3" borderId="2" xfId="0" applyNumberFormat="1" applyFont="1" applyFill="1" applyBorder="1" applyAlignment="1">
      <alignment horizontal="center" vertical="center" wrapText="1"/>
    </xf>
    <xf numFmtId="49" fontId="50" fillId="3" borderId="84" xfId="0" applyNumberFormat="1" applyFont="1" applyFill="1" applyBorder="1" applyAlignment="1">
      <alignment horizontal="center" vertical="center" wrapText="1"/>
    </xf>
    <xf numFmtId="49" fontId="50" fillId="3" borderId="111" xfId="0" applyNumberFormat="1" applyFont="1" applyFill="1" applyBorder="1" applyAlignment="1">
      <alignment horizontal="center" vertical="center" wrapText="1"/>
    </xf>
    <xf numFmtId="49" fontId="49" fillId="3" borderId="116" xfId="0" applyNumberFormat="1" applyFont="1" applyFill="1" applyBorder="1" applyAlignment="1">
      <alignment horizontal="center" vertical="center" wrapText="1"/>
    </xf>
    <xf numFmtId="49" fontId="50" fillId="3" borderId="1" xfId="0" applyNumberFormat="1" applyFont="1" applyFill="1" applyBorder="1" applyAlignment="1">
      <alignment horizontal="center" vertical="center" wrapText="1"/>
    </xf>
    <xf numFmtId="49" fontId="49" fillId="3" borderId="10" xfId="0" applyNumberFormat="1" applyFont="1" applyFill="1" applyBorder="1" applyAlignment="1">
      <alignment horizontal="center" vertical="center" wrapText="1"/>
    </xf>
    <xf numFmtId="49" fontId="49" fillId="3" borderId="39" xfId="0" applyNumberFormat="1" applyFont="1" applyFill="1" applyBorder="1" applyAlignment="1">
      <alignment horizontal="center" vertical="center" wrapText="1"/>
    </xf>
    <xf numFmtId="49" fontId="49" fillId="3" borderId="18" xfId="0" applyNumberFormat="1" applyFont="1" applyFill="1" applyBorder="1" applyAlignment="1">
      <alignment horizontal="center" vertical="center" wrapText="1"/>
    </xf>
    <xf numFmtId="49" fontId="49" fillId="3" borderId="6" xfId="0" applyNumberFormat="1" applyFont="1" applyFill="1" applyBorder="1" applyAlignment="1">
      <alignment horizontal="center" vertical="center" wrapText="1"/>
    </xf>
    <xf numFmtId="49" fontId="49" fillId="3" borderId="126" xfId="0" applyNumberFormat="1" applyFont="1" applyFill="1" applyBorder="1" applyAlignment="1">
      <alignment horizontal="left" vertical="center" wrapText="1"/>
    </xf>
    <xf numFmtId="49" fontId="49" fillId="3" borderId="125" xfId="0" applyNumberFormat="1" applyFont="1" applyFill="1" applyBorder="1" applyAlignment="1">
      <alignment horizontal="left" vertical="center" wrapText="1"/>
    </xf>
    <xf numFmtId="49" fontId="50" fillId="3" borderId="108" xfId="0" applyNumberFormat="1" applyFont="1" applyFill="1" applyBorder="1" applyAlignment="1">
      <alignment horizontal="left" vertical="center" wrapText="1"/>
    </xf>
    <xf numFmtId="49" fontId="50" fillId="3" borderId="109" xfId="0" applyNumberFormat="1" applyFont="1" applyFill="1" applyBorder="1" applyAlignment="1">
      <alignment horizontal="left" vertical="center" wrapText="1"/>
    </xf>
    <xf numFmtId="49" fontId="49" fillId="3" borderId="108" xfId="0" applyNumberFormat="1" applyFont="1" applyFill="1" applyBorder="1" applyAlignment="1">
      <alignment horizontal="left" vertical="center" wrapText="1"/>
    </xf>
    <xf numFmtId="49" fontId="49" fillId="3" borderId="109" xfId="0" applyNumberFormat="1" applyFont="1" applyFill="1" applyBorder="1" applyAlignment="1">
      <alignment horizontal="left" vertical="center" wrapText="1"/>
    </xf>
    <xf numFmtId="49" fontId="50" fillId="13" borderId="11" xfId="0" applyNumberFormat="1" applyFont="1" applyFill="1" applyBorder="1" applyAlignment="1">
      <alignment horizontal="left" vertical="center" wrapText="1"/>
    </xf>
    <xf numFmtId="49" fontId="50" fillId="13" borderId="12" xfId="0" applyNumberFormat="1" applyFont="1" applyFill="1" applyBorder="1" applyAlignment="1">
      <alignment horizontal="left" vertical="center" wrapText="1"/>
    </xf>
    <xf numFmtId="49" fontId="49" fillId="3" borderId="122" xfId="0" applyNumberFormat="1" applyFont="1" applyFill="1" applyBorder="1" applyAlignment="1">
      <alignment horizontal="left" vertical="center" wrapText="1"/>
    </xf>
    <xf numFmtId="49" fontId="49" fillId="3" borderId="89" xfId="0" applyNumberFormat="1" applyFont="1" applyFill="1" applyBorder="1" applyAlignment="1">
      <alignment horizontal="left" vertical="center" wrapText="1"/>
    </xf>
    <xf numFmtId="49" fontId="49" fillId="3" borderId="89" xfId="0" applyNumberFormat="1" applyFont="1" applyFill="1" applyBorder="1" applyAlignment="1">
      <alignment horizontal="center" vertical="center" wrapText="1"/>
    </xf>
    <xf numFmtId="49" fontId="49" fillId="3" borderId="89" xfId="0" applyNumberFormat="1" applyFont="1" applyFill="1" applyBorder="1" applyAlignment="1">
      <alignment horizontal="center" wrapText="1"/>
    </xf>
    <xf numFmtId="43" fontId="49" fillId="3" borderId="89" xfId="7" applyFont="1" applyFill="1" applyBorder="1" applyAlignment="1">
      <alignment horizontal="right" wrapText="1"/>
    </xf>
    <xf numFmtId="49" fontId="37" fillId="0" borderId="4" xfId="0" applyNumberFormat="1" applyFont="1" applyBorder="1" applyAlignment="1">
      <alignment horizontal="left" vertical="center" wrapText="1"/>
    </xf>
    <xf numFmtId="49" fontId="37" fillId="0" borderId="0" xfId="0" applyNumberFormat="1" applyFont="1" applyAlignment="1">
      <alignment horizontal="left" vertical="center" wrapText="1"/>
    </xf>
    <xf numFmtId="49" fontId="37" fillId="0" borderId="87" xfId="0" applyNumberFormat="1" applyFont="1" applyBorder="1" applyAlignment="1">
      <alignment horizontal="left" vertical="center" wrapText="1"/>
    </xf>
    <xf numFmtId="49" fontId="37" fillId="0" borderId="78" xfId="0" applyNumberFormat="1" applyFont="1" applyBorder="1" applyAlignment="1">
      <alignment horizontal="left" vertical="center" wrapText="1"/>
    </xf>
    <xf numFmtId="49" fontId="50" fillId="3" borderId="109" xfId="0" applyNumberFormat="1" applyFont="1" applyFill="1" applyBorder="1" applyAlignment="1">
      <alignment horizontal="center" vertical="center" wrapText="1"/>
    </xf>
    <xf numFmtId="49" fontId="50" fillId="3" borderId="109" xfId="0" applyNumberFormat="1" applyFont="1" applyFill="1" applyBorder="1" applyAlignment="1">
      <alignment horizontal="center" wrapText="1"/>
    </xf>
    <xf numFmtId="49" fontId="49" fillId="3" borderId="125" xfId="0" applyNumberFormat="1" applyFont="1" applyFill="1" applyBorder="1" applyAlignment="1">
      <alignment horizontal="center" vertical="center" wrapText="1"/>
    </xf>
    <xf numFmtId="49" fontId="49" fillId="3" borderId="125" xfId="0" applyNumberFormat="1" applyFont="1" applyFill="1" applyBorder="1" applyAlignment="1">
      <alignment horizontal="center" wrapText="1"/>
    </xf>
    <xf numFmtId="44" fontId="49" fillId="3" borderId="125" xfId="5" applyFont="1" applyFill="1" applyBorder="1" applyAlignment="1">
      <alignment horizontal="right" wrapText="1"/>
    </xf>
    <xf numFmtId="43" fontId="49" fillId="3" borderId="125" xfId="7" applyFont="1" applyFill="1" applyBorder="1" applyAlignment="1">
      <alignment horizontal="right" wrapText="1"/>
    </xf>
    <xf numFmtId="44" fontId="49" fillId="3" borderId="110" xfId="5" applyFont="1" applyFill="1" applyBorder="1" applyAlignment="1">
      <alignment horizontal="right" wrapText="1"/>
    </xf>
    <xf numFmtId="49" fontId="49" fillId="3" borderId="110" xfId="0" applyNumberFormat="1" applyFont="1" applyFill="1" applyBorder="1" applyAlignment="1">
      <alignment horizontal="right" wrapText="1"/>
    </xf>
    <xf numFmtId="44" fontId="49" fillId="3" borderId="89" xfId="5" applyFont="1" applyFill="1" applyBorder="1" applyAlignment="1">
      <alignment horizontal="right" wrapText="1"/>
    </xf>
    <xf numFmtId="49" fontId="50" fillId="3" borderId="4" xfId="0" applyNumberFormat="1" applyFont="1" applyFill="1" applyBorder="1" applyAlignment="1">
      <alignment horizontal="left" vertical="center" wrapText="1"/>
    </xf>
    <xf numFmtId="49" fontId="50" fillId="3" borderId="0" xfId="0" applyNumberFormat="1" applyFont="1" applyFill="1" applyAlignment="1">
      <alignment horizontal="left" vertical="center" wrapText="1"/>
    </xf>
    <xf numFmtId="49" fontId="50" fillId="3" borderId="74" xfId="0" applyNumberFormat="1" applyFont="1" applyFill="1" applyBorder="1" applyAlignment="1">
      <alignment horizontal="left" vertical="center" wrapText="1"/>
    </xf>
    <xf numFmtId="49" fontId="49" fillId="3" borderId="10" xfId="0" applyNumberFormat="1" applyFont="1" applyFill="1" applyBorder="1" applyAlignment="1">
      <alignment horizontal="left" vertical="center" wrapText="1"/>
    </xf>
    <xf numFmtId="49" fontId="49" fillId="3" borderId="11" xfId="0" applyNumberFormat="1" applyFont="1" applyFill="1" applyBorder="1" applyAlignment="1">
      <alignment horizontal="left" vertical="center" wrapText="1"/>
    </xf>
    <xf numFmtId="49" fontId="49" fillId="3" borderId="103" xfId="0" applyNumberFormat="1" applyFont="1" applyFill="1" applyBorder="1" applyAlignment="1">
      <alignment horizontal="left" vertical="center" wrapText="1"/>
    </xf>
    <xf numFmtId="49" fontId="50" fillId="13" borderId="112" xfId="0" applyNumberFormat="1" applyFont="1" applyFill="1" applyBorder="1" applyAlignment="1">
      <alignment horizontal="left" vertical="center" wrapText="1"/>
    </xf>
    <xf numFmtId="49" fontId="50" fillId="3" borderId="1" xfId="0" applyNumberFormat="1" applyFont="1" applyFill="1" applyBorder="1" applyAlignment="1">
      <alignment horizontal="left" vertical="center" wrapText="1"/>
    </xf>
    <xf numFmtId="49" fontId="50" fillId="3" borderId="2" xfId="0" applyNumberFormat="1" applyFont="1" applyFill="1" applyBorder="1" applyAlignment="1">
      <alignment horizontal="left" vertical="center" wrapText="1"/>
    </xf>
    <xf numFmtId="49" fontId="50" fillId="3" borderId="84" xfId="0" applyNumberFormat="1" applyFont="1" applyFill="1" applyBorder="1" applyAlignment="1">
      <alignment horizontal="left" vertical="center" wrapText="1"/>
    </xf>
    <xf numFmtId="49" fontId="49" fillId="3" borderId="92" xfId="0" applyNumberFormat="1" applyFont="1" applyFill="1" applyBorder="1" applyAlignment="1">
      <alignment horizontal="left" vertical="center" wrapText="1"/>
    </xf>
    <xf numFmtId="49" fontId="49" fillId="3" borderId="81" xfId="0" applyNumberFormat="1" applyFont="1" applyFill="1" applyBorder="1" applyAlignment="1">
      <alignment horizontal="left" vertical="center" wrapText="1"/>
    </xf>
    <xf numFmtId="49" fontId="49" fillId="3" borderId="80" xfId="0" applyNumberFormat="1" applyFont="1" applyFill="1" applyBorder="1" applyAlignment="1">
      <alignment horizontal="left" vertical="center" wrapText="1"/>
    </xf>
    <xf numFmtId="49" fontId="49" fillId="3" borderId="79" xfId="0" applyNumberFormat="1" applyFont="1" applyFill="1" applyBorder="1" applyAlignment="1">
      <alignment horizontal="center" vertical="center" wrapText="1"/>
    </xf>
    <xf numFmtId="49" fontId="49" fillId="3" borderId="81" xfId="0" applyNumberFormat="1" applyFont="1" applyFill="1" applyBorder="1" applyAlignment="1">
      <alignment horizontal="center" vertical="center" wrapText="1"/>
    </xf>
    <xf numFmtId="49" fontId="49" fillId="3" borderId="80" xfId="0" applyNumberFormat="1" applyFont="1" applyFill="1" applyBorder="1" applyAlignment="1">
      <alignment horizontal="center" vertical="center" wrapText="1"/>
    </xf>
    <xf numFmtId="44" fontId="49" fillId="3" borderId="70" xfId="5" applyFont="1" applyFill="1" applyBorder="1" applyAlignment="1">
      <alignment horizontal="right" wrapText="1"/>
    </xf>
    <xf numFmtId="44" fontId="49" fillId="3" borderId="72" xfId="5" applyFont="1" applyFill="1" applyBorder="1" applyAlignment="1">
      <alignment horizontal="right" wrapText="1"/>
    </xf>
    <xf numFmtId="49" fontId="49" fillId="3" borderId="90" xfId="0" applyNumberFormat="1" applyFont="1" applyFill="1" applyBorder="1" applyAlignment="1">
      <alignment horizontal="right" wrapText="1"/>
    </xf>
    <xf numFmtId="49" fontId="49" fillId="3" borderId="104" xfId="0" applyNumberFormat="1" applyFont="1" applyFill="1" applyBorder="1" applyAlignment="1">
      <alignment horizontal="right" wrapText="1"/>
    </xf>
    <xf numFmtId="49" fontId="49" fillId="3" borderId="128" xfId="0" applyNumberFormat="1" applyFont="1" applyFill="1" applyBorder="1" applyAlignment="1">
      <alignment horizontal="left" vertical="center" wrapText="1"/>
    </xf>
    <xf numFmtId="49" fontId="49" fillId="3" borderId="71" xfId="0" applyNumberFormat="1" applyFont="1" applyFill="1" applyBorder="1" applyAlignment="1">
      <alignment horizontal="left" vertical="center" wrapText="1"/>
    </xf>
    <xf numFmtId="49" fontId="49" fillId="3" borderId="71" xfId="0" applyNumberFormat="1" applyFont="1" applyFill="1" applyBorder="1" applyAlignment="1">
      <alignment horizontal="center" vertical="center" wrapText="1"/>
    </xf>
    <xf numFmtId="49" fontId="49" fillId="3" borderId="127" xfId="0" applyNumberFormat="1" applyFont="1" applyFill="1" applyBorder="1" applyAlignment="1">
      <alignment horizontal="center" vertical="center" wrapText="1"/>
    </xf>
    <xf numFmtId="49" fontId="50" fillId="3" borderId="50" xfId="0" applyNumberFormat="1" applyFont="1" applyFill="1" applyBorder="1" applyAlignment="1">
      <alignment horizontal="left" vertical="center" wrapText="1"/>
    </xf>
    <xf numFmtId="49" fontId="50" fillId="3" borderId="105" xfId="0" applyNumberFormat="1" applyFont="1" applyFill="1" applyBorder="1" applyAlignment="1">
      <alignment horizontal="left" vertical="center" wrapText="1"/>
    </xf>
    <xf numFmtId="49" fontId="49" fillId="3" borderId="113" xfId="0" applyNumberFormat="1" applyFont="1" applyFill="1" applyBorder="1" applyAlignment="1">
      <alignment horizontal="left" vertical="center" wrapText="1"/>
    </xf>
    <xf numFmtId="49" fontId="49" fillId="3" borderId="114" xfId="0" applyNumberFormat="1" applyFont="1" applyFill="1" applyBorder="1" applyAlignment="1">
      <alignment horizontal="left" vertical="center" wrapText="1"/>
    </xf>
    <xf numFmtId="49" fontId="49" fillId="3" borderId="115" xfId="0" applyNumberFormat="1" applyFont="1" applyFill="1" applyBorder="1" applyAlignment="1">
      <alignment horizontal="left" vertical="center" wrapText="1"/>
    </xf>
    <xf numFmtId="44" fontId="49" fillId="3" borderId="116" xfId="5" applyFont="1" applyFill="1" applyBorder="1" applyAlignment="1">
      <alignment horizontal="right" wrapText="1"/>
    </xf>
    <xf numFmtId="44" fontId="49" fillId="3" borderId="115" xfId="5" applyFont="1" applyFill="1" applyBorder="1" applyAlignment="1">
      <alignment horizontal="right" wrapText="1"/>
    </xf>
    <xf numFmtId="49" fontId="49" fillId="3" borderId="116" xfId="0" applyNumberFormat="1" applyFont="1" applyFill="1" applyBorder="1" applyAlignment="1">
      <alignment horizontal="right" wrapText="1"/>
    </xf>
    <xf numFmtId="49" fontId="49" fillId="3" borderId="115" xfId="0" applyNumberFormat="1" applyFont="1" applyFill="1" applyBorder="1" applyAlignment="1">
      <alignment horizontal="right" wrapText="1"/>
    </xf>
    <xf numFmtId="49" fontId="50" fillId="3" borderId="111" xfId="0" applyNumberFormat="1" applyFont="1" applyFill="1" applyBorder="1" applyAlignment="1">
      <alignment horizontal="center" wrapText="1"/>
    </xf>
    <xf numFmtId="49" fontId="50" fillId="3" borderId="105" xfId="0" applyNumberFormat="1" applyFont="1" applyFill="1" applyBorder="1" applyAlignment="1">
      <alignment horizontal="center" wrapText="1"/>
    </xf>
    <xf numFmtId="49" fontId="49" fillId="3" borderId="117" xfId="0" applyNumberFormat="1" applyFont="1" applyFill="1" applyBorder="1" applyAlignment="1">
      <alignment horizontal="left" vertical="center" wrapText="1"/>
    </xf>
    <xf numFmtId="49" fontId="49" fillId="3" borderId="91" xfId="0" applyNumberFormat="1" applyFont="1" applyFill="1" applyBorder="1" applyAlignment="1">
      <alignment horizontal="left" vertical="center" wrapText="1"/>
    </xf>
    <xf numFmtId="49" fontId="49" fillId="3" borderId="104" xfId="0" applyNumberFormat="1" applyFont="1" applyFill="1" applyBorder="1" applyAlignment="1">
      <alignment horizontal="left" vertical="center" wrapText="1"/>
    </xf>
    <xf numFmtId="44" fontId="49" fillId="3" borderId="90" xfId="5" applyFont="1" applyFill="1" applyBorder="1" applyAlignment="1">
      <alignment horizontal="right" wrapText="1"/>
    </xf>
    <xf numFmtId="44" fontId="49" fillId="3" borderId="104" xfId="5" applyFont="1" applyFill="1" applyBorder="1" applyAlignment="1">
      <alignment horizontal="right" wrapText="1"/>
    </xf>
    <xf numFmtId="49" fontId="49" fillId="3" borderId="1" xfId="0" applyNumberFormat="1" applyFont="1" applyFill="1" applyBorder="1" applyAlignment="1">
      <alignment horizontal="left" vertical="center" wrapText="1"/>
    </xf>
    <xf numFmtId="49" fontId="49" fillId="3" borderId="2" xfId="0" applyNumberFormat="1" applyFont="1" applyFill="1" applyBorder="1" applyAlignment="1">
      <alignment horizontal="left" vertical="center" wrapText="1"/>
    </xf>
    <xf numFmtId="49" fontId="49" fillId="3" borderId="2" xfId="0" applyNumberFormat="1" applyFont="1" applyFill="1" applyBorder="1" applyAlignment="1">
      <alignment horizontal="center" vertical="center" wrapText="1"/>
    </xf>
    <xf numFmtId="49" fontId="49" fillId="3" borderId="3" xfId="0" applyNumberFormat="1" applyFont="1" applyFill="1" applyBorder="1" applyAlignment="1">
      <alignment horizontal="center" vertical="center" wrapText="1"/>
    </xf>
    <xf numFmtId="49" fontId="49" fillId="3" borderId="111" xfId="0" applyNumberFormat="1" applyFont="1" applyFill="1" applyBorder="1" applyAlignment="1">
      <alignment horizontal="right" vertical="center" wrapText="1"/>
    </xf>
    <xf numFmtId="49" fontId="49" fillId="3" borderId="105" xfId="0" applyNumberFormat="1" applyFont="1" applyFill="1" applyBorder="1" applyAlignment="1">
      <alignment horizontal="right" vertical="center" wrapText="1"/>
    </xf>
    <xf numFmtId="44" fontId="49" fillId="3" borderId="111" xfId="5" applyFont="1" applyFill="1" applyBorder="1" applyAlignment="1">
      <alignment horizontal="right" vertical="center" wrapText="1"/>
    </xf>
    <xf numFmtId="44" fontId="49" fillId="3" borderId="105" xfId="5" applyFont="1" applyFill="1" applyBorder="1" applyAlignment="1">
      <alignment horizontal="right" vertical="center" wrapText="1"/>
    </xf>
    <xf numFmtId="49" fontId="49" fillId="3" borderId="111" xfId="0" applyNumberFormat="1" applyFont="1" applyFill="1" applyBorder="1" applyAlignment="1">
      <alignment horizontal="center" vertical="center" wrapText="1"/>
    </xf>
    <xf numFmtId="49" fontId="49" fillId="3" borderId="51" xfId="0" applyNumberFormat="1" applyFont="1" applyFill="1" applyBorder="1" applyAlignment="1">
      <alignment horizontal="center" vertical="center" wrapText="1"/>
    </xf>
    <xf numFmtId="49" fontId="49" fillId="3" borderId="105" xfId="0" applyNumberFormat="1" applyFont="1" applyFill="1" applyBorder="1" applyAlignment="1">
      <alignment horizontal="center" vertical="center" wrapText="1"/>
    </xf>
    <xf numFmtId="49" fontId="49" fillId="3" borderId="75" xfId="0" applyNumberFormat="1" applyFont="1" applyFill="1" applyBorder="1" applyAlignment="1">
      <alignment horizontal="right" wrapText="1"/>
    </xf>
    <xf numFmtId="49" fontId="49" fillId="3" borderId="77" xfId="0" applyNumberFormat="1" applyFont="1" applyFill="1" applyBorder="1" applyAlignment="1">
      <alignment horizontal="right" wrapText="1"/>
    </xf>
    <xf numFmtId="44" fontId="49" fillId="3" borderId="75" xfId="5" applyFont="1" applyFill="1" applyBorder="1" applyAlignment="1">
      <alignment horizontal="right" wrapText="1"/>
    </xf>
    <xf numFmtId="44" fontId="49" fillId="3" borderId="77" xfId="5" applyFont="1" applyFill="1" applyBorder="1" applyAlignment="1">
      <alignment horizontal="right" wrapText="1"/>
    </xf>
    <xf numFmtId="49" fontId="49" fillId="3" borderId="75" xfId="0" applyNumberFormat="1" applyFont="1" applyFill="1" applyBorder="1" applyAlignment="1">
      <alignment horizontal="center" vertical="center" wrapText="1"/>
    </xf>
    <xf numFmtId="49" fontId="49" fillId="3" borderId="76" xfId="0" applyNumberFormat="1" applyFont="1" applyFill="1" applyBorder="1" applyAlignment="1">
      <alignment horizontal="center" vertical="center" wrapText="1"/>
    </xf>
    <xf numFmtId="49" fontId="49" fillId="3" borderId="77" xfId="0" applyNumberFormat="1" applyFont="1" applyFill="1" applyBorder="1" applyAlignment="1">
      <alignment horizontal="center" vertical="center" wrapText="1"/>
    </xf>
    <xf numFmtId="49" fontId="49" fillId="3" borderId="79" xfId="0" applyNumberFormat="1" applyFont="1" applyFill="1" applyBorder="1" applyAlignment="1">
      <alignment horizontal="right" wrapText="1"/>
    </xf>
    <xf numFmtId="49" fontId="49" fillId="3" borderId="80" xfId="0" applyNumberFormat="1" applyFont="1" applyFill="1" applyBorder="1" applyAlignment="1">
      <alignment horizontal="right" wrapText="1"/>
    </xf>
    <xf numFmtId="44" fontId="49" fillId="3" borderId="79" xfId="5" applyFont="1" applyFill="1" applyBorder="1" applyAlignment="1">
      <alignment horizontal="right" wrapText="1"/>
    </xf>
    <xf numFmtId="44" fontId="49" fillId="3" borderId="80" xfId="5" applyFont="1" applyFill="1" applyBorder="1" applyAlignment="1">
      <alignment horizontal="right" wrapText="1"/>
    </xf>
    <xf numFmtId="49" fontId="37" fillId="3" borderId="71" xfId="0" applyNumberFormat="1" applyFont="1" applyFill="1" applyBorder="1" applyAlignment="1">
      <alignment horizontal="center" vertical="center" wrapText="1"/>
    </xf>
    <xf numFmtId="49" fontId="37" fillId="0" borderId="70" xfId="0" applyNumberFormat="1" applyFont="1" applyBorder="1" applyAlignment="1">
      <alignment horizontal="right" vertical="center" wrapText="1"/>
    </xf>
    <xf numFmtId="49" fontId="37" fillId="0" borderId="72" xfId="0" applyNumberFormat="1" applyFont="1" applyBorder="1" applyAlignment="1">
      <alignment horizontal="right" vertical="center" wrapText="1"/>
    </xf>
    <xf numFmtId="44" fontId="37" fillId="3" borderId="79" xfId="5" applyFont="1" applyFill="1" applyBorder="1" applyAlignment="1">
      <alignment horizontal="right" vertical="center" wrapText="1"/>
    </xf>
    <xf numFmtId="44" fontId="37" fillId="3" borderId="72" xfId="5" applyFont="1" applyFill="1" applyBorder="1" applyAlignment="1">
      <alignment horizontal="right" vertical="center" wrapText="1"/>
    </xf>
    <xf numFmtId="49" fontId="37" fillId="3" borderId="79" xfId="0" applyNumberFormat="1" applyFont="1" applyFill="1" applyBorder="1" applyAlignment="1">
      <alignment horizontal="center" vertical="center" wrapText="1"/>
    </xf>
    <xf numFmtId="49" fontId="37" fillId="3" borderId="81" xfId="0" applyNumberFormat="1" applyFont="1" applyFill="1" applyBorder="1" applyAlignment="1">
      <alignment horizontal="center" vertical="center" wrapText="1"/>
    </xf>
    <xf numFmtId="49" fontId="37" fillId="3" borderId="80" xfId="0" applyNumberFormat="1" applyFont="1" applyFill="1" applyBorder="1" applyAlignment="1">
      <alignment horizontal="center" vertical="center" wrapText="1"/>
    </xf>
    <xf numFmtId="49" fontId="37" fillId="0" borderId="79" xfId="0" applyNumberFormat="1" applyFont="1" applyBorder="1" applyAlignment="1">
      <alignment horizontal="center" wrapText="1"/>
    </xf>
    <xf numFmtId="49" fontId="37" fillId="0" borderId="80" xfId="0" applyNumberFormat="1" applyFont="1" applyBorder="1" applyAlignment="1">
      <alignment horizontal="center" wrapText="1"/>
    </xf>
    <xf numFmtId="49" fontId="37" fillId="3" borderId="79" xfId="0" applyNumberFormat="1" applyFont="1" applyFill="1" applyBorder="1" applyAlignment="1">
      <alignment horizontal="center" wrapText="1"/>
    </xf>
    <xf numFmtId="49" fontId="37" fillId="3" borderId="80" xfId="0" applyNumberFormat="1" applyFont="1" applyFill="1" applyBorder="1" applyAlignment="1">
      <alignment horizontal="center" wrapText="1"/>
    </xf>
    <xf numFmtId="44" fontId="49" fillId="3" borderId="116" xfId="5" applyFont="1" applyFill="1" applyBorder="1" applyAlignment="1">
      <alignment horizontal="center" vertical="center" wrapText="1"/>
    </xf>
    <xf numFmtId="44" fontId="49" fillId="3" borderId="115" xfId="5" applyFont="1" applyFill="1" applyBorder="1" applyAlignment="1">
      <alignment horizontal="center" vertical="center" wrapText="1"/>
    </xf>
    <xf numFmtId="44" fontId="49" fillId="3" borderId="90" xfId="5" applyFont="1" applyFill="1" applyBorder="1" applyAlignment="1">
      <alignment horizontal="center" vertical="center" wrapText="1"/>
    </xf>
    <xf numFmtId="44" fontId="49" fillId="3" borderId="104" xfId="5" applyFont="1" applyFill="1" applyBorder="1" applyAlignment="1">
      <alignment horizontal="center" vertical="center" wrapText="1"/>
    </xf>
    <xf numFmtId="49" fontId="49" fillId="3" borderId="78" xfId="0" applyNumberFormat="1" applyFont="1" applyFill="1" applyBorder="1" applyAlignment="1">
      <alignment horizontal="right" wrapText="1"/>
    </xf>
    <xf numFmtId="49" fontId="50" fillId="4" borderId="2" xfId="0" applyNumberFormat="1" applyFont="1" applyFill="1" applyBorder="1" applyAlignment="1">
      <alignment horizontal="left" vertical="center" wrapText="1"/>
    </xf>
    <xf numFmtId="49" fontId="36" fillId="4" borderId="20" xfId="0" applyNumberFormat="1" applyFont="1" applyFill="1" applyBorder="1" applyAlignment="1">
      <alignment horizontal="left" vertical="center" wrapText="1"/>
    </xf>
    <xf numFmtId="49" fontId="36" fillId="4" borderId="8" xfId="0" applyNumberFormat="1" applyFont="1" applyFill="1" applyBorder="1" applyAlignment="1">
      <alignment horizontal="left" vertical="center" wrapText="1"/>
    </xf>
    <xf numFmtId="49" fontId="36" fillId="4" borderId="41" xfId="0" applyNumberFormat="1" applyFont="1" applyFill="1" applyBorder="1" applyAlignment="1">
      <alignment horizontal="left" vertical="center" wrapText="1"/>
    </xf>
    <xf numFmtId="0" fontId="35" fillId="0" borderId="50" xfId="0" applyFont="1" applyBorder="1" applyAlignment="1">
      <alignment horizontal="center"/>
    </xf>
    <xf numFmtId="0" fontId="35" fillId="0" borderId="51" xfId="0" applyFont="1" applyBorder="1" applyAlignment="1">
      <alignment horizontal="center"/>
    </xf>
    <xf numFmtId="0" fontId="35" fillId="0" borderId="52" xfId="0" applyFont="1" applyBorder="1" applyAlignment="1">
      <alignment horizontal="center"/>
    </xf>
    <xf numFmtId="49" fontId="50" fillId="3" borderId="10" xfId="0" applyNumberFormat="1" applyFont="1" applyFill="1" applyBorder="1" applyAlignment="1">
      <alignment horizontal="center" vertical="center" wrapText="1"/>
    </xf>
    <xf numFmtId="49" fontId="50" fillId="3" borderId="11" xfId="0" applyNumberFormat="1" applyFont="1" applyFill="1" applyBorder="1" applyAlignment="1">
      <alignment horizontal="center" vertical="center" wrapText="1"/>
    </xf>
    <xf numFmtId="44" fontId="49" fillId="3" borderId="19" xfId="5" applyFont="1" applyFill="1" applyBorder="1" applyAlignment="1">
      <alignment horizontal="center" vertical="center" wrapText="1"/>
    </xf>
    <xf numFmtId="44" fontId="49" fillId="3" borderId="7" xfId="5" applyFont="1" applyFill="1" applyBorder="1" applyAlignment="1">
      <alignment horizontal="center" vertical="center" wrapText="1"/>
    </xf>
    <xf numFmtId="44" fontId="49" fillId="3" borderId="40" xfId="5" applyFont="1" applyFill="1" applyBorder="1" applyAlignment="1">
      <alignment horizontal="center" vertical="center" wrapText="1"/>
    </xf>
    <xf numFmtId="49" fontId="50" fillId="4" borderId="3" xfId="0" applyNumberFormat="1" applyFont="1" applyFill="1" applyBorder="1" applyAlignment="1">
      <alignment horizontal="left" vertical="center" wrapText="1"/>
    </xf>
    <xf numFmtId="49" fontId="50" fillId="4" borderId="0" xfId="0" applyNumberFormat="1" applyFont="1" applyFill="1" applyAlignment="1">
      <alignment horizontal="left" vertical="center" wrapText="1"/>
    </xf>
    <xf numFmtId="49" fontId="50" fillId="4" borderId="5" xfId="0" applyNumberFormat="1" applyFont="1" applyFill="1" applyBorder="1" applyAlignment="1">
      <alignment horizontal="left" vertical="center" wrapText="1"/>
    </xf>
    <xf numFmtId="49" fontId="50" fillId="3" borderId="4" xfId="0" applyNumberFormat="1" applyFont="1" applyFill="1" applyBorder="1" applyAlignment="1">
      <alignment horizontal="center" vertical="center" wrapText="1"/>
    </xf>
    <xf numFmtId="49" fontId="50" fillId="3" borderId="0" xfId="0" applyNumberFormat="1" applyFont="1" applyFill="1" applyAlignment="1">
      <alignment horizontal="center" vertical="center" wrapText="1"/>
    </xf>
    <xf numFmtId="49" fontId="50" fillId="3" borderId="74" xfId="0" applyNumberFormat="1" applyFont="1" applyFill="1" applyBorder="1" applyAlignment="1">
      <alignment horizontal="center" vertical="center" wrapText="1"/>
    </xf>
    <xf numFmtId="49" fontId="50" fillId="3" borderId="103" xfId="0" applyNumberFormat="1" applyFont="1" applyFill="1" applyBorder="1" applyAlignment="1">
      <alignment horizontal="center" vertical="center" wrapText="1"/>
    </xf>
    <xf numFmtId="49" fontId="50" fillId="3" borderId="85" xfId="0" applyNumberFormat="1" applyFont="1" applyFill="1" applyBorder="1" applyAlignment="1">
      <alignment horizontal="center" vertical="center" wrapText="1"/>
    </xf>
    <xf numFmtId="49" fontId="50" fillId="3" borderId="76" xfId="0" applyNumberFormat="1" applyFont="1" applyFill="1" applyBorder="1" applyAlignment="1">
      <alignment horizontal="center" vertical="center" wrapText="1"/>
    </xf>
    <xf numFmtId="49" fontId="50" fillId="3" borderId="77" xfId="0" applyNumberFormat="1" applyFont="1" applyFill="1" applyBorder="1" applyAlignment="1">
      <alignment horizontal="center" vertical="center" wrapText="1"/>
    </xf>
    <xf numFmtId="49" fontId="49" fillId="3" borderId="124" xfId="0" applyNumberFormat="1" applyFont="1" applyFill="1" applyBorder="1" applyAlignment="1">
      <alignment horizontal="center" vertical="center" wrapText="1"/>
    </xf>
    <xf numFmtId="49" fontId="49" fillId="3" borderId="124" xfId="0" applyNumberFormat="1" applyFont="1" applyFill="1" applyBorder="1" applyAlignment="1">
      <alignment horizontal="center" wrapText="1"/>
    </xf>
    <xf numFmtId="44" fontId="49" fillId="3" borderId="124" xfId="5" applyFont="1" applyFill="1" applyBorder="1" applyAlignment="1">
      <alignment horizontal="right" wrapText="1"/>
    </xf>
    <xf numFmtId="49" fontId="49" fillId="3" borderId="124" xfId="0" applyNumberFormat="1" applyFont="1" applyFill="1" applyBorder="1" applyAlignment="1">
      <alignment horizontal="right" wrapText="1"/>
    </xf>
    <xf numFmtId="49" fontId="50" fillId="4" borderId="11" xfId="0" applyNumberFormat="1" applyFont="1" applyFill="1" applyBorder="1" applyAlignment="1">
      <alignment horizontal="left" vertical="center" wrapText="1"/>
    </xf>
    <xf numFmtId="49" fontId="50" fillId="4" borderId="12" xfId="0" applyNumberFormat="1" applyFont="1" applyFill="1" applyBorder="1" applyAlignment="1">
      <alignment horizontal="left" vertical="center" wrapText="1"/>
    </xf>
    <xf numFmtId="49" fontId="49" fillId="3" borderId="87" xfId="0" applyNumberFormat="1" applyFont="1" applyFill="1" applyBorder="1" applyAlignment="1">
      <alignment horizontal="left" wrapText="1"/>
    </xf>
    <xf numFmtId="49" fontId="49" fillId="3" borderId="78" xfId="0" applyNumberFormat="1" applyFont="1" applyFill="1" applyBorder="1" applyAlignment="1">
      <alignment horizontal="left" wrapText="1"/>
    </xf>
    <xf numFmtId="49" fontId="49" fillId="3" borderId="89" xfId="0" applyNumberFormat="1" applyFont="1" applyFill="1" applyBorder="1" applyAlignment="1">
      <alignment horizontal="right" wrapText="1"/>
    </xf>
    <xf numFmtId="49" fontId="49" fillId="3" borderId="120" xfId="0" applyNumberFormat="1" applyFont="1" applyFill="1" applyBorder="1" applyAlignment="1">
      <alignment horizontal="left" vertical="center" wrapText="1"/>
    </xf>
    <xf numFmtId="49" fontId="49" fillId="3" borderId="121" xfId="0" applyNumberFormat="1" applyFont="1" applyFill="1" applyBorder="1" applyAlignment="1">
      <alignment horizontal="left" vertical="center" wrapText="1"/>
    </xf>
    <xf numFmtId="49" fontId="49" fillId="3" borderId="121" xfId="0" applyNumberFormat="1" applyFont="1" applyFill="1" applyBorder="1" applyAlignment="1">
      <alignment horizontal="center" vertical="center" wrapText="1"/>
    </xf>
    <xf numFmtId="49" fontId="49" fillId="3" borderId="121" xfId="0" applyNumberFormat="1" applyFont="1" applyFill="1" applyBorder="1" applyAlignment="1">
      <alignment horizontal="center" wrapText="1"/>
    </xf>
    <xf numFmtId="44" fontId="49" fillId="3" borderId="121" xfId="5" applyFont="1" applyFill="1" applyBorder="1" applyAlignment="1">
      <alignment horizontal="right" wrapText="1"/>
    </xf>
    <xf numFmtId="49" fontId="49" fillId="3" borderId="121" xfId="0" applyNumberFormat="1" applyFont="1" applyFill="1" applyBorder="1" applyAlignment="1">
      <alignment horizontal="right" wrapText="1"/>
    </xf>
    <xf numFmtId="44" fontId="32" fillId="15" borderId="7" xfId="5" applyFont="1" applyFill="1" applyBorder="1" applyAlignment="1">
      <alignment horizontal="center"/>
    </xf>
    <xf numFmtId="44" fontId="32" fillId="0" borderId="9" xfId="5" applyFont="1" applyBorder="1" applyAlignment="1">
      <alignment horizontal="center" wrapText="1"/>
    </xf>
    <xf numFmtId="44" fontId="32" fillId="0" borderId="14" xfId="5" applyFont="1" applyBorder="1" applyAlignment="1">
      <alignment horizontal="center" wrapText="1"/>
    </xf>
    <xf numFmtId="44" fontId="32" fillId="0" borderId="13" xfId="5" applyFont="1" applyBorder="1" applyAlignment="1">
      <alignment horizontal="center" wrapText="1"/>
    </xf>
    <xf numFmtId="0" fontId="24" fillId="4" borderId="7" xfId="0" applyFont="1" applyFill="1" applyBorder="1" applyAlignment="1">
      <alignment horizontal="center"/>
    </xf>
  </cellXfs>
  <cellStyles count="44">
    <cellStyle name="Bueno" xfId="1" builtinId="26"/>
    <cellStyle name="Currency" xfId="40" xr:uid="{72CCB3A5-5A99-4AB8-A0B3-8AC42FE5CC05}"/>
    <cellStyle name="Hipervínculo 2 2" xfId="12" xr:uid="{F85F07A6-6792-44ED-A2B0-4A155F493B9B}"/>
    <cellStyle name="Millares" xfId="7" builtinId="3"/>
    <cellStyle name="Millares [0] 5" xfId="42" xr:uid="{ED5A486C-CF75-45C1-97DA-77D3D2199015}"/>
    <cellStyle name="Millares 2" xfId="30" xr:uid="{167EFA6D-EC79-4487-8A2E-017E82D53FE7}"/>
    <cellStyle name="Millares 2 2" xfId="20" xr:uid="{55D5D7F4-5616-4985-A4A2-DB5B09AC5A59}"/>
    <cellStyle name="Millares 2 2 2 3" xfId="37" xr:uid="{7C07F59B-8A54-41A1-8F27-3F7EDD0B3741}"/>
    <cellStyle name="Millares 2 2 3" xfId="41" xr:uid="{F5C83027-3F33-4A96-94CF-CB19D82B6AF1}"/>
    <cellStyle name="Millares 2_A. Priorizacion La Cruz incluye adicional" xfId="19" xr:uid="{C01F6872-F75C-4D7A-AF41-65D09E053B63}"/>
    <cellStyle name="Millares_PPTO OFICIAL LP-SGT-SRN-001-2009" xfId="10" xr:uid="{91059ADC-323F-4B2D-B285-66E57BF1EBC5}"/>
    <cellStyle name="Moneda" xfId="5" builtinId="4"/>
    <cellStyle name="Moneda [0] 3" xfId="22" xr:uid="{FD0B2320-4019-459B-8B07-E3AA73E6904B}"/>
    <cellStyle name="Moneda 18" xfId="17" xr:uid="{A9B2F97F-6032-440A-A031-38A47E701AFD}"/>
    <cellStyle name="Moneda 2" xfId="29" xr:uid="{E3C95ABF-AB50-4D5F-89D9-D3F4210BB186}"/>
    <cellStyle name="Moneda 2 2 3" xfId="18" xr:uid="{3B24023D-032D-45BE-8FEA-87B76352A169}"/>
    <cellStyle name="Moneda 2 2 5" xfId="16" xr:uid="{BC7663E0-76D5-441B-8575-80EC23EB3FE4}"/>
    <cellStyle name="Moneda 2 2 5 2" xfId="38" xr:uid="{4DF49C3D-369F-4AF3-AE4A-39EE3C62070A}"/>
    <cellStyle name="Moneda 28 2" xfId="43" xr:uid="{53AFE2E8-1A33-41C3-85E7-38C792C60656}"/>
    <cellStyle name="Moneda 3 3" xfId="14" xr:uid="{23DE84AB-2E6F-47F0-AC97-3A411A7B8418}"/>
    <cellStyle name="Moneda 4" xfId="21" xr:uid="{1B8E6D8B-0E1B-4B00-98CA-68F3A8967011}"/>
    <cellStyle name="Normal" xfId="0" builtinId="0"/>
    <cellStyle name="Normal 10 5 2" xfId="34" xr:uid="{ED162DEB-7258-4BC8-BC34-D4F04A865B3C}"/>
    <cellStyle name="Normal 12" xfId="6" xr:uid="{5E02BF07-E1E2-4153-A0ED-BFFBE52E7F20}"/>
    <cellStyle name="Normal 13" xfId="39" xr:uid="{0F8419BF-53FA-4C9E-B54B-339CD6B9DB88}"/>
    <cellStyle name="Normal 14 2" xfId="11" xr:uid="{48D105E1-57CC-4571-8325-265EDC42B737}"/>
    <cellStyle name="Normal 2" xfId="27" xr:uid="{CEB3833B-A4E3-40B8-8242-52A154643758}"/>
    <cellStyle name="Normal 2 10 2" xfId="13" xr:uid="{1B7A3237-3781-46B5-8C46-D317F1651CC4}"/>
    <cellStyle name="Normal 2 10 2 2" xfId="36" xr:uid="{434E2F11-15B4-45ED-B36B-32569A04133E}"/>
    <cellStyle name="Normal 2 10 3" xfId="35" xr:uid="{523CC3EE-B3B2-430E-80CA-7874961CDF80}"/>
    <cellStyle name="Normal 2 2" xfId="25" xr:uid="{C19F2DE7-A652-4892-A32B-D7F93B85764D}"/>
    <cellStyle name="Normal 2 3 2" xfId="15" xr:uid="{A9C49A4E-521F-4098-83DD-A47D86BC4E31}"/>
    <cellStyle name="Normal 3" xfId="4" xr:uid="{00000000-0005-0000-0000-000003000000}"/>
    <cellStyle name="Normal 3 2" xfId="2" xr:uid="{00000000-0005-0000-0000-000004000000}"/>
    <cellStyle name="Normal 3 2 2" xfId="3" xr:uid="{00000000-0005-0000-0000-000005000000}"/>
    <cellStyle name="Normal 3 2 5" xfId="33" xr:uid="{44F2A9C4-4AFC-469E-BD67-31832F302E97}"/>
    <cellStyle name="Normal 3 6 2" xfId="32" xr:uid="{DA6B5707-5103-4680-ACB2-7FB7080C37FB}"/>
    <cellStyle name="Normal 4" xfId="23" xr:uid="{261B4CC7-D05E-43FC-93D2-7D2474C12372}"/>
    <cellStyle name="Normal 4 3 4" xfId="26" xr:uid="{BE997E45-52CB-4715-AE0D-9D4510A6B204}"/>
    <cellStyle name="Normal_PTO OFICIAL y APU MODELO 2010 (2)" xfId="9" xr:uid="{B57F244A-D62B-46EC-ADEB-A30B89901813}"/>
    <cellStyle name="Porcentaje 2" xfId="31" xr:uid="{78930B71-990B-47C8-A6C2-838C20E7AAD6}"/>
    <cellStyle name="Porcentual 9" xfId="28" xr:uid="{AE4E8566-E018-425E-9FA4-8B3C988530E7}"/>
    <cellStyle name="Total" xfId="8" builtinId="25"/>
    <cellStyle name="Total 2" xfId="24" xr:uid="{0E8300EA-8722-4227-93CA-469311E870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528320</xdr:colOff>
      <xdr:row>0</xdr:row>
      <xdr:rowOff>17780</xdr:rowOff>
    </xdr:from>
    <xdr:to>
      <xdr:col>6</xdr:col>
      <xdr:colOff>645130</xdr:colOff>
      <xdr:row>2</xdr:row>
      <xdr:rowOff>345440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A0D898-B032-4A80-BCB7-94E7BF90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0120" y="17780"/>
          <a:ext cx="1709390" cy="797560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0</xdr:row>
      <xdr:rowOff>76201</xdr:rowOff>
    </xdr:from>
    <xdr:to>
      <xdr:col>0</xdr:col>
      <xdr:colOff>1711960</xdr:colOff>
      <xdr:row>2</xdr:row>
      <xdr:rowOff>231825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63A1FD-D7E6-49C2-BA53-43863A638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800" y="76201"/>
          <a:ext cx="1534160" cy="6128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99</xdr:row>
      <xdr:rowOff>160020</xdr:rowOff>
    </xdr:from>
    <xdr:to>
      <xdr:col>4</xdr:col>
      <xdr:colOff>765576</xdr:colOff>
      <xdr:row>108</xdr:row>
      <xdr:rowOff>114523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95651AE-ECBC-4241-AAD3-0D4AFEAC4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3545800"/>
          <a:ext cx="7887801" cy="16004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1147484</xdr:colOff>
      <xdr:row>0</xdr:row>
      <xdr:rowOff>152401</xdr:rowOff>
    </xdr:from>
    <xdr:to>
      <xdr:col>6</xdr:col>
      <xdr:colOff>1412361</xdr:colOff>
      <xdr:row>4</xdr:row>
      <xdr:rowOff>35561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71029E-E69B-47E5-81B6-65180B6CE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5860" y="152401"/>
          <a:ext cx="1709390" cy="797560"/>
        </a:xfrm>
        <a:prstGeom prst="rect">
          <a:avLst/>
        </a:prstGeom>
      </xdr:spPr>
    </xdr:pic>
    <xdr:clientData/>
  </xdr:twoCellAnchor>
  <xdr:twoCellAnchor editAs="oneCell">
    <xdr:from>
      <xdr:col>1</xdr:col>
      <xdr:colOff>107577</xdr:colOff>
      <xdr:row>1</xdr:row>
      <xdr:rowOff>44824</xdr:rowOff>
    </xdr:from>
    <xdr:to>
      <xdr:col>2</xdr:col>
      <xdr:colOff>1180801</xdr:colOff>
      <xdr:row>3</xdr:row>
      <xdr:rowOff>187524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1ACC94C-AA6A-487B-AD7A-997540C14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0659" y="224118"/>
          <a:ext cx="1534160" cy="6128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293077</xdr:colOff>
      <xdr:row>10</xdr:row>
      <xdr:rowOff>69806</xdr:rowOff>
    </xdr:from>
    <xdr:to>
      <xdr:col>27</xdr:col>
      <xdr:colOff>140002</xdr:colOff>
      <xdr:row>32</xdr:row>
      <xdr:rowOff>68385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A394B3-05EA-4BB7-B0FD-5BD53F4AC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077" y="3264344"/>
          <a:ext cx="11843540" cy="40821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233316</xdr:colOff>
      <xdr:row>0</xdr:row>
      <xdr:rowOff>153126</xdr:rowOff>
    </xdr:from>
    <xdr:to>
      <xdr:col>2</xdr:col>
      <xdr:colOff>762000</xdr:colOff>
      <xdr:row>3</xdr:row>
      <xdr:rowOff>117201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67EDC2-26A6-4CAE-A2F9-49B8C079C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316" y="153126"/>
          <a:ext cx="2125255" cy="989146"/>
        </a:xfrm>
        <a:prstGeom prst="rect">
          <a:avLst/>
        </a:prstGeom>
      </xdr:spPr>
    </xdr:pic>
    <xdr:clientData/>
  </xdr:twoCellAnchor>
  <xdr:twoCellAnchor editAs="oneCell">
    <xdr:from>
      <xdr:col>0</xdr:col>
      <xdr:colOff>108857</xdr:colOff>
      <xdr:row>61</xdr:row>
      <xdr:rowOff>43544</xdr:rowOff>
    </xdr:from>
    <xdr:to>
      <xdr:col>2</xdr:col>
      <xdr:colOff>685800</xdr:colOff>
      <xdr:row>64</xdr:row>
      <xdr:rowOff>187114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17031B-2E06-4E0A-B08F-0F4918D82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" y="11422744"/>
          <a:ext cx="2168676" cy="1009286"/>
        </a:xfrm>
        <a:prstGeom prst="rect">
          <a:avLst/>
        </a:prstGeom>
      </xdr:spPr>
    </xdr:pic>
    <xdr:clientData/>
  </xdr:twoCellAnchor>
  <xdr:twoCellAnchor editAs="oneCell">
    <xdr:from>
      <xdr:col>0</xdr:col>
      <xdr:colOff>110129</xdr:colOff>
      <xdr:row>82</xdr:row>
      <xdr:rowOff>100511</xdr:rowOff>
    </xdr:from>
    <xdr:to>
      <xdr:col>3</xdr:col>
      <xdr:colOff>2904</xdr:colOff>
      <xdr:row>85</xdr:row>
      <xdr:rowOff>72618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3E3EED1-4C17-4D1E-B25F-F8B166305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29" y="16220440"/>
          <a:ext cx="2302872" cy="1069749"/>
        </a:xfrm>
        <a:prstGeom prst="rect">
          <a:avLst/>
        </a:prstGeom>
      </xdr:spPr>
    </xdr:pic>
    <xdr:clientData/>
  </xdr:twoCellAnchor>
  <xdr:twoCellAnchor editAs="oneCell">
    <xdr:from>
      <xdr:col>0</xdr:col>
      <xdr:colOff>176712</xdr:colOff>
      <xdr:row>112</xdr:row>
      <xdr:rowOff>66403</xdr:rowOff>
    </xdr:from>
    <xdr:to>
      <xdr:col>2</xdr:col>
      <xdr:colOff>688340</xdr:colOff>
      <xdr:row>114</xdr:row>
      <xdr:rowOff>418715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66266EC-35BA-410F-A4A1-0CB071305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712" y="21538474"/>
          <a:ext cx="2115819" cy="1004003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215904</xdr:colOff>
      <xdr:row>146</xdr:row>
      <xdr:rowOff>35200</xdr:rowOff>
    </xdr:from>
    <xdr:to>
      <xdr:col>2</xdr:col>
      <xdr:colOff>758739</xdr:colOff>
      <xdr:row>149</xdr:row>
      <xdr:rowOff>186960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56B33D1-3B68-4D7F-AC86-4D08F0915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904" y="29508271"/>
          <a:ext cx="2130516" cy="995402"/>
        </a:xfrm>
        <a:prstGeom prst="rect">
          <a:avLst/>
        </a:prstGeom>
      </xdr:spPr>
    </xdr:pic>
    <xdr:clientData/>
  </xdr:twoCellAnchor>
  <xdr:twoCellAnchor editAs="oneCell">
    <xdr:from>
      <xdr:col>0</xdr:col>
      <xdr:colOff>440267</xdr:colOff>
      <xdr:row>28</xdr:row>
      <xdr:rowOff>42334</xdr:rowOff>
    </xdr:from>
    <xdr:to>
      <xdr:col>2</xdr:col>
      <xdr:colOff>530014</xdr:colOff>
      <xdr:row>31</xdr:row>
      <xdr:rowOff>155768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50C2292-BA28-4C5C-90AC-8458049C1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267" y="5926667"/>
          <a:ext cx="1676400" cy="7801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43</xdr:row>
      <xdr:rowOff>0</xdr:rowOff>
    </xdr:from>
    <xdr:to>
      <xdr:col>10</xdr:col>
      <xdr:colOff>917344</xdr:colOff>
      <xdr:row>78</xdr:row>
      <xdr:rowOff>105440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145D0CA-86E0-4C04-B12E-EEEC535A5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87788" y="9690847"/>
          <a:ext cx="11193437" cy="63731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60</xdr:row>
      <xdr:rowOff>33088</xdr:rowOff>
    </xdr:from>
    <xdr:to>
      <xdr:col>9</xdr:col>
      <xdr:colOff>1264920</xdr:colOff>
      <xdr:row>88</xdr:row>
      <xdr:rowOff>155272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510896-2DB1-46F4-AD89-D9D4AC039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63088"/>
          <a:ext cx="8334375" cy="54599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109813</xdr:rowOff>
    </xdr:from>
    <xdr:to>
      <xdr:col>9</xdr:col>
      <xdr:colOff>1292543</xdr:colOff>
      <xdr:row>117</xdr:row>
      <xdr:rowOff>148925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EE74243-A435-42A5-9CE3-DA3369926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6873813"/>
          <a:ext cx="8358188" cy="55585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1189882</xdr:colOff>
      <xdr:row>30</xdr:row>
      <xdr:rowOff>122095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1688677-8D41-43DA-8A7C-0C5203E45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8326012" cy="58015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95250</xdr:rowOff>
    </xdr:from>
    <xdr:to>
      <xdr:col>9</xdr:col>
      <xdr:colOff>1140344</xdr:colOff>
      <xdr:row>57</xdr:row>
      <xdr:rowOff>182259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953A7EA-4547-4DE9-83B7-75419E613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6191250"/>
          <a:ext cx="8202179" cy="4839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119</xdr:row>
      <xdr:rowOff>19050</xdr:rowOff>
    </xdr:from>
    <xdr:to>
      <xdr:col>10</xdr:col>
      <xdr:colOff>497520</xdr:colOff>
      <xdr:row>154</xdr:row>
      <xdr:rowOff>153349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62ACF60-60C8-4586-972D-59A4CD97A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22688550"/>
          <a:ext cx="9245280" cy="68017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155</xdr:row>
      <xdr:rowOff>0</xdr:rowOff>
    </xdr:from>
    <xdr:to>
      <xdr:col>10</xdr:col>
      <xdr:colOff>378464</xdr:colOff>
      <xdr:row>171</xdr:row>
      <xdr:rowOff>152847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4B19841-EC78-411C-A002-40C47CC57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9527500"/>
          <a:ext cx="9126224" cy="32008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207</xdr:row>
      <xdr:rowOff>0</xdr:rowOff>
    </xdr:from>
    <xdr:to>
      <xdr:col>10</xdr:col>
      <xdr:colOff>530885</xdr:colOff>
      <xdr:row>233</xdr:row>
      <xdr:rowOff>118184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D4BFD98F-FD8E-478F-AE5D-1F0BEEA9B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39433500"/>
          <a:ext cx="9278645" cy="50775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10</xdr:col>
      <xdr:colOff>460391</xdr:colOff>
      <xdr:row>206</xdr:row>
      <xdr:rowOff>118370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05B7608-5A43-4B45-815D-A7C797B82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2956500"/>
          <a:ext cx="9211961" cy="64112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235</xdr:row>
      <xdr:rowOff>1</xdr:rowOff>
    </xdr:from>
    <xdr:to>
      <xdr:col>10</xdr:col>
      <xdr:colOff>656239</xdr:colOff>
      <xdr:row>273</xdr:row>
      <xdr:rowOff>110837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23E09DE-EA85-4E70-8D7A-6638A51EE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42325637"/>
          <a:ext cx="9301129" cy="69549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275</xdr:row>
      <xdr:rowOff>0</xdr:rowOff>
    </xdr:from>
    <xdr:to>
      <xdr:col>10</xdr:col>
      <xdr:colOff>563258</xdr:colOff>
      <xdr:row>312</xdr:row>
      <xdr:rowOff>111724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6A9BDCA6-0C05-4D81-98BC-6ACB5B2FC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49530000"/>
          <a:ext cx="9192908" cy="67732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314</xdr:row>
      <xdr:rowOff>0</xdr:rowOff>
    </xdr:from>
    <xdr:to>
      <xdr:col>10</xdr:col>
      <xdr:colOff>574691</xdr:colOff>
      <xdr:row>352</xdr:row>
      <xdr:rowOff>2746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BEE8A86-42F3-450F-8338-69758BD20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56554255"/>
          <a:ext cx="9211961" cy="68494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353</xdr:row>
      <xdr:rowOff>0</xdr:rowOff>
    </xdr:from>
    <xdr:to>
      <xdr:col>10</xdr:col>
      <xdr:colOff>574691</xdr:colOff>
      <xdr:row>387</xdr:row>
      <xdr:rowOff>81108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646323D7-B62F-440B-A6E9-3151CC33E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63578509"/>
          <a:ext cx="9211961" cy="6211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6590B-4D67-43CE-A81B-BAE549233108}">
  <sheetPr>
    <tabColor rgb="FF92D050"/>
  </sheetPr>
  <dimension ref="A1:L108"/>
  <sheetViews>
    <sheetView topLeftCell="A26" zoomScale="68" zoomScaleNormal="68" workbookViewId="0">
      <selection activeCell="A32" sqref="A32:H32"/>
    </sheetView>
  </sheetViews>
  <sheetFormatPr baseColWidth="10" defaultRowHeight="15" x14ac:dyDescent="0.25"/>
  <cols>
    <col min="1" max="1" width="25.5703125" customWidth="1"/>
    <col min="2" max="2" width="27.42578125" customWidth="1"/>
    <col min="3" max="3" width="43.85546875" customWidth="1"/>
    <col min="4" max="4" width="7.140625" bestFit="1" customWidth="1"/>
    <col min="5" max="5" width="14.28515625" customWidth="1"/>
    <col min="6" max="6" width="23.28515625" customWidth="1"/>
    <col min="7" max="7" width="20" bestFit="1" customWidth="1"/>
    <col min="8" max="8" width="4.42578125" customWidth="1"/>
    <col min="9" max="10" width="20.28515625" customWidth="1"/>
    <col min="11" max="12" width="15.28515625" bestFit="1" customWidth="1"/>
  </cols>
  <sheetData>
    <row r="1" spans="1:10" ht="18" x14ac:dyDescent="0.25">
      <c r="A1" s="371"/>
      <c r="B1" s="373" t="s">
        <v>0</v>
      </c>
      <c r="C1" s="374"/>
      <c r="D1" s="374"/>
      <c r="E1" s="375"/>
      <c r="F1" s="373"/>
      <c r="G1" s="374"/>
      <c r="H1" s="376"/>
    </row>
    <row r="2" spans="1:10" ht="18" x14ac:dyDescent="0.25">
      <c r="A2" s="372"/>
      <c r="B2" s="377" t="s">
        <v>1</v>
      </c>
      <c r="C2" s="378"/>
      <c r="D2" s="378"/>
      <c r="E2" s="383"/>
      <c r="F2" s="377"/>
      <c r="G2" s="378"/>
      <c r="H2" s="379"/>
    </row>
    <row r="3" spans="1:10" ht="31.9" customHeight="1" x14ac:dyDescent="0.25">
      <c r="A3" s="372"/>
      <c r="B3" s="380" t="s">
        <v>2</v>
      </c>
      <c r="C3" s="381"/>
      <c r="D3" s="381"/>
      <c r="E3" s="384"/>
      <c r="F3" s="380"/>
      <c r="G3" s="381"/>
      <c r="H3" s="382"/>
    </row>
    <row r="4" spans="1:10" ht="20.25" x14ac:dyDescent="0.25">
      <c r="A4" s="368" t="s">
        <v>38</v>
      </c>
      <c r="B4" s="369"/>
      <c r="C4" s="369"/>
      <c r="D4" s="369"/>
      <c r="E4" s="369"/>
      <c r="F4" s="369"/>
      <c r="G4" s="369"/>
      <c r="H4" s="370"/>
    </row>
    <row r="5" spans="1:10" ht="52.15" customHeight="1" x14ac:dyDescent="0.25">
      <c r="A5" s="360" t="s">
        <v>228</v>
      </c>
      <c r="B5" s="361"/>
      <c r="C5" s="361"/>
      <c r="D5" s="361"/>
      <c r="E5" s="361"/>
      <c r="F5" s="361"/>
      <c r="G5" s="361"/>
      <c r="H5" s="362"/>
    </row>
    <row r="6" spans="1:10" ht="40.5" x14ac:dyDescent="0.25">
      <c r="A6" s="137" t="s">
        <v>3</v>
      </c>
      <c r="B6" s="363" t="s">
        <v>39</v>
      </c>
      <c r="C6" s="363"/>
      <c r="D6" s="364" t="s">
        <v>40</v>
      </c>
      <c r="E6" s="365"/>
      <c r="F6" s="138" t="s">
        <v>41</v>
      </c>
      <c r="G6" s="366" t="s">
        <v>4</v>
      </c>
      <c r="H6" s="367"/>
    </row>
    <row r="7" spans="1:10" ht="15.75" x14ac:dyDescent="0.25">
      <c r="A7" s="2" t="s">
        <v>5</v>
      </c>
      <c r="B7" s="398" t="s">
        <v>229</v>
      </c>
      <c r="C7" s="399"/>
      <c r="D7" s="400">
        <f>+B65/1000</f>
        <v>0.17549999999999999</v>
      </c>
      <c r="E7" s="400"/>
      <c r="F7" s="1" t="s">
        <v>5</v>
      </c>
      <c r="G7" s="401">
        <v>45748</v>
      </c>
      <c r="H7" s="402"/>
    </row>
    <row r="8" spans="1:10" ht="20.25" x14ac:dyDescent="0.25">
      <c r="A8" s="403" t="s">
        <v>42</v>
      </c>
      <c r="B8" s="404"/>
      <c r="C8" s="404"/>
      <c r="D8" s="404"/>
      <c r="E8" s="404"/>
      <c r="F8" s="404"/>
      <c r="G8" s="404"/>
      <c r="H8" s="405"/>
    </row>
    <row r="9" spans="1:10" x14ac:dyDescent="0.25">
      <c r="A9" s="391" t="s">
        <v>43</v>
      </c>
      <c r="B9" s="387" t="s">
        <v>6</v>
      </c>
      <c r="C9" s="387"/>
      <c r="D9" s="387" t="s">
        <v>44</v>
      </c>
      <c r="E9" s="394" t="s">
        <v>9</v>
      </c>
      <c r="F9" s="385" t="s">
        <v>45</v>
      </c>
      <c r="G9" s="387" t="s">
        <v>46</v>
      </c>
      <c r="H9" s="388"/>
    </row>
    <row r="10" spans="1:10" x14ac:dyDescent="0.25">
      <c r="A10" s="392"/>
      <c r="B10" s="387"/>
      <c r="C10" s="387"/>
      <c r="D10" s="387"/>
      <c r="E10" s="394"/>
      <c r="F10" s="385"/>
      <c r="G10" s="387"/>
      <c r="H10" s="388"/>
    </row>
    <row r="11" spans="1:10" x14ac:dyDescent="0.25">
      <c r="A11" s="393"/>
      <c r="B11" s="389"/>
      <c r="C11" s="389"/>
      <c r="D11" s="389"/>
      <c r="E11" s="395"/>
      <c r="F11" s="386"/>
      <c r="G11" s="389"/>
      <c r="H11" s="390"/>
    </row>
    <row r="12" spans="1:10" ht="21" customHeight="1" thickBot="1" x14ac:dyDescent="0.3">
      <c r="A12" s="406" t="s">
        <v>48</v>
      </c>
      <c r="B12" s="407"/>
      <c r="C12" s="407"/>
      <c r="D12" s="407"/>
      <c r="E12" s="408"/>
      <c r="F12" s="326"/>
      <c r="G12" s="412"/>
      <c r="H12" s="413"/>
      <c r="J12" s="3">
        <f>134079445/12</f>
        <v>11173287.083333334</v>
      </c>
    </row>
    <row r="13" spans="1:10" ht="18" customHeight="1" x14ac:dyDescent="0.25">
      <c r="A13" s="409" t="s">
        <v>157</v>
      </c>
      <c r="B13" s="410"/>
      <c r="C13" s="410"/>
      <c r="D13" s="411"/>
      <c r="E13" s="327"/>
      <c r="F13" s="327"/>
      <c r="G13" s="414"/>
      <c r="H13" s="415"/>
    </row>
    <row r="14" spans="1:10" ht="30.6" customHeight="1" x14ac:dyDescent="0.25">
      <c r="A14" s="63">
        <v>1</v>
      </c>
      <c r="B14" s="416" t="str">
        <f>+'apu presupuesto'!I3</f>
        <v>CONFORMACIÓN COMPACTACIÓN SUBRASANTE CBR=95%</v>
      </c>
      <c r="C14" s="416"/>
      <c r="D14" s="64" t="str">
        <f>+'apu presupuesto'!I4</f>
        <v>M2</v>
      </c>
      <c r="E14" s="140">
        <f>+C70</f>
        <v>878</v>
      </c>
      <c r="F14" s="141">
        <f>+'apu presupuesto'!M27</f>
        <v>7891</v>
      </c>
      <c r="G14" s="396">
        <f>+ROUND(E14*F14,2)</f>
        <v>6928298</v>
      </c>
      <c r="H14" s="397"/>
      <c r="I14">
        <f>885.85*6396.75</f>
        <v>5666560.9874999998</v>
      </c>
    </row>
    <row r="15" spans="1:10" ht="30.6" customHeight="1" x14ac:dyDescent="0.25">
      <c r="A15" s="63">
        <v>2</v>
      </c>
      <c r="B15" s="417" t="s">
        <v>253</v>
      </c>
      <c r="C15" s="418"/>
      <c r="D15" s="64" t="s">
        <v>49</v>
      </c>
      <c r="E15" s="140">
        <f>+C75</f>
        <v>10</v>
      </c>
      <c r="F15" s="141">
        <f>+'apu presupuesto'!M60</f>
        <v>133212</v>
      </c>
      <c r="G15" s="396">
        <f t="shared" ref="G15:G19" si="0">+ROUND(E15*F15,2)</f>
        <v>1332120</v>
      </c>
      <c r="H15" s="397"/>
    </row>
    <row r="16" spans="1:10" ht="30.6" customHeight="1" x14ac:dyDescent="0.25">
      <c r="A16" s="63">
        <v>3</v>
      </c>
      <c r="B16" s="417" t="str">
        <f>+'apu presupuesto'!H64</f>
        <v>EXCAVACION MANUAL EN MATERIAL COMUN</v>
      </c>
      <c r="C16" s="418"/>
      <c r="D16" s="64" t="str">
        <f>+'apu presupuesto'!H65</f>
        <v>M3</v>
      </c>
      <c r="E16" s="140">
        <f>+C80</f>
        <v>11</v>
      </c>
      <c r="F16" s="141">
        <f>+'apu presupuesto'!M80</f>
        <v>70578</v>
      </c>
      <c r="G16" s="396">
        <f t="shared" si="0"/>
        <v>776358</v>
      </c>
      <c r="H16" s="397"/>
    </row>
    <row r="17" spans="1:12" ht="30.6" customHeight="1" x14ac:dyDescent="0.25">
      <c r="A17" s="63">
        <v>4</v>
      </c>
      <c r="B17" s="416" t="str">
        <f>+'apu presupuesto'!H85</f>
        <v>SUMINISTRO E INSTALACION DE BORDILLO PREFABRICADO A-80</v>
      </c>
      <c r="C17" s="416"/>
      <c r="D17" s="64" t="str">
        <f>+'apu presupuesto'!H86</f>
        <v>ML</v>
      </c>
      <c r="E17" s="140">
        <f>+C85</f>
        <v>176</v>
      </c>
      <c r="F17" s="141">
        <f>+'apu presupuesto'!M110</f>
        <v>56815</v>
      </c>
      <c r="G17" s="396">
        <f t="shared" si="0"/>
        <v>9999440</v>
      </c>
      <c r="H17" s="397"/>
      <c r="J17" s="134">
        <f>+F17*E17</f>
        <v>9999440</v>
      </c>
    </row>
    <row r="18" spans="1:12" ht="30.6" customHeight="1" x14ac:dyDescent="0.25">
      <c r="A18" s="63">
        <v>5</v>
      </c>
      <c r="B18" s="416" t="str">
        <f>+'apu presupuesto'!H115</f>
        <v>SUMINISTRO, EXTENDIDA Y COMPACTACION DE MATERIAL SELECCIONADO PARA BASE GRANULAR (INCLUYE  ACARREO LIBRE DE 5KM)</v>
      </c>
      <c r="C18" s="416"/>
      <c r="D18" s="64" t="str">
        <f>+'apu presupuesto'!H116</f>
        <v>M3</v>
      </c>
      <c r="E18" s="140">
        <f>+C90</f>
        <v>219</v>
      </c>
      <c r="F18" s="141">
        <f>+'apu presupuesto'!M144</f>
        <v>137165</v>
      </c>
      <c r="G18" s="396">
        <f t="shared" si="0"/>
        <v>30039135</v>
      </c>
      <c r="H18" s="397"/>
    </row>
    <row r="19" spans="1:12" ht="30.6" customHeight="1" x14ac:dyDescent="0.25">
      <c r="A19" s="63">
        <v>6</v>
      </c>
      <c r="B19" s="416" t="str">
        <f>+'apu presupuesto'!H149</f>
        <v>PAVIMENTO EN ADOQUIN TOLETE COMUN INSTALADO EN PANDERETA.</v>
      </c>
      <c r="C19" s="416"/>
      <c r="D19" s="64" t="str">
        <f>+'apu presupuesto'!H150</f>
        <v>M2</v>
      </c>
      <c r="E19" s="142">
        <f>+C95</f>
        <v>878</v>
      </c>
      <c r="F19" s="143">
        <f>+'apu presupuesto'!M173</f>
        <v>83302</v>
      </c>
      <c r="G19" s="396">
        <f t="shared" si="0"/>
        <v>73139156</v>
      </c>
      <c r="H19" s="397"/>
      <c r="I19" s="3">
        <f>+G29-I20</f>
        <v>71325626</v>
      </c>
      <c r="J19" s="3">
        <v>74396847</v>
      </c>
      <c r="K19" s="3">
        <v>71396847</v>
      </c>
      <c r="L19" s="134">
        <f>+J19-K19</f>
        <v>3000000</v>
      </c>
    </row>
    <row r="20" spans="1:12" ht="15.75" x14ac:dyDescent="0.25">
      <c r="A20" s="419"/>
      <c r="B20" s="420"/>
      <c r="C20" s="420"/>
      <c r="D20" s="420"/>
      <c r="E20" s="420"/>
      <c r="F20" s="420"/>
      <c r="G20" s="421"/>
      <c r="H20" s="422"/>
      <c r="I20" s="3">
        <v>24059770</v>
      </c>
      <c r="J20" s="3">
        <v>24136755</v>
      </c>
      <c r="K20" s="3">
        <v>24059770</v>
      </c>
      <c r="L20" s="134">
        <f>+J20-K20</f>
        <v>76985</v>
      </c>
    </row>
    <row r="21" spans="1:12" ht="18" x14ac:dyDescent="0.25">
      <c r="A21" s="449" t="s">
        <v>50</v>
      </c>
      <c r="B21" s="450"/>
      <c r="C21" s="450"/>
      <c r="D21" s="450"/>
      <c r="E21" s="450"/>
      <c r="F21" s="450"/>
      <c r="G21" s="451">
        <f>SUM(G14:H20)</f>
        <v>122214507</v>
      </c>
      <c r="H21" s="452"/>
      <c r="I21" s="3">
        <f>SUM(I19:I20)</f>
        <v>95385396</v>
      </c>
      <c r="J21" s="3">
        <f>SUM(J19:J20)</f>
        <v>98533602</v>
      </c>
      <c r="K21" s="3">
        <f>SUM(K19:K20)</f>
        <v>95456617</v>
      </c>
    </row>
    <row r="22" spans="1:12" ht="18" x14ac:dyDescent="0.25">
      <c r="A22" s="453" t="s">
        <v>51</v>
      </c>
      <c r="B22" s="450"/>
      <c r="C22" s="450"/>
      <c r="D22" s="450"/>
      <c r="E22" s="450"/>
      <c r="F22" s="450"/>
      <c r="G22" s="454">
        <f>+ADMINISTRATIVOS!G50</f>
        <v>21104698</v>
      </c>
      <c r="H22" s="455"/>
      <c r="J22" s="3"/>
      <c r="K22" s="3"/>
    </row>
    <row r="23" spans="1:12" ht="18.75" thickBot="1" x14ac:dyDescent="0.3">
      <c r="A23" s="445" t="s">
        <v>52</v>
      </c>
      <c r="B23" s="446"/>
      <c r="C23" s="446"/>
      <c r="D23" s="446"/>
      <c r="E23" s="446"/>
      <c r="F23" s="446"/>
      <c r="G23" s="447">
        <f>+G22+G21</f>
        <v>143319205</v>
      </c>
      <c r="H23" s="448"/>
    </row>
    <row r="24" spans="1:12" ht="18.75" thickBot="1" x14ac:dyDescent="0.3">
      <c r="A24" s="188"/>
      <c r="B24" s="189"/>
      <c r="C24" s="189"/>
      <c r="D24" s="189"/>
      <c r="E24" s="189"/>
      <c r="F24" s="190"/>
      <c r="G24" s="191"/>
      <c r="H24" s="136"/>
    </row>
    <row r="25" spans="1:12" ht="18" x14ac:dyDescent="0.25">
      <c r="A25" s="423" t="str">
        <f>+A32</f>
        <v>PRESUPUESTO DE APORTES DE LA OAC</v>
      </c>
      <c r="B25" s="424"/>
      <c r="C25" s="424"/>
      <c r="D25" s="424"/>
      <c r="E25" s="424"/>
      <c r="F25" s="424"/>
      <c r="G25" s="456">
        <f>+G40</f>
        <v>39889296</v>
      </c>
      <c r="H25" s="457"/>
      <c r="I25" s="134"/>
    </row>
    <row r="26" spans="1:12" ht="18" x14ac:dyDescent="0.25">
      <c r="A26" s="434" t="str">
        <f>+A42</f>
        <v>PRESUPUESTO DE APORTES DE MAQUINARIA DEL MUNICIPIO</v>
      </c>
      <c r="B26" s="435"/>
      <c r="C26" s="435"/>
      <c r="D26" s="435"/>
      <c r="E26" s="435"/>
      <c r="F26" s="435"/>
      <c r="G26" s="440">
        <f>+G50</f>
        <v>8044513</v>
      </c>
      <c r="H26" s="441"/>
      <c r="I26" s="3"/>
      <c r="J26" s="3"/>
      <c r="L26" t="s">
        <v>301</v>
      </c>
    </row>
    <row r="27" spans="1:12" ht="20.45" customHeight="1" x14ac:dyDescent="0.25">
      <c r="A27" s="436" t="str">
        <f>+A52</f>
        <v>PRESUPUESTO DE APORTE ECONÓMICO DEL MUNICIPIO</v>
      </c>
      <c r="B27" s="437"/>
      <c r="C27" s="437"/>
      <c r="D27" s="437"/>
      <c r="E27" s="437"/>
      <c r="F27" s="437"/>
      <c r="G27" s="428">
        <f>+G60</f>
        <v>74280698</v>
      </c>
      <c r="H27" s="429"/>
      <c r="I27" s="3"/>
      <c r="J27" s="3"/>
    </row>
    <row r="28" spans="1:12" ht="18.75" thickBot="1" x14ac:dyDescent="0.3">
      <c r="A28" s="438" t="str">
        <f>+A22</f>
        <v xml:space="preserve">GASTOS ADMINISTRATIVOS  </v>
      </c>
      <c r="B28" s="439"/>
      <c r="C28" s="439"/>
      <c r="D28" s="439"/>
      <c r="E28" s="439"/>
      <c r="F28" s="439"/>
      <c r="G28" s="430">
        <f>+G22</f>
        <v>21104698</v>
      </c>
      <c r="H28" s="431"/>
      <c r="I28" s="3">
        <f>+G28+G27</f>
        <v>95385396</v>
      </c>
      <c r="J28" s="3">
        <v>95533602</v>
      </c>
      <c r="L28" s="3"/>
    </row>
    <row r="29" spans="1:12" ht="18.75" thickBot="1" x14ac:dyDescent="0.3">
      <c r="A29" s="486" t="s">
        <v>251</v>
      </c>
      <c r="B29" s="487"/>
      <c r="C29" s="487"/>
      <c r="D29" s="487"/>
      <c r="E29" s="487"/>
      <c r="F29" s="488"/>
      <c r="G29" s="484">
        <f>+G27+G28</f>
        <v>95385396</v>
      </c>
      <c r="H29" s="485"/>
      <c r="I29" s="3">
        <f>+G25+G26+G27</f>
        <v>122214507</v>
      </c>
      <c r="J29" s="3">
        <f>+G29-J28</f>
        <v>-148206</v>
      </c>
      <c r="L29" s="3">
        <v>95456617</v>
      </c>
    </row>
    <row r="30" spans="1:12" ht="18" x14ac:dyDescent="0.25">
      <c r="A30" s="478" t="s">
        <v>52</v>
      </c>
      <c r="B30" s="479"/>
      <c r="C30" s="479"/>
      <c r="D30" s="479"/>
      <c r="E30" s="479"/>
      <c r="F30" s="480"/>
      <c r="G30" s="432">
        <f>SUM(G25:H28)</f>
        <v>143319205</v>
      </c>
      <c r="H30" s="433"/>
      <c r="J30">
        <v>24136755</v>
      </c>
      <c r="L30" s="3"/>
    </row>
    <row r="31" spans="1:12" ht="15.75" thickBot="1" x14ac:dyDescent="0.3">
      <c r="A31" s="227"/>
      <c r="B31" s="180"/>
      <c r="C31" s="180"/>
      <c r="D31" s="180"/>
      <c r="E31" s="180"/>
      <c r="F31" s="180"/>
      <c r="G31" s="180"/>
      <c r="H31" s="228"/>
      <c r="J31" s="134">
        <f>+J30+J29</f>
        <v>23988549</v>
      </c>
      <c r="L31" s="3"/>
    </row>
    <row r="32" spans="1:12" ht="21.75" thickBot="1" x14ac:dyDescent="0.4">
      <c r="A32" s="462" t="s">
        <v>223</v>
      </c>
      <c r="B32" s="463"/>
      <c r="C32" s="463"/>
      <c r="D32" s="463"/>
      <c r="E32" s="463"/>
      <c r="F32" s="463"/>
      <c r="G32" s="463"/>
      <c r="H32" s="464"/>
      <c r="L32" s="3"/>
    </row>
    <row r="33" spans="1:9" ht="18.75" thickBot="1" x14ac:dyDescent="0.3">
      <c r="A33" s="442" t="s">
        <v>157</v>
      </c>
      <c r="B33" s="443"/>
      <c r="C33" s="443"/>
      <c r="D33" s="443"/>
      <c r="E33" s="443"/>
      <c r="F33" s="443"/>
      <c r="G33" s="443"/>
      <c r="H33" s="444"/>
    </row>
    <row r="34" spans="1:9" ht="15.75" x14ac:dyDescent="0.25">
      <c r="A34" s="144">
        <v>1</v>
      </c>
      <c r="B34" s="427" t="str">
        <f t="shared" ref="B34:B39" si="1">+B14</f>
        <v>CONFORMACIÓN COMPACTACIÓN SUBRASANTE CBR=95%</v>
      </c>
      <c r="C34" s="427"/>
      <c r="D34" s="145" t="str">
        <f t="shared" ref="D34:E39" si="2">+D14</f>
        <v>M2</v>
      </c>
      <c r="E34" s="354">
        <f t="shared" si="2"/>
        <v>878</v>
      </c>
      <c r="F34" s="355">
        <f>+ROUND('apu presupuesto'!O27,2)</f>
        <v>0</v>
      </c>
      <c r="G34" s="425">
        <f>+ROUND(E34*F34,2)</f>
        <v>0</v>
      </c>
      <c r="H34" s="426"/>
      <c r="I34" s="134">
        <f>+F34+F44+F54</f>
        <v>7891</v>
      </c>
    </row>
    <row r="35" spans="1:9" ht="15.75" x14ac:dyDescent="0.25">
      <c r="A35" s="144">
        <v>2</v>
      </c>
      <c r="B35" s="427" t="str">
        <f t="shared" si="1"/>
        <v>PEDRAPLEN COMPACTO</v>
      </c>
      <c r="C35" s="427"/>
      <c r="D35" s="145" t="str">
        <f t="shared" si="2"/>
        <v>M3</v>
      </c>
      <c r="E35" s="354">
        <f t="shared" si="2"/>
        <v>10</v>
      </c>
      <c r="F35" s="355">
        <f>+ROUND('apu presupuesto'!O61,2)</f>
        <v>0</v>
      </c>
      <c r="G35" s="425">
        <f t="shared" ref="G35:G38" si="3">+ROUND(E35*F35,2)</f>
        <v>0</v>
      </c>
      <c r="H35" s="426"/>
      <c r="I35" s="134">
        <f t="shared" ref="I35:I39" si="4">+F35+F45+F55</f>
        <v>133212</v>
      </c>
    </row>
    <row r="36" spans="1:9" ht="18" customHeight="1" x14ac:dyDescent="0.25">
      <c r="A36" s="63">
        <v>3</v>
      </c>
      <c r="B36" s="416" t="str">
        <f t="shared" si="1"/>
        <v>EXCAVACION MANUAL EN MATERIAL COMUN</v>
      </c>
      <c r="C36" s="416"/>
      <c r="D36" s="64" t="str">
        <f t="shared" si="2"/>
        <v>M3</v>
      </c>
      <c r="E36" s="354">
        <f t="shared" si="2"/>
        <v>11</v>
      </c>
      <c r="F36" s="355">
        <f>+ROUND('apu presupuesto'!O80,2)</f>
        <v>0</v>
      </c>
      <c r="G36" s="425">
        <f t="shared" si="3"/>
        <v>0</v>
      </c>
      <c r="H36" s="426"/>
      <c r="I36" s="134">
        <f t="shared" si="4"/>
        <v>70578</v>
      </c>
    </row>
    <row r="37" spans="1:9" ht="31.15" customHeight="1" x14ac:dyDescent="0.25">
      <c r="A37" s="63">
        <v>4</v>
      </c>
      <c r="B37" s="416" t="str">
        <f t="shared" si="1"/>
        <v>SUMINISTRO E INSTALACION DE BORDILLO PREFABRICADO A-80</v>
      </c>
      <c r="C37" s="416"/>
      <c r="D37" s="64" t="str">
        <f t="shared" si="2"/>
        <v>ML</v>
      </c>
      <c r="E37" s="356">
        <f t="shared" si="2"/>
        <v>176</v>
      </c>
      <c r="F37" s="357">
        <f>+ROUND('apu presupuesto'!O110,2)</f>
        <v>0</v>
      </c>
      <c r="G37" s="425">
        <f t="shared" si="3"/>
        <v>0</v>
      </c>
      <c r="H37" s="426"/>
      <c r="I37" s="134">
        <f t="shared" si="4"/>
        <v>56815</v>
      </c>
    </row>
    <row r="38" spans="1:9" ht="50.45" customHeight="1" x14ac:dyDescent="0.25">
      <c r="A38" s="63">
        <v>5</v>
      </c>
      <c r="B38" s="416" t="str">
        <f t="shared" si="1"/>
        <v>SUMINISTRO, EXTENDIDA Y COMPACTACION DE MATERIAL SELECCIONADO PARA BASE GRANULAR (INCLUYE  ACARREO LIBRE DE 5KM)</v>
      </c>
      <c r="C38" s="416"/>
      <c r="D38" s="64" t="str">
        <f t="shared" si="2"/>
        <v>M3</v>
      </c>
      <c r="E38" s="356">
        <f t="shared" si="2"/>
        <v>219</v>
      </c>
      <c r="F38" s="357">
        <f>+ROUND('apu presupuesto'!O144,2)</f>
        <v>0</v>
      </c>
      <c r="G38" s="425">
        <f t="shared" si="3"/>
        <v>0</v>
      </c>
      <c r="H38" s="426"/>
      <c r="I38" s="134">
        <f t="shared" si="4"/>
        <v>137165</v>
      </c>
    </row>
    <row r="39" spans="1:9" ht="67.900000000000006" customHeight="1" x14ac:dyDescent="0.25">
      <c r="A39" s="63">
        <v>6</v>
      </c>
      <c r="B39" s="416" t="str">
        <f t="shared" si="1"/>
        <v>PAVIMENTO EN ADOQUIN TOLETE COMUN INSTALADO EN PANDERETA.</v>
      </c>
      <c r="C39" s="416"/>
      <c r="D39" s="64" t="str">
        <f t="shared" si="2"/>
        <v>M2</v>
      </c>
      <c r="E39" s="356">
        <f t="shared" si="2"/>
        <v>878</v>
      </c>
      <c r="F39" s="357">
        <f>+ROUND('apu presupuesto'!O173,2)</f>
        <v>45432</v>
      </c>
      <c r="G39" s="425">
        <f>+ROUND(E39*F39,2)</f>
        <v>39889296</v>
      </c>
      <c r="H39" s="426"/>
      <c r="I39" s="134">
        <f t="shared" si="4"/>
        <v>83302</v>
      </c>
    </row>
    <row r="40" spans="1:9" ht="16.5" thickBot="1" x14ac:dyDescent="0.3">
      <c r="A40" s="458" t="s">
        <v>13</v>
      </c>
      <c r="B40" s="459"/>
      <c r="C40" s="459"/>
      <c r="D40" s="459"/>
      <c r="E40" s="459"/>
      <c r="F40" s="459"/>
      <c r="G40" s="460">
        <f>ROUND(SUM(G34:H39),2)</f>
        <v>39889296</v>
      </c>
      <c r="H40" s="461"/>
    </row>
    <row r="41" spans="1:9" ht="15.75" thickBot="1" x14ac:dyDescent="0.3"/>
    <row r="42" spans="1:9" ht="21.75" thickBot="1" x14ac:dyDescent="0.4">
      <c r="A42" s="465" t="s">
        <v>224</v>
      </c>
      <c r="B42" s="466"/>
      <c r="C42" s="466"/>
      <c r="D42" s="466"/>
      <c r="E42" s="466"/>
      <c r="F42" s="466"/>
      <c r="G42" s="466"/>
      <c r="H42" s="467"/>
    </row>
    <row r="43" spans="1:9" ht="18.75" thickBot="1" x14ac:dyDescent="0.3">
      <c r="A43" s="442" t="s">
        <v>157</v>
      </c>
      <c r="B43" s="443"/>
      <c r="C43" s="443"/>
      <c r="D43" s="443"/>
      <c r="E43" s="443"/>
      <c r="F43" s="443"/>
      <c r="G43" s="443"/>
      <c r="H43" s="444"/>
    </row>
    <row r="44" spans="1:9" ht="15.75" x14ac:dyDescent="0.25">
      <c r="A44" s="144">
        <v>1</v>
      </c>
      <c r="B44" s="427" t="str">
        <f t="shared" ref="B44:B49" si="5">+B34</f>
        <v>CONFORMACIÓN COMPACTACIÓN SUBRASANTE CBR=95%</v>
      </c>
      <c r="C44" s="427"/>
      <c r="D44" s="145" t="str">
        <f t="shared" ref="D44:E49" si="6">+D34</f>
        <v>M2</v>
      </c>
      <c r="E44" s="354">
        <f t="shared" si="6"/>
        <v>878</v>
      </c>
      <c r="F44" s="355">
        <f>+ROUND('apu presupuesto'!P27,2)</f>
        <v>1964</v>
      </c>
      <c r="G44" s="425">
        <f>+ROUND(E44*F44,2)</f>
        <v>1724392</v>
      </c>
      <c r="H44" s="426"/>
    </row>
    <row r="45" spans="1:9" ht="15.75" x14ac:dyDescent="0.25">
      <c r="A45" s="144">
        <v>2</v>
      </c>
      <c r="B45" s="427" t="str">
        <f t="shared" si="5"/>
        <v>PEDRAPLEN COMPACTO</v>
      </c>
      <c r="C45" s="427"/>
      <c r="D45" s="145" t="str">
        <f t="shared" si="6"/>
        <v>M3</v>
      </c>
      <c r="E45" s="354">
        <f t="shared" si="6"/>
        <v>10</v>
      </c>
      <c r="F45" s="355">
        <f>+ROUND('apu presupuesto'!P60,2)</f>
        <v>0</v>
      </c>
      <c r="G45" s="425">
        <f t="shared" ref="G45:G49" si="7">+ROUND(E45*F45,2)</f>
        <v>0</v>
      </c>
      <c r="H45" s="426"/>
    </row>
    <row r="46" spans="1:9" ht="15.75" x14ac:dyDescent="0.25">
      <c r="A46" s="63">
        <v>3</v>
      </c>
      <c r="B46" s="416" t="str">
        <f t="shared" si="5"/>
        <v>EXCAVACION MANUAL EN MATERIAL COMUN</v>
      </c>
      <c r="C46" s="416"/>
      <c r="D46" s="64" t="str">
        <f t="shared" si="6"/>
        <v>M3</v>
      </c>
      <c r="E46" s="356">
        <f t="shared" si="6"/>
        <v>11</v>
      </c>
      <c r="F46" s="357">
        <f>+ROUND('apu presupuesto'!P80,2)</f>
        <v>0</v>
      </c>
      <c r="G46" s="425">
        <f t="shared" si="7"/>
        <v>0</v>
      </c>
      <c r="H46" s="426"/>
    </row>
    <row r="47" spans="1:9" ht="31.15" customHeight="1" x14ac:dyDescent="0.25">
      <c r="A47" s="63">
        <v>4</v>
      </c>
      <c r="B47" s="416" t="str">
        <f t="shared" si="5"/>
        <v>SUMINISTRO E INSTALACION DE BORDILLO PREFABRICADO A-80</v>
      </c>
      <c r="C47" s="416"/>
      <c r="D47" s="64" t="str">
        <f t="shared" si="6"/>
        <v>ML</v>
      </c>
      <c r="E47" s="356">
        <f t="shared" si="6"/>
        <v>176</v>
      </c>
      <c r="F47" s="357">
        <f>+ROUND('apu presupuesto'!P110,2)</f>
        <v>0</v>
      </c>
      <c r="G47" s="425">
        <f t="shared" si="7"/>
        <v>0</v>
      </c>
      <c r="H47" s="426"/>
    </row>
    <row r="48" spans="1:9" ht="52.15" customHeight="1" x14ac:dyDescent="0.25">
      <c r="A48" s="63">
        <v>5</v>
      </c>
      <c r="B48" s="416" t="str">
        <f t="shared" si="5"/>
        <v>SUMINISTRO, EXTENDIDA Y COMPACTACION DE MATERIAL SELECCIONADO PARA BASE GRANULAR (INCLUYE  ACARREO LIBRE DE 5KM)</v>
      </c>
      <c r="C48" s="416"/>
      <c r="D48" s="64" t="str">
        <f t="shared" si="6"/>
        <v>M3</v>
      </c>
      <c r="E48" s="356">
        <f t="shared" si="6"/>
        <v>219</v>
      </c>
      <c r="F48" s="357">
        <f>+ROUND('apu presupuesto'!P144,2)</f>
        <v>28859</v>
      </c>
      <c r="G48" s="425">
        <f t="shared" si="7"/>
        <v>6320121</v>
      </c>
      <c r="H48" s="426"/>
    </row>
    <row r="49" spans="1:9" ht="52.15" customHeight="1" thickBot="1" x14ac:dyDescent="0.3">
      <c r="A49" s="146">
        <v>6</v>
      </c>
      <c r="B49" s="468" t="str">
        <f t="shared" si="5"/>
        <v>PAVIMENTO EN ADOQUIN TOLETE COMUN INSTALADO EN PANDERETA.</v>
      </c>
      <c r="C49" s="468"/>
      <c r="D49" s="147" t="str">
        <f t="shared" si="6"/>
        <v>M2</v>
      </c>
      <c r="E49" s="358">
        <f t="shared" si="6"/>
        <v>878</v>
      </c>
      <c r="F49" s="359">
        <f>+ROUND('apu presupuesto'!P173,2)</f>
        <v>0</v>
      </c>
      <c r="G49" s="469">
        <f t="shared" si="7"/>
        <v>0</v>
      </c>
      <c r="H49" s="470"/>
    </row>
    <row r="50" spans="1:9" ht="16.5" thickBot="1" x14ac:dyDescent="0.3">
      <c r="A50" s="471" t="s">
        <v>13</v>
      </c>
      <c r="B50" s="472"/>
      <c r="C50" s="472"/>
      <c r="D50" s="472"/>
      <c r="E50" s="472"/>
      <c r="F50" s="472"/>
      <c r="G50" s="473">
        <f>ROUND(SUM(G44:H49),2)</f>
        <v>8044513</v>
      </c>
      <c r="H50" s="474"/>
    </row>
    <row r="51" spans="1:9" ht="15.75" thickBot="1" x14ac:dyDescent="0.3"/>
    <row r="52" spans="1:9" ht="21.75" thickBot="1" x14ac:dyDescent="0.4">
      <c r="A52" s="465" t="s">
        <v>227</v>
      </c>
      <c r="B52" s="466"/>
      <c r="C52" s="466"/>
      <c r="D52" s="466"/>
      <c r="E52" s="466"/>
      <c r="F52" s="466"/>
      <c r="G52" s="466"/>
      <c r="H52" s="467"/>
    </row>
    <row r="53" spans="1:9" ht="18.75" thickBot="1" x14ac:dyDescent="0.3">
      <c r="A53" s="442" t="s">
        <v>157</v>
      </c>
      <c r="B53" s="443"/>
      <c r="C53" s="443"/>
      <c r="D53" s="443"/>
      <c r="E53" s="443"/>
      <c r="F53" s="443"/>
      <c r="G53" s="443"/>
      <c r="H53" s="444"/>
    </row>
    <row r="54" spans="1:9" ht="15.75" x14ac:dyDescent="0.25">
      <c r="A54" s="144">
        <v>1</v>
      </c>
      <c r="B54" s="427" t="str">
        <f t="shared" ref="B54:B59" si="8">+B44</f>
        <v>CONFORMACIÓN COMPACTACIÓN SUBRASANTE CBR=95%</v>
      </c>
      <c r="C54" s="427"/>
      <c r="D54" s="145" t="str">
        <f t="shared" ref="D54:E59" si="9">+D44</f>
        <v>M2</v>
      </c>
      <c r="E54" s="354">
        <f t="shared" si="9"/>
        <v>878</v>
      </c>
      <c r="F54" s="355">
        <f>+ROUND('apu presupuesto'!Q27,2)</f>
        <v>5927</v>
      </c>
      <c r="G54" s="425">
        <f>+ROUND(E54*F54,0)</f>
        <v>5203906</v>
      </c>
      <c r="H54" s="426"/>
    </row>
    <row r="55" spans="1:9" ht="15.75" x14ac:dyDescent="0.25">
      <c r="A55" s="144">
        <v>2</v>
      </c>
      <c r="B55" s="427" t="str">
        <f t="shared" si="8"/>
        <v>PEDRAPLEN COMPACTO</v>
      </c>
      <c r="C55" s="427"/>
      <c r="D55" s="145" t="str">
        <f t="shared" si="9"/>
        <v>M3</v>
      </c>
      <c r="E55" s="354">
        <f t="shared" si="9"/>
        <v>10</v>
      </c>
      <c r="F55" s="355">
        <f>+ROUND('apu presupuesto'!Q60,2)</f>
        <v>133212</v>
      </c>
      <c r="G55" s="425">
        <f t="shared" ref="G55:G59" si="10">+ROUND(E55*F55,2)</f>
        <v>1332120</v>
      </c>
      <c r="H55" s="426"/>
    </row>
    <row r="56" spans="1:9" ht="15.75" x14ac:dyDescent="0.25">
      <c r="A56" s="63">
        <v>3</v>
      </c>
      <c r="B56" s="416" t="str">
        <f t="shared" si="8"/>
        <v>EXCAVACION MANUAL EN MATERIAL COMUN</v>
      </c>
      <c r="C56" s="416"/>
      <c r="D56" s="64" t="str">
        <f t="shared" si="9"/>
        <v>M3</v>
      </c>
      <c r="E56" s="356">
        <f t="shared" si="9"/>
        <v>11</v>
      </c>
      <c r="F56" s="357">
        <f>+ROUND('apu presupuesto'!Q80,2)</f>
        <v>70578</v>
      </c>
      <c r="G56" s="425">
        <f t="shared" si="10"/>
        <v>776358</v>
      </c>
      <c r="H56" s="426"/>
    </row>
    <row r="57" spans="1:9" ht="35.450000000000003" customHeight="1" x14ac:dyDescent="0.25">
      <c r="A57" s="63">
        <v>4</v>
      </c>
      <c r="B57" s="416" t="str">
        <f t="shared" si="8"/>
        <v>SUMINISTRO E INSTALACION DE BORDILLO PREFABRICADO A-80</v>
      </c>
      <c r="C57" s="416"/>
      <c r="D57" s="64" t="str">
        <f t="shared" si="9"/>
        <v>ML</v>
      </c>
      <c r="E57" s="356">
        <f t="shared" si="9"/>
        <v>176</v>
      </c>
      <c r="F57" s="357">
        <f>+ROUND('apu presupuesto'!Q110,2)</f>
        <v>56815</v>
      </c>
      <c r="G57" s="425">
        <f t="shared" si="10"/>
        <v>9999440</v>
      </c>
      <c r="H57" s="426"/>
    </row>
    <row r="58" spans="1:9" ht="52.9" customHeight="1" x14ac:dyDescent="0.25">
      <c r="A58" s="63">
        <v>5</v>
      </c>
      <c r="B58" s="416" t="str">
        <f t="shared" si="8"/>
        <v>SUMINISTRO, EXTENDIDA Y COMPACTACION DE MATERIAL SELECCIONADO PARA BASE GRANULAR (INCLUYE  ACARREO LIBRE DE 5KM)</v>
      </c>
      <c r="C58" s="416"/>
      <c r="D58" s="64" t="str">
        <f t="shared" si="9"/>
        <v>M3</v>
      </c>
      <c r="E58" s="356">
        <f t="shared" si="9"/>
        <v>219</v>
      </c>
      <c r="F58" s="357">
        <f>+ROUND('apu presupuesto'!Q144,2)</f>
        <v>108306</v>
      </c>
      <c r="G58" s="425">
        <f t="shared" si="10"/>
        <v>23719014</v>
      </c>
      <c r="H58" s="426"/>
    </row>
    <row r="59" spans="1:9" ht="52.9" customHeight="1" thickBot="1" x14ac:dyDescent="0.3">
      <c r="A59" s="146">
        <v>6</v>
      </c>
      <c r="B59" s="468" t="str">
        <f t="shared" si="8"/>
        <v>PAVIMENTO EN ADOQUIN TOLETE COMUN INSTALADO EN PANDERETA.</v>
      </c>
      <c r="C59" s="468"/>
      <c r="D59" s="147" t="str">
        <f t="shared" si="9"/>
        <v>M2</v>
      </c>
      <c r="E59" s="358">
        <f t="shared" si="9"/>
        <v>878</v>
      </c>
      <c r="F59" s="359">
        <f>+ROUND('apu presupuesto'!Q173,2)</f>
        <v>37870</v>
      </c>
      <c r="G59" s="469">
        <f t="shared" si="10"/>
        <v>33249860</v>
      </c>
      <c r="H59" s="470"/>
    </row>
    <row r="60" spans="1:9" ht="16.5" thickBot="1" x14ac:dyDescent="0.3">
      <c r="A60" s="471" t="s">
        <v>13</v>
      </c>
      <c r="B60" s="472"/>
      <c r="C60" s="472"/>
      <c r="D60" s="472"/>
      <c r="E60" s="472"/>
      <c r="F60" s="472"/>
      <c r="G60" s="473">
        <f>ROUND(SUM(G54:H59),2)</f>
        <v>74280698</v>
      </c>
      <c r="H60" s="474"/>
      <c r="I60" s="134">
        <f>+G60+G50+G40+G28</f>
        <v>143319205</v>
      </c>
    </row>
    <row r="61" spans="1:9" x14ac:dyDescent="0.25">
      <c r="G61" s="3"/>
      <c r="H61" s="3"/>
    </row>
    <row r="62" spans="1:9" ht="15.75" thickBot="1" x14ac:dyDescent="0.3">
      <c r="G62" s="477"/>
      <c r="H62" s="477"/>
    </row>
    <row r="63" spans="1:9" ht="15.75" thickBot="1" x14ac:dyDescent="0.3">
      <c r="A63" s="481" t="s">
        <v>247</v>
      </c>
      <c r="B63" s="482"/>
      <c r="C63" s="482"/>
      <c r="D63" s="483"/>
      <c r="F63" s="476"/>
      <c r="G63" s="476"/>
      <c r="H63" s="476"/>
      <c r="I63" s="476"/>
    </row>
    <row r="64" spans="1:9" ht="15.75" thickBot="1" x14ac:dyDescent="0.3">
      <c r="F64" s="476"/>
      <c r="G64" s="476"/>
      <c r="H64" s="476"/>
      <c r="I64" s="476"/>
    </row>
    <row r="65" spans="1:8" ht="15.75" x14ac:dyDescent="0.25">
      <c r="A65" s="172" t="s">
        <v>216</v>
      </c>
      <c r="B65" s="337">
        <f>+ADMINISTRATIVOS!J44</f>
        <v>175.5</v>
      </c>
    </row>
    <row r="66" spans="1:8" ht="15.75" x14ac:dyDescent="0.25">
      <c r="A66" s="173" t="s">
        <v>217</v>
      </c>
      <c r="B66" s="174">
        <v>5</v>
      </c>
      <c r="C66" s="62"/>
      <c r="F66" s="475"/>
      <c r="G66" s="475"/>
      <c r="H66" s="475"/>
    </row>
    <row r="67" spans="1:8" ht="16.5" thickBot="1" x14ac:dyDescent="0.3">
      <c r="A67" s="175" t="s">
        <v>218</v>
      </c>
      <c r="B67" s="176">
        <v>0.25</v>
      </c>
    </row>
    <row r="69" spans="1:8" x14ac:dyDescent="0.25">
      <c r="A69" t="s">
        <v>214</v>
      </c>
      <c r="C69" s="58"/>
      <c r="D69" s="58"/>
    </row>
    <row r="70" spans="1:8" ht="15.75" x14ac:dyDescent="0.25">
      <c r="A70" s="416" t="s">
        <v>113</v>
      </c>
      <c r="B70" s="416"/>
      <c r="C70" s="193">
        <f>+ROUND(B71*B72,0)</f>
        <v>878</v>
      </c>
      <c r="D70" s="193" t="str">
        <f>+D14</f>
        <v>M2</v>
      </c>
    </row>
    <row r="71" spans="1:8" ht="15.75" x14ac:dyDescent="0.25">
      <c r="A71" s="128" t="s">
        <v>216</v>
      </c>
      <c r="B71" s="128">
        <f>+B65</f>
        <v>175.5</v>
      </c>
      <c r="C71" s="8"/>
      <c r="D71" s="8"/>
    </row>
    <row r="72" spans="1:8" ht="15.75" x14ac:dyDescent="0.25">
      <c r="A72" s="128" t="s">
        <v>217</v>
      </c>
      <c r="B72" s="128">
        <f>+B66</f>
        <v>5</v>
      </c>
      <c r="C72" s="8"/>
      <c r="D72" s="8"/>
    </row>
    <row r="73" spans="1:8" ht="15.75" x14ac:dyDescent="0.25">
      <c r="A73" s="128"/>
      <c r="B73" s="128"/>
      <c r="C73" s="8"/>
      <c r="D73" s="8"/>
    </row>
    <row r="74" spans="1:8" ht="15.75" x14ac:dyDescent="0.25">
      <c r="A74" s="128"/>
      <c r="B74" s="128"/>
      <c r="C74" s="194"/>
      <c r="D74" s="8"/>
    </row>
    <row r="75" spans="1:8" ht="15.75" x14ac:dyDescent="0.25">
      <c r="A75" s="131" t="s">
        <v>253</v>
      </c>
      <c r="B75" s="132"/>
      <c r="C75" s="193">
        <f>+ROUND(B76*B77*B78,0)</f>
        <v>10</v>
      </c>
      <c r="D75" s="193" t="s">
        <v>49</v>
      </c>
    </row>
    <row r="76" spans="1:8" ht="15.75" x14ac:dyDescent="0.25">
      <c r="A76" s="128" t="s">
        <v>216</v>
      </c>
      <c r="B76" s="128">
        <f>+B65*0.15</f>
        <v>26.324999999999999</v>
      </c>
      <c r="C76" s="194"/>
      <c r="D76" s="8"/>
    </row>
    <row r="77" spans="1:8" ht="15.75" x14ac:dyDescent="0.25">
      <c r="A77" s="128" t="s">
        <v>217</v>
      </c>
      <c r="B77" s="128">
        <f>+B66*0.5</f>
        <v>2.5</v>
      </c>
      <c r="C77" s="194"/>
      <c r="D77" s="8"/>
    </row>
    <row r="78" spans="1:8" ht="15.75" x14ac:dyDescent="0.25">
      <c r="A78" s="128" t="s">
        <v>218</v>
      </c>
      <c r="B78" s="128">
        <v>0.15</v>
      </c>
      <c r="C78" s="194"/>
      <c r="D78" s="8"/>
    </row>
    <row r="79" spans="1:8" ht="15.75" x14ac:dyDescent="0.25">
      <c r="A79" s="131"/>
      <c r="B79" s="132"/>
      <c r="C79" s="194"/>
      <c r="D79" s="8"/>
    </row>
    <row r="80" spans="1:8" ht="15.75" x14ac:dyDescent="0.25">
      <c r="A80" s="417" t="s">
        <v>219</v>
      </c>
      <c r="B80" s="418"/>
      <c r="C80" s="193">
        <f>+ROUND(B81*B83*B82,0)</f>
        <v>11</v>
      </c>
      <c r="D80" s="193" t="str">
        <f>+D16</f>
        <v>M3</v>
      </c>
    </row>
    <row r="81" spans="1:7" ht="15.75" x14ac:dyDescent="0.25">
      <c r="A81" s="128" t="s">
        <v>216</v>
      </c>
      <c r="B81" s="128">
        <f>+B65*2</f>
        <v>351</v>
      </c>
      <c r="C81" s="194"/>
      <c r="D81" s="8"/>
    </row>
    <row r="82" spans="1:7" ht="15.75" x14ac:dyDescent="0.25">
      <c r="A82" s="128" t="s">
        <v>217</v>
      </c>
      <c r="B82" s="128">
        <v>0.2</v>
      </c>
      <c r="C82" s="194"/>
      <c r="D82" s="8"/>
    </row>
    <row r="83" spans="1:7" ht="15.75" x14ac:dyDescent="0.25">
      <c r="A83" s="128" t="s">
        <v>218</v>
      </c>
      <c r="B83" s="128">
        <v>0.15</v>
      </c>
      <c r="C83" s="194"/>
      <c r="D83" s="8"/>
    </row>
    <row r="84" spans="1:7" ht="15.75" x14ac:dyDescent="0.25">
      <c r="A84" s="128"/>
      <c r="B84" s="128"/>
      <c r="C84" s="194"/>
      <c r="D84" s="8"/>
    </row>
    <row r="85" spans="1:7" ht="15.6" customHeight="1" x14ac:dyDescent="0.25">
      <c r="A85" s="416" t="s">
        <v>141</v>
      </c>
      <c r="B85" s="416"/>
      <c r="C85" s="193">
        <f>+ROUND(B86,0)</f>
        <v>176</v>
      </c>
      <c r="D85" s="193" t="str">
        <f>+D17</f>
        <v>ML</v>
      </c>
    </row>
    <row r="86" spans="1:7" ht="15.75" x14ac:dyDescent="0.25">
      <c r="A86" s="128" t="s">
        <v>216</v>
      </c>
      <c r="B86" s="128">
        <f>+B65</f>
        <v>175.5</v>
      </c>
      <c r="C86" s="194"/>
      <c r="D86" s="8"/>
    </row>
    <row r="87" spans="1:7" ht="15.75" x14ac:dyDescent="0.25">
      <c r="A87" s="128" t="s">
        <v>217</v>
      </c>
      <c r="B87" s="128"/>
      <c r="C87" s="194"/>
      <c r="D87" s="8"/>
    </row>
    <row r="88" spans="1:7" ht="15.75" x14ac:dyDescent="0.25">
      <c r="A88" s="128" t="s">
        <v>218</v>
      </c>
      <c r="B88" s="128"/>
      <c r="C88" s="194"/>
      <c r="D88" s="8"/>
    </row>
    <row r="89" spans="1:7" ht="15.75" x14ac:dyDescent="0.25">
      <c r="A89" s="128" t="s">
        <v>218</v>
      </c>
      <c r="B89" s="128"/>
      <c r="C89" s="194"/>
      <c r="D89" s="8"/>
    </row>
    <row r="90" spans="1:7" ht="15.6" customHeight="1" x14ac:dyDescent="0.25">
      <c r="A90" s="416" t="s">
        <v>134</v>
      </c>
      <c r="B90" s="416"/>
      <c r="C90" s="193">
        <f>+ROUND(B91*B92*B93,0)</f>
        <v>219</v>
      </c>
      <c r="D90" s="193" t="str">
        <f>+D18</f>
        <v>M3</v>
      </c>
    </row>
    <row r="91" spans="1:7" ht="15.75" x14ac:dyDescent="0.25">
      <c r="A91" s="128" t="s">
        <v>216</v>
      </c>
      <c r="B91" s="128">
        <f>+B65</f>
        <v>175.5</v>
      </c>
      <c r="C91" s="194"/>
      <c r="D91" s="8"/>
      <c r="F91" s="133"/>
      <c r="G91" s="133"/>
    </row>
    <row r="92" spans="1:7" ht="15.75" x14ac:dyDescent="0.25">
      <c r="A92" s="128" t="s">
        <v>217</v>
      </c>
      <c r="B92" s="128">
        <f>+B66</f>
        <v>5</v>
      </c>
      <c r="C92" s="194"/>
      <c r="D92" s="8"/>
    </row>
    <row r="93" spans="1:7" ht="15.75" x14ac:dyDescent="0.25">
      <c r="A93" s="128" t="s">
        <v>218</v>
      </c>
      <c r="B93" s="128">
        <f>+B67</f>
        <v>0.25</v>
      </c>
      <c r="C93" s="194"/>
      <c r="D93" s="8"/>
    </row>
    <row r="94" spans="1:7" ht="15.75" x14ac:dyDescent="0.25">
      <c r="A94" s="128"/>
      <c r="B94" s="128"/>
      <c r="C94" s="194"/>
      <c r="D94" s="8"/>
    </row>
    <row r="95" spans="1:7" ht="15.75" x14ac:dyDescent="0.25">
      <c r="A95" s="416" t="s">
        <v>145</v>
      </c>
      <c r="B95" s="416"/>
      <c r="C95" s="193">
        <f>+ROUND(B96*B97,0)</f>
        <v>878</v>
      </c>
      <c r="D95" s="193" t="str">
        <f>+D19</f>
        <v>M2</v>
      </c>
    </row>
    <row r="96" spans="1:7" ht="15.75" x14ac:dyDescent="0.25">
      <c r="A96" s="128" t="s">
        <v>216</v>
      </c>
      <c r="B96" s="128">
        <f>+B65</f>
        <v>175.5</v>
      </c>
      <c r="C96" s="194"/>
      <c r="D96" s="8"/>
      <c r="F96" s="152"/>
    </row>
    <row r="97" spans="1:6" ht="15.75" x14ac:dyDescent="0.25">
      <c r="A97" s="128" t="s">
        <v>217</v>
      </c>
      <c r="B97" s="128">
        <f>+B66</f>
        <v>5</v>
      </c>
      <c r="C97" s="194"/>
      <c r="D97" s="8"/>
      <c r="F97" s="152">
        <v>55151460</v>
      </c>
    </row>
    <row r="98" spans="1:6" ht="15.75" x14ac:dyDescent="0.25">
      <c r="A98" s="128" t="s">
        <v>218</v>
      </c>
      <c r="B98" s="128"/>
      <c r="C98" s="194"/>
      <c r="D98" s="8"/>
      <c r="F98" s="152">
        <v>139929983</v>
      </c>
    </row>
    <row r="99" spans="1:6" x14ac:dyDescent="0.25">
      <c r="F99" s="152">
        <v>36236530</v>
      </c>
    </row>
    <row r="100" spans="1:6" x14ac:dyDescent="0.25">
      <c r="F100" s="3"/>
    </row>
    <row r="101" spans="1:6" x14ac:dyDescent="0.25">
      <c r="F101" s="3">
        <f>SUM(F97:F100)</f>
        <v>231317973</v>
      </c>
    </row>
    <row r="102" spans="1:6" x14ac:dyDescent="0.25">
      <c r="F102" s="3"/>
    </row>
    <row r="103" spans="1:6" x14ac:dyDescent="0.25">
      <c r="E103" t="s">
        <v>215</v>
      </c>
      <c r="F103" s="62">
        <v>5.4</v>
      </c>
    </row>
    <row r="104" spans="1:6" x14ac:dyDescent="0.25">
      <c r="E104" t="s">
        <v>235</v>
      </c>
      <c r="F104">
        <v>0.3</v>
      </c>
    </row>
    <row r="105" spans="1:6" x14ac:dyDescent="0.25">
      <c r="F105">
        <f>+F106*F104*F103</f>
        <v>419.93919041890558</v>
      </c>
    </row>
    <row r="106" spans="1:6" x14ac:dyDescent="0.25">
      <c r="E106" t="s">
        <v>233</v>
      </c>
      <c r="F106">
        <v>259.22172248080591</v>
      </c>
    </row>
    <row r="107" spans="1:6" x14ac:dyDescent="0.25">
      <c r="E107" t="s">
        <v>234</v>
      </c>
      <c r="F107">
        <f>+F106*F103</f>
        <v>1399.7973013963519</v>
      </c>
    </row>
    <row r="108" spans="1:6" x14ac:dyDescent="0.25">
      <c r="F108">
        <f>1400/F107</f>
        <v>1.0001448056825413</v>
      </c>
    </row>
  </sheetData>
  <mergeCells count="113">
    <mergeCell ref="F66:H66"/>
    <mergeCell ref="G15:H15"/>
    <mergeCell ref="B35:C35"/>
    <mergeCell ref="G35:H35"/>
    <mergeCell ref="B45:C45"/>
    <mergeCell ref="G45:H45"/>
    <mergeCell ref="B55:C55"/>
    <mergeCell ref="G55:H55"/>
    <mergeCell ref="F63:I64"/>
    <mergeCell ref="B15:C15"/>
    <mergeCell ref="G62:H62"/>
    <mergeCell ref="A60:F60"/>
    <mergeCell ref="G60:H60"/>
    <mergeCell ref="A30:F30"/>
    <mergeCell ref="A63:D63"/>
    <mergeCell ref="G29:H29"/>
    <mergeCell ref="A29:F29"/>
    <mergeCell ref="B57:C57"/>
    <mergeCell ref="G57:H57"/>
    <mergeCell ref="B58:C58"/>
    <mergeCell ref="G58:H58"/>
    <mergeCell ref="B59:C59"/>
    <mergeCell ref="G59:H59"/>
    <mergeCell ref="A52:H52"/>
    <mergeCell ref="A53:H53"/>
    <mergeCell ref="B54:C54"/>
    <mergeCell ref="G54:H54"/>
    <mergeCell ref="B56:C56"/>
    <mergeCell ref="G56:H56"/>
    <mergeCell ref="B48:C48"/>
    <mergeCell ref="G48:H48"/>
    <mergeCell ref="B49:C49"/>
    <mergeCell ref="G49:H49"/>
    <mergeCell ref="A50:F50"/>
    <mergeCell ref="G50:H50"/>
    <mergeCell ref="B46:C46"/>
    <mergeCell ref="G46:H46"/>
    <mergeCell ref="B47:C47"/>
    <mergeCell ref="G47:H47"/>
    <mergeCell ref="A40:F40"/>
    <mergeCell ref="G40:H40"/>
    <mergeCell ref="A32:H32"/>
    <mergeCell ref="A42:H42"/>
    <mergeCell ref="A43:H43"/>
    <mergeCell ref="B39:C39"/>
    <mergeCell ref="G39:H39"/>
    <mergeCell ref="A23:F23"/>
    <mergeCell ref="G23:H23"/>
    <mergeCell ref="A21:F21"/>
    <mergeCell ref="G21:H21"/>
    <mergeCell ref="A22:F22"/>
    <mergeCell ref="G22:H22"/>
    <mergeCell ref="G25:H25"/>
    <mergeCell ref="B44:C44"/>
    <mergeCell ref="G44:H44"/>
    <mergeCell ref="A20:F20"/>
    <mergeCell ref="G20:H20"/>
    <mergeCell ref="A70:B70"/>
    <mergeCell ref="A85:B85"/>
    <mergeCell ref="A90:B90"/>
    <mergeCell ref="A95:B95"/>
    <mergeCell ref="A80:B80"/>
    <mergeCell ref="A25:F25"/>
    <mergeCell ref="B36:C36"/>
    <mergeCell ref="G36:H36"/>
    <mergeCell ref="B37:C37"/>
    <mergeCell ref="G37:H37"/>
    <mergeCell ref="B38:C38"/>
    <mergeCell ref="G38:H38"/>
    <mergeCell ref="B34:C34"/>
    <mergeCell ref="G34:H34"/>
    <mergeCell ref="G27:H27"/>
    <mergeCell ref="G28:H28"/>
    <mergeCell ref="G30:H30"/>
    <mergeCell ref="A26:F26"/>
    <mergeCell ref="A27:F27"/>
    <mergeCell ref="A28:F28"/>
    <mergeCell ref="G26:H26"/>
    <mergeCell ref="A33:H33"/>
    <mergeCell ref="B19:C19"/>
    <mergeCell ref="G19:H19"/>
    <mergeCell ref="B17:C17"/>
    <mergeCell ref="G17:H17"/>
    <mergeCell ref="B14:C14"/>
    <mergeCell ref="B18:C18"/>
    <mergeCell ref="G14:H14"/>
    <mergeCell ref="G18:H18"/>
    <mergeCell ref="B16:C16"/>
    <mergeCell ref="F9:F11"/>
    <mergeCell ref="G9:H11"/>
    <mergeCell ref="A9:A11"/>
    <mergeCell ref="B9:C11"/>
    <mergeCell ref="D9:D11"/>
    <mergeCell ref="E9:E11"/>
    <mergeCell ref="G16:H16"/>
    <mergeCell ref="B7:C7"/>
    <mergeCell ref="D7:E7"/>
    <mergeCell ref="G7:H7"/>
    <mergeCell ref="A8:H8"/>
    <mergeCell ref="A12:E12"/>
    <mergeCell ref="A13:D13"/>
    <mergeCell ref="G12:H12"/>
    <mergeCell ref="G13:H13"/>
    <mergeCell ref="A5:H5"/>
    <mergeCell ref="B6:C6"/>
    <mergeCell ref="D6:E6"/>
    <mergeCell ref="G6:H6"/>
    <mergeCell ref="A4:H4"/>
    <mergeCell ref="A1:A3"/>
    <mergeCell ref="B1:E1"/>
    <mergeCell ref="F1:H3"/>
    <mergeCell ref="B2:E2"/>
    <mergeCell ref="B3:E3"/>
  </mergeCells>
  <phoneticPr fontId="1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0861-E01E-45BB-884A-9EA244FD02DD}">
  <sheetPr>
    <tabColor rgb="FF92D050"/>
  </sheetPr>
  <dimension ref="A1:J58"/>
  <sheetViews>
    <sheetView topLeftCell="A38" zoomScale="71" zoomScaleNormal="71" workbookViewId="0">
      <selection activeCell="H53" sqref="A1:H53"/>
    </sheetView>
  </sheetViews>
  <sheetFormatPr baseColWidth="10" defaultColWidth="11.42578125" defaultRowHeight="16.5" x14ac:dyDescent="0.3"/>
  <cols>
    <col min="1" max="1" width="3.42578125" style="119" customWidth="1"/>
    <col min="2" max="2" width="6.5703125" style="120" customWidth="1"/>
    <col min="3" max="3" width="66.42578125" style="119" bestFit="1" customWidth="1"/>
    <col min="4" max="5" width="9.28515625" style="119" customWidth="1"/>
    <col min="6" max="6" width="20.85546875" style="119" customWidth="1"/>
    <col min="7" max="7" width="23.28515625" style="119" customWidth="1"/>
    <col min="8" max="8" width="3.28515625" style="119" customWidth="1"/>
    <col min="9" max="9" width="18.5703125" style="119" bestFit="1" customWidth="1"/>
    <col min="10" max="10" width="24.28515625" style="119" customWidth="1"/>
    <col min="11" max="237" width="11.42578125" style="119"/>
    <col min="238" max="239" width="3.42578125" style="119" customWidth="1"/>
    <col min="240" max="240" width="5.140625" style="119" customWidth="1"/>
    <col min="241" max="241" width="11.28515625" style="119" customWidth="1"/>
    <col min="242" max="242" width="23.85546875" style="119" customWidth="1"/>
    <col min="243" max="243" width="22.42578125" style="119" customWidth="1"/>
    <col min="244" max="244" width="97.5703125" style="119" customWidth="1"/>
    <col min="245" max="245" width="8.7109375" style="119" customWidth="1"/>
    <col min="246" max="246" width="17.42578125" style="119" customWidth="1"/>
    <col min="247" max="247" width="20.85546875" style="119" customWidth="1"/>
    <col min="248" max="248" width="33.5703125" style="119" customWidth="1"/>
    <col min="249" max="249" width="3.28515625" style="119" customWidth="1"/>
    <col min="250" max="253" width="0" style="119" hidden="1" customWidth="1"/>
    <col min="254" max="254" width="3.7109375" style="119" customWidth="1"/>
    <col min="255" max="255" width="18.5703125" style="119" bestFit="1" customWidth="1"/>
    <col min="256" max="256" width="24" style="119" customWidth="1"/>
    <col min="257" max="257" width="23.28515625" style="119" customWidth="1"/>
    <col min="258" max="258" width="13" style="119" bestFit="1" customWidth="1"/>
    <col min="259" max="263" width="11.42578125" style="119"/>
    <col min="264" max="264" width="34.28515625" style="119" customWidth="1"/>
    <col min="265" max="265" width="15.7109375" style="119" bestFit="1" customWidth="1"/>
    <col min="266" max="493" width="11.42578125" style="119"/>
    <col min="494" max="495" width="3.42578125" style="119" customWidth="1"/>
    <col min="496" max="496" width="5.140625" style="119" customWidth="1"/>
    <col min="497" max="497" width="11.28515625" style="119" customWidth="1"/>
    <col min="498" max="498" width="23.85546875" style="119" customWidth="1"/>
    <col min="499" max="499" width="22.42578125" style="119" customWidth="1"/>
    <col min="500" max="500" width="97.5703125" style="119" customWidth="1"/>
    <col min="501" max="501" width="8.7109375" style="119" customWidth="1"/>
    <col min="502" max="502" width="17.42578125" style="119" customWidth="1"/>
    <col min="503" max="503" width="20.85546875" style="119" customWidth="1"/>
    <col min="504" max="504" width="33.5703125" style="119" customWidth="1"/>
    <col min="505" max="505" width="3.28515625" style="119" customWidth="1"/>
    <col min="506" max="509" width="0" style="119" hidden="1" customWidth="1"/>
    <col min="510" max="510" width="3.7109375" style="119" customWidth="1"/>
    <col min="511" max="511" width="18.5703125" style="119" bestFit="1" customWidth="1"/>
    <col min="512" max="512" width="24" style="119" customWidth="1"/>
    <col min="513" max="513" width="23.28515625" style="119" customWidth="1"/>
    <col min="514" max="514" width="13" style="119" bestFit="1" customWidth="1"/>
    <col min="515" max="519" width="11.42578125" style="119"/>
    <col min="520" max="520" width="34.28515625" style="119" customWidth="1"/>
    <col min="521" max="521" width="15.7109375" style="119" bestFit="1" customWidth="1"/>
    <col min="522" max="749" width="11.42578125" style="119"/>
    <col min="750" max="751" width="3.42578125" style="119" customWidth="1"/>
    <col min="752" max="752" width="5.140625" style="119" customWidth="1"/>
    <col min="753" max="753" width="11.28515625" style="119" customWidth="1"/>
    <col min="754" max="754" width="23.85546875" style="119" customWidth="1"/>
    <col min="755" max="755" width="22.42578125" style="119" customWidth="1"/>
    <col min="756" max="756" width="97.5703125" style="119" customWidth="1"/>
    <col min="757" max="757" width="8.7109375" style="119" customWidth="1"/>
    <col min="758" max="758" width="17.42578125" style="119" customWidth="1"/>
    <col min="759" max="759" width="20.85546875" style="119" customWidth="1"/>
    <col min="760" max="760" width="33.5703125" style="119" customWidth="1"/>
    <col min="761" max="761" width="3.28515625" style="119" customWidth="1"/>
    <col min="762" max="765" width="0" style="119" hidden="1" customWidth="1"/>
    <col min="766" max="766" width="3.7109375" style="119" customWidth="1"/>
    <col min="767" max="767" width="18.5703125" style="119" bestFit="1" customWidth="1"/>
    <col min="768" max="768" width="24" style="119" customWidth="1"/>
    <col min="769" max="769" width="23.28515625" style="119" customWidth="1"/>
    <col min="770" max="770" width="13" style="119" bestFit="1" customWidth="1"/>
    <col min="771" max="775" width="11.42578125" style="119"/>
    <col min="776" max="776" width="34.28515625" style="119" customWidth="1"/>
    <col min="777" max="777" width="15.7109375" style="119" bestFit="1" customWidth="1"/>
    <col min="778" max="1005" width="11.42578125" style="119"/>
    <col min="1006" max="1007" width="3.42578125" style="119" customWidth="1"/>
    <col min="1008" max="1008" width="5.140625" style="119" customWidth="1"/>
    <col min="1009" max="1009" width="11.28515625" style="119" customWidth="1"/>
    <col min="1010" max="1010" width="23.85546875" style="119" customWidth="1"/>
    <col min="1011" max="1011" width="22.42578125" style="119" customWidth="1"/>
    <col min="1012" max="1012" width="97.5703125" style="119" customWidth="1"/>
    <col min="1013" max="1013" width="8.7109375" style="119" customWidth="1"/>
    <col min="1014" max="1014" width="17.42578125" style="119" customWidth="1"/>
    <col min="1015" max="1015" width="20.85546875" style="119" customWidth="1"/>
    <col min="1016" max="1016" width="33.5703125" style="119" customWidth="1"/>
    <col min="1017" max="1017" width="3.28515625" style="119" customWidth="1"/>
    <col min="1018" max="1021" width="0" style="119" hidden="1" customWidth="1"/>
    <col min="1022" max="1022" width="3.7109375" style="119" customWidth="1"/>
    <col min="1023" max="1023" width="18.5703125" style="119" bestFit="1" customWidth="1"/>
    <col min="1024" max="1024" width="24" style="119" customWidth="1"/>
    <col min="1025" max="1025" width="23.28515625" style="119" customWidth="1"/>
    <col min="1026" max="1026" width="13" style="119" bestFit="1" customWidth="1"/>
    <col min="1027" max="1031" width="11.42578125" style="119"/>
    <col min="1032" max="1032" width="34.28515625" style="119" customWidth="1"/>
    <col min="1033" max="1033" width="15.7109375" style="119" bestFit="1" customWidth="1"/>
    <col min="1034" max="1261" width="11.42578125" style="119"/>
    <col min="1262" max="1263" width="3.42578125" style="119" customWidth="1"/>
    <col min="1264" max="1264" width="5.140625" style="119" customWidth="1"/>
    <col min="1265" max="1265" width="11.28515625" style="119" customWidth="1"/>
    <col min="1266" max="1266" width="23.85546875" style="119" customWidth="1"/>
    <col min="1267" max="1267" width="22.42578125" style="119" customWidth="1"/>
    <col min="1268" max="1268" width="97.5703125" style="119" customWidth="1"/>
    <col min="1269" max="1269" width="8.7109375" style="119" customWidth="1"/>
    <col min="1270" max="1270" width="17.42578125" style="119" customWidth="1"/>
    <col min="1271" max="1271" width="20.85546875" style="119" customWidth="1"/>
    <col min="1272" max="1272" width="33.5703125" style="119" customWidth="1"/>
    <col min="1273" max="1273" width="3.28515625" style="119" customWidth="1"/>
    <col min="1274" max="1277" width="0" style="119" hidden="1" customWidth="1"/>
    <col min="1278" max="1278" width="3.7109375" style="119" customWidth="1"/>
    <col min="1279" max="1279" width="18.5703125" style="119" bestFit="1" customWidth="1"/>
    <col min="1280" max="1280" width="24" style="119" customWidth="1"/>
    <col min="1281" max="1281" width="23.28515625" style="119" customWidth="1"/>
    <col min="1282" max="1282" width="13" style="119" bestFit="1" customWidth="1"/>
    <col min="1283" max="1287" width="11.42578125" style="119"/>
    <col min="1288" max="1288" width="34.28515625" style="119" customWidth="1"/>
    <col min="1289" max="1289" width="15.7109375" style="119" bestFit="1" customWidth="1"/>
    <col min="1290" max="1517" width="11.42578125" style="119"/>
    <col min="1518" max="1519" width="3.42578125" style="119" customWidth="1"/>
    <col min="1520" max="1520" width="5.140625" style="119" customWidth="1"/>
    <col min="1521" max="1521" width="11.28515625" style="119" customWidth="1"/>
    <col min="1522" max="1522" width="23.85546875" style="119" customWidth="1"/>
    <col min="1523" max="1523" width="22.42578125" style="119" customWidth="1"/>
    <col min="1524" max="1524" width="97.5703125" style="119" customWidth="1"/>
    <col min="1525" max="1525" width="8.7109375" style="119" customWidth="1"/>
    <col min="1526" max="1526" width="17.42578125" style="119" customWidth="1"/>
    <col min="1527" max="1527" width="20.85546875" style="119" customWidth="1"/>
    <col min="1528" max="1528" width="33.5703125" style="119" customWidth="1"/>
    <col min="1529" max="1529" width="3.28515625" style="119" customWidth="1"/>
    <col min="1530" max="1533" width="0" style="119" hidden="1" customWidth="1"/>
    <col min="1534" max="1534" width="3.7109375" style="119" customWidth="1"/>
    <col min="1535" max="1535" width="18.5703125" style="119" bestFit="1" customWidth="1"/>
    <col min="1536" max="1536" width="24" style="119" customWidth="1"/>
    <col min="1537" max="1537" width="23.28515625" style="119" customWidth="1"/>
    <col min="1538" max="1538" width="13" style="119" bestFit="1" customWidth="1"/>
    <col min="1539" max="1543" width="11.42578125" style="119"/>
    <col min="1544" max="1544" width="34.28515625" style="119" customWidth="1"/>
    <col min="1545" max="1545" width="15.7109375" style="119" bestFit="1" customWidth="1"/>
    <col min="1546" max="1773" width="11.42578125" style="119"/>
    <col min="1774" max="1775" width="3.42578125" style="119" customWidth="1"/>
    <col min="1776" max="1776" width="5.140625" style="119" customWidth="1"/>
    <col min="1777" max="1777" width="11.28515625" style="119" customWidth="1"/>
    <col min="1778" max="1778" width="23.85546875" style="119" customWidth="1"/>
    <col min="1779" max="1779" width="22.42578125" style="119" customWidth="1"/>
    <col min="1780" max="1780" width="97.5703125" style="119" customWidth="1"/>
    <col min="1781" max="1781" width="8.7109375" style="119" customWidth="1"/>
    <col min="1782" max="1782" width="17.42578125" style="119" customWidth="1"/>
    <col min="1783" max="1783" width="20.85546875" style="119" customWidth="1"/>
    <col min="1784" max="1784" width="33.5703125" style="119" customWidth="1"/>
    <col min="1785" max="1785" width="3.28515625" style="119" customWidth="1"/>
    <col min="1786" max="1789" width="0" style="119" hidden="1" customWidth="1"/>
    <col min="1790" max="1790" width="3.7109375" style="119" customWidth="1"/>
    <col min="1791" max="1791" width="18.5703125" style="119" bestFit="1" customWidth="1"/>
    <col min="1792" max="1792" width="24" style="119" customWidth="1"/>
    <col min="1793" max="1793" width="23.28515625" style="119" customWidth="1"/>
    <col min="1794" max="1794" width="13" style="119" bestFit="1" customWidth="1"/>
    <col min="1795" max="1799" width="11.42578125" style="119"/>
    <col min="1800" max="1800" width="34.28515625" style="119" customWidth="1"/>
    <col min="1801" max="1801" width="15.7109375" style="119" bestFit="1" customWidth="1"/>
    <col min="1802" max="2029" width="11.42578125" style="119"/>
    <col min="2030" max="2031" width="3.42578125" style="119" customWidth="1"/>
    <col min="2032" max="2032" width="5.140625" style="119" customWidth="1"/>
    <col min="2033" max="2033" width="11.28515625" style="119" customWidth="1"/>
    <col min="2034" max="2034" width="23.85546875" style="119" customWidth="1"/>
    <col min="2035" max="2035" width="22.42578125" style="119" customWidth="1"/>
    <col min="2036" max="2036" width="97.5703125" style="119" customWidth="1"/>
    <col min="2037" max="2037" width="8.7109375" style="119" customWidth="1"/>
    <col min="2038" max="2038" width="17.42578125" style="119" customWidth="1"/>
    <col min="2039" max="2039" width="20.85546875" style="119" customWidth="1"/>
    <col min="2040" max="2040" width="33.5703125" style="119" customWidth="1"/>
    <col min="2041" max="2041" width="3.28515625" style="119" customWidth="1"/>
    <col min="2042" max="2045" width="0" style="119" hidden="1" customWidth="1"/>
    <col min="2046" max="2046" width="3.7109375" style="119" customWidth="1"/>
    <col min="2047" max="2047" width="18.5703125" style="119" bestFit="1" customWidth="1"/>
    <col min="2048" max="2048" width="24" style="119" customWidth="1"/>
    <col min="2049" max="2049" width="23.28515625" style="119" customWidth="1"/>
    <col min="2050" max="2050" width="13" style="119" bestFit="1" customWidth="1"/>
    <col min="2051" max="2055" width="11.42578125" style="119"/>
    <col min="2056" max="2056" width="34.28515625" style="119" customWidth="1"/>
    <col min="2057" max="2057" width="15.7109375" style="119" bestFit="1" customWidth="1"/>
    <col min="2058" max="2285" width="11.42578125" style="119"/>
    <col min="2286" max="2287" width="3.42578125" style="119" customWidth="1"/>
    <col min="2288" max="2288" width="5.140625" style="119" customWidth="1"/>
    <col min="2289" max="2289" width="11.28515625" style="119" customWidth="1"/>
    <col min="2290" max="2290" width="23.85546875" style="119" customWidth="1"/>
    <col min="2291" max="2291" width="22.42578125" style="119" customWidth="1"/>
    <col min="2292" max="2292" width="97.5703125" style="119" customWidth="1"/>
    <col min="2293" max="2293" width="8.7109375" style="119" customWidth="1"/>
    <col min="2294" max="2294" width="17.42578125" style="119" customWidth="1"/>
    <col min="2295" max="2295" width="20.85546875" style="119" customWidth="1"/>
    <col min="2296" max="2296" width="33.5703125" style="119" customWidth="1"/>
    <col min="2297" max="2297" width="3.28515625" style="119" customWidth="1"/>
    <col min="2298" max="2301" width="0" style="119" hidden="1" customWidth="1"/>
    <col min="2302" max="2302" width="3.7109375" style="119" customWidth="1"/>
    <col min="2303" max="2303" width="18.5703125" style="119" bestFit="1" customWidth="1"/>
    <col min="2304" max="2304" width="24" style="119" customWidth="1"/>
    <col min="2305" max="2305" width="23.28515625" style="119" customWidth="1"/>
    <col min="2306" max="2306" width="13" style="119" bestFit="1" customWidth="1"/>
    <col min="2307" max="2311" width="11.42578125" style="119"/>
    <col min="2312" max="2312" width="34.28515625" style="119" customWidth="1"/>
    <col min="2313" max="2313" width="15.7109375" style="119" bestFit="1" customWidth="1"/>
    <col min="2314" max="2541" width="11.42578125" style="119"/>
    <col min="2542" max="2543" width="3.42578125" style="119" customWidth="1"/>
    <col min="2544" max="2544" width="5.140625" style="119" customWidth="1"/>
    <col min="2545" max="2545" width="11.28515625" style="119" customWidth="1"/>
    <col min="2546" max="2546" width="23.85546875" style="119" customWidth="1"/>
    <col min="2547" max="2547" width="22.42578125" style="119" customWidth="1"/>
    <col min="2548" max="2548" width="97.5703125" style="119" customWidth="1"/>
    <col min="2549" max="2549" width="8.7109375" style="119" customWidth="1"/>
    <col min="2550" max="2550" width="17.42578125" style="119" customWidth="1"/>
    <col min="2551" max="2551" width="20.85546875" style="119" customWidth="1"/>
    <col min="2552" max="2552" width="33.5703125" style="119" customWidth="1"/>
    <col min="2553" max="2553" width="3.28515625" style="119" customWidth="1"/>
    <col min="2554" max="2557" width="0" style="119" hidden="1" customWidth="1"/>
    <col min="2558" max="2558" width="3.7109375" style="119" customWidth="1"/>
    <col min="2559" max="2559" width="18.5703125" style="119" bestFit="1" customWidth="1"/>
    <col min="2560" max="2560" width="24" style="119" customWidth="1"/>
    <col min="2561" max="2561" width="23.28515625" style="119" customWidth="1"/>
    <col min="2562" max="2562" width="13" style="119" bestFit="1" customWidth="1"/>
    <col min="2563" max="2567" width="11.42578125" style="119"/>
    <col min="2568" max="2568" width="34.28515625" style="119" customWidth="1"/>
    <col min="2569" max="2569" width="15.7109375" style="119" bestFit="1" customWidth="1"/>
    <col min="2570" max="2797" width="11.42578125" style="119"/>
    <col min="2798" max="2799" width="3.42578125" style="119" customWidth="1"/>
    <col min="2800" max="2800" width="5.140625" style="119" customWidth="1"/>
    <col min="2801" max="2801" width="11.28515625" style="119" customWidth="1"/>
    <col min="2802" max="2802" width="23.85546875" style="119" customWidth="1"/>
    <col min="2803" max="2803" width="22.42578125" style="119" customWidth="1"/>
    <col min="2804" max="2804" width="97.5703125" style="119" customWidth="1"/>
    <col min="2805" max="2805" width="8.7109375" style="119" customWidth="1"/>
    <col min="2806" max="2806" width="17.42578125" style="119" customWidth="1"/>
    <col min="2807" max="2807" width="20.85546875" style="119" customWidth="1"/>
    <col min="2808" max="2808" width="33.5703125" style="119" customWidth="1"/>
    <col min="2809" max="2809" width="3.28515625" style="119" customWidth="1"/>
    <col min="2810" max="2813" width="0" style="119" hidden="1" customWidth="1"/>
    <col min="2814" max="2814" width="3.7109375" style="119" customWidth="1"/>
    <col min="2815" max="2815" width="18.5703125" style="119" bestFit="1" customWidth="1"/>
    <col min="2816" max="2816" width="24" style="119" customWidth="1"/>
    <col min="2817" max="2817" width="23.28515625" style="119" customWidth="1"/>
    <col min="2818" max="2818" width="13" style="119" bestFit="1" customWidth="1"/>
    <col min="2819" max="2823" width="11.42578125" style="119"/>
    <col min="2824" max="2824" width="34.28515625" style="119" customWidth="1"/>
    <col min="2825" max="2825" width="15.7109375" style="119" bestFit="1" customWidth="1"/>
    <col min="2826" max="3053" width="11.42578125" style="119"/>
    <col min="3054" max="3055" width="3.42578125" style="119" customWidth="1"/>
    <col min="3056" max="3056" width="5.140625" style="119" customWidth="1"/>
    <col min="3057" max="3057" width="11.28515625" style="119" customWidth="1"/>
    <col min="3058" max="3058" width="23.85546875" style="119" customWidth="1"/>
    <col min="3059" max="3059" width="22.42578125" style="119" customWidth="1"/>
    <col min="3060" max="3060" width="97.5703125" style="119" customWidth="1"/>
    <col min="3061" max="3061" width="8.7109375" style="119" customWidth="1"/>
    <col min="3062" max="3062" width="17.42578125" style="119" customWidth="1"/>
    <col min="3063" max="3063" width="20.85546875" style="119" customWidth="1"/>
    <col min="3064" max="3064" width="33.5703125" style="119" customWidth="1"/>
    <col min="3065" max="3065" width="3.28515625" style="119" customWidth="1"/>
    <col min="3066" max="3069" width="0" style="119" hidden="1" customWidth="1"/>
    <col min="3070" max="3070" width="3.7109375" style="119" customWidth="1"/>
    <col min="3071" max="3071" width="18.5703125" style="119" bestFit="1" customWidth="1"/>
    <col min="3072" max="3072" width="24" style="119" customWidth="1"/>
    <col min="3073" max="3073" width="23.28515625" style="119" customWidth="1"/>
    <col min="3074" max="3074" width="13" style="119" bestFit="1" customWidth="1"/>
    <col min="3075" max="3079" width="11.42578125" style="119"/>
    <col min="3080" max="3080" width="34.28515625" style="119" customWidth="1"/>
    <col min="3081" max="3081" width="15.7109375" style="119" bestFit="1" customWidth="1"/>
    <col min="3082" max="3309" width="11.42578125" style="119"/>
    <col min="3310" max="3311" width="3.42578125" style="119" customWidth="1"/>
    <col min="3312" max="3312" width="5.140625" style="119" customWidth="1"/>
    <col min="3313" max="3313" width="11.28515625" style="119" customWidth="1"/>
    <col min="3314" max="3314" width="23.85546875" style="119" customWidth="1"/>
    <col min="3315" max="3315" width="22.42578125" style="119" customWidth="1"/>
    <col min="3316" max="3316" width="97.5703125" style="119" customWidth="1"/>
    <col min="3317" max="3317" width="8.7109375" style="119" customWidth="1"/>
    <col min="3318" max="3318" width="17.42578125" style="119" customWidth="1"/>
    <col min="3319" max="3319" width="20.85546875" style="119" customWidth="1"/>
    <col min="3320" max="3320" width="33.5703125" style="119" customWidth="1"/>
    <col min="3321" max="3321" width="3.28515625" style="119" customWidth="1"/>
    <col min="3322" max="3325" width="0" style="119" hidden="1" customWidth="1"/>
    <col min="3326" max="3326" width="3.7109375" style="119" customWidth="1"/>
    <col min="3327" max="3327" width="18.5703125" style="119" bestFit="1" customWidth="1"/>
    <col min="3328" max="3328" width="24" style="119" customWidth="1"/>
    <col min="3329" max="3329" width="23.28515625" style="119" customWidth="1"/>
    <col min="3330" max="3330" width="13" style="119" bestFit="1" customWidth="1"/>
    <col min="3331" max="3335" width="11.42578125" style="119"/>
    <col min="3336" max="3336" width="34.28515625" style="119" customWidth="1"/>
    <col min="3337" max="3337" width="15.7109375" style="119" bestFit="1" customWidth="1"/>
    <col min="3338" max="3565" width="11.42578125" style="119"/>
    <col min="3566" max="3567" width="3.42578125" style="119" customWidth="1"/>
    <col min="3568" max="3568" width="5.140625" style="119" customWidth="1"/>
    <col min="3569" max="3569" width="11.28515625" style="119" customWidth="1"/>
    <col min="3570" max="3570" width="23.85546875" style="119" customWidth="1"/>
    <col min="3571" max="3571" width="22.42578125" style="119" customWidth="1"/>
    <col min="3572" max="3572" width="97.5703125" style="119" customWidth="1"/>
    <col min="3573" max="3573" width="8.7109375" style="119" customWidth="1"/>
    <col min="3574" max="3574" width="17.42578125" style="119" customWidth="1"/>
    <col min="3575" max="3575" width="20.85546875" style="119" customWidth="1"/>
    <col min="3576" max="3576" width="33.5703125" style="119" customWidth="1"/>
    <col min="3577" max="3577" width="3.28515625" style="119" customWidth="1"/>
    <col min="3578" max="3581" width="0" style="119" hidden="1" customWidth="1"/>
    <col min="3582" max="3582" width="3.7109375" style="119" customWidth="1"/>
    <col min="3583" max="3583" width="18.5703125" style="119" bestFit="1" customWidth="1"/>
    <col min="3584" max="3584" width="24" style="119" customWidth="1"/>
    <col min="3585" max="3585" width="23.28515625" style="119" customWidth="1"/>
    <col min="3586" max="3586" width="13" style="119" bestFit="1" customWidth="1"/>
    <col min="3587" max="3591" width="11.42578125" style="119"/>
    <col min="3592" max="3592" width="34.28515625" style="119" customWidth="1"/>
    <col min="3593" max="3593" width="15.7109375" style="119" bestFit="1" customWidth="1"/>
    <col min="3594" max="3821" width="11.42578125" style="119"/>
    <col min="3822" max="3823" width="3.42578125" style="119" customWidth="1"/>
    <col min="3824" max="3824" width="5.140625" style="119" customWidth="1"/>
    <col min="3825" max="3825" width="11.28515625" style="119" customWidth="1"/>
    <col min="3826" max="3826" width="23.85546875" style="119" customWidth="1"/>
    <col min="3827" max="3827" width="22.42578125" style="119" customWidth="1"/>
    <col min="3828" max="3828" width="97.5703125" style="119" customWidth="1"/>
    <col min="3829" max="3829" width="8.7109375" style="119" customWidth="1"/>
    <col min="3830" max="3830" width="17.42578125" style="119" customWidth="1"/>
    <col min="3831" max="3831" width="20.85546875" style="119" customWidth="1"/>
    <col min="3832" max="3832" width="33.5703125" style="119" customWidth="1"/>
    <col min="3833" max="3833" width="3.28515625" style="119" customWidth="1"/>
    <col min="3834" max="3837" width="0" style="119" hidden="1" customWidth="1"/>
    <col min="3838" max="3838" width="3.7109375" style="119" customWidth="1"/>
    <col min="3839" max="3839" width="18.5703125" style="119" bestFit="1" customWidth="1"/>
    <col min="3840" max="3840" width="24" style="119" customWidth="1"/>
    <col min="3841" max="3841" width="23.28515625" style="119" customWidth="1"/>
    <col min="3842" max="3842" width="13" style="119" bestFit="1" customWidth="1"/>
    <col min="3843" max="3847" width="11.42578125" style="119"/>
    <col min="3848" max="3848" width="34.28515625" style="119" customWidth="1"/>
    <col min="3849" max="3849" width="15.7109375" style="119" bestFit="1" customWidth="1"/>
    <col min="3850" max="4077" width="11.42578125" style="119"/>
    <col min="4078" max="4079" width="3.42578125" style="119" customWidth="1"/>
    <col min="4080" max="4080" width="5.140625" style="119" customWidth="1"/>
    <col min="4081" max="4081" width="11.28515625" style="119" customWidth="1"/>
    <col min="4082" max="4082" width="23.85546875" style="119" customWidth="1"/>
    <col min="4083" max="4083" width="22.42578125" style="119" customWidth="1"/>
    <col min="4084" max="4084" width="97.5703125" style="119" customWidth="1"/>
    <col min="4085" max="4085" width="8.7109375" style="119" customWidth="1"/>
    <col min="4086" max="4086" width="17.42578125" style="119" customWidth="1"/>
    <col min="4087" max="4087" width="20.85546875" style="119" customWidth="1"/>
    <col min="4088" max="4088" width="33.5703125" style="119" customWidth="1"/>
    <col min="4089" max="4089" width="3.28515625" style="119" customWidth="1"/>
    <col min="4090" max="4093" width="0" style="119" hidden="1" customWidth="1"/>
    <col min="4094" max="4094" width="3.7109375" style="119" customWidth="1"/>
    <col min="4095" max="4095" width="18.5703125" style="119" bestFit="1" customWidth="1"/>
    <col min="4096" max="4096" width="24" style="119" customWidth="1"/>
    <col min="4097" max="4097" width="23.28515625" style="119" customWidth="1"/>
    <col min="4098" max="4098" width="13" style="119" bestFit="1" customWidth="1"/>
    <col min="4099" max="4103" width="11.42578125" style="119"/>
    <col min="4104" max="4104" width="34.28515625" style="119" customWidth="1"/>
    <col min="4105" max="4105" width="15.7109375" style="119" bestFit="1" customWidth="1"/>
    <col min="4106" max="4333" width="11.42578125" style="119"/>
    <col min="4334" max="4335" width="3.42578125" style="119" customWidth="1"/>
    <col min="4336" max="4336" width="5.140625" style="119" customWidth="1"/>
    <col min="4337" max="4337" width="11.28515625" style="119" customWidth="1"/>
    <col min="4338" max="4338" width="23.85546875" style="119" customWidth="1"/>
    <col min="4339" max="4339" width="22.42578125" style="119" customWidth="1"/>
    <col min="4340" max="4340" width="97.5703125" style="119" customWidth="1"/>
    <col min="4341" max="4341" width="8.7109375" style="119" customWidth="1"/>
    <col min="4342" max="4342" width="17.42578125" style="119" customWidth="1"/>
    <col min="4343" max="4343" width="20.85546875" style="119" customWidth="1"/>
    <col min="4344" max="4344" width="33.5703125" style="119" customWidth="1"/>
    <col min="4345" max="4345" width="3.28515625" style="119" customWidth="1"/>
    <col min="4346" max="4349" width="0" style="119" hidden="1" customWidth="1"/>
    <col min="4350" max="4350" width="3.7109375" style="119" customWidth="1"/>
    <col min="4351" max="4351" width="18.5703125" style="119" bestFit="1" customWidth="1"/>
    <col min="4352" max="4352" width="24" style="119" customWidth="1"/>
    <col min="4353" max="4353" width="23.28515625" style="119" customWidth="1"/>
    <col min="4354" max="4354" width="13" style="119" bestFit="1" customWidth="1"/>
    <col min="4355" max="4359" width="11.42578125" style="119"/>
    <col min="4360" max="4360" width="34.28515625" style="119" customWidth="1"/>
    <col min="4361" max="4361" width="15.7109375" style="119" bestFit="1" customWidth="1"/>
    <col min="4362" max="4589" width="11.42578125" style="119"/>
    <col min="4590" max="4591" width="3.42578125" style="119" customWidth="1"/>
    <col min="4592" max="4592" width="5.140625" style="119" customWidth="1"/>
    <col min="4593" max="4593" width="11.28515625" style="119" customWidth="1"/>
    <col min="4594" max="4594" width="23.85546875" style="119" customWidth="1"/>
    <col min="4595" max="4595" width="22.42578125" style="119" customWidth="1"/>
    <col min="4596" max="4596" width="97.5703125" style="119" customWidth="1"/>
    <col min="4597" max="4597" width="8.7109375" style="119" customWidth="1"/>
    <col min="4598" max="4598" width="17.42578125" style="119" customWidth="1"/>
    <col min="4599" max="4599" width="20.85546875" style="119" customWidth="1"/>
    <col min="4600" max="4600" width="33.5703125" style="119" customWidth="1"/>
    <col min="4601" max="4601" width="3.28515625" style="119" customWidth="1"/>
    <col min="4602" max="4605" width="0" style="119" hidden="1" customWidth="1"/>
    <col min="4606" max="4606" width="3.7109375" style="119" customWidth="1"/>
    <col min="4607" max="4607" width="18.5703125" style="119" bestFit="1" customWidth="1"/>
    <col min="4608" max="4608" width="24" style="119" customWidth="1"/>
    <col min="4609" max="4609" width="23.28515625" style="119" customWidth="1"/>
    <col min="4610" max="4610" width="13" style="119" bestFit="1" customWidth="1"/>
    <col min="4611" max="4615" width="11.42578125" style="119"/>
    <col min="4616" max="4616" width="34.28515625" style="119" customWidth="1"/>
    <col min="4617" max="4617" width="15.7109375" style="119" bestFit="1" customWidth="1"/>
    <col min="4618" max="4845" width="11.42578125" style="119"/>
    <col min="4846" max="4847" width="3.42578125" style="119" customWidth="1"/>
    <col min="4848" max="4848" width="5.140625" style="119" customWidth="1"/>
    <col min="4849" max="4849" width="11.28515625" style="119" customWidth="1"/>
    <col min="4850" max="4850" width="23.85546875" style="119" customWidth="1"/>
    <col min="4851" max="4851" width="22.42578125" style="119" customWidth="1"/>
    <col min="4852" max="4852" width="97.5703125" style="119" customWidth="1"/>
    <col min="4853" max="4853" width="8.7109375" style="119" customWidth="1"/>
    <col min="4854" max="4854" width="17.42578125" style="119" customWidth="1"/>
    <col min="4855" max="4855" width="20.85546875" style="119" customWidth="1"/>
    <col min="4856" max="4856" width="33.5703125" style="119" customWidth="1"/>
    <col min="4857" max="4857" width="3.28515625" style="119" customWidth="1"/>
    <col min="4858" max="4861" width="0" style="119" hidden="1" customWidth="1"/>
    <col min="4862" max="4862" width="3.7109375" style="119" customWidth="1"/>
    <col min="4863" max="4863" width="18.5703125" style="119" bestFit="1" customWidth="1"/>
    <col min="4864" max="4864" width="24" style="119" customWidth="1"/>
    <col min="4865" max="4865" width="23.28515625" style="119" customWidth="1"/>
    <col min="4866" max="4866" width="13" style="119" bestFit="1" customWidth="1"/>
    <col min="4867" max="4871" width="11.42578125" style="119"/>
    <col min="4872" max="4872" width="34.28515625" style="119" customWidth="1"/>
    <col min="4873" max="4873" width="15.7109375" style="119" bestFit="1" customWidth="1"/>
    <col min="4874" max="5101" width="11.42578125" style="119"/>
    <col min="5102" max="5103" width="3.42578125" style="119" customWidth="1"/>
    <col min="5104" max="5104" width="5.140625" style="119" customWidth="1"/>
    <col min="5105" max="5105" width="11.28515625" style="119" customWidth="1"/>
    <col min="5106" max="5106" width="23.85546875" style="119" customWidth="1"/>
    <col min="5107" max="5107" width="22.42578125" style="119" customWidth="1"/>
    <col min="5108" max="5108" width="97.5703125" style="119" customWidth="1"/>
    <col min="5109" max="5109" width="8.7109375" style="119" customWidth="1"/>
    <col min="5110" max="5110" width="17.42578125" style="119" customWidth="1"/>
    <col min="5111" max="5111" width="20.85546875" style="119" customWidth="1"/>
    <col min="5112" max="5112" width="33.5703125" style="119" customWidth="1"/>
    <col min="5113" max="5113" width="3.28515625" style="119" customWidth="1"/>
    <col min="5114" max="5117" width="0" style="119" hidden="1" customWidth="1"/>
    <col min="5118" max="5118" width="3.7109375" style="119" customWidth="1"/>
    <col min="5119" max="5119" width="18.5703125" style="119" bestFit="1" customWidth="1"/>
    <col min="5120" max="5120" width="24" style="119" customWidth="1"/>
    <col min="5121" max="5121" width="23.28515625" style="119" customWidth="1"/>
    <col min="5122" max="5122" width="13" style="119" bestFit="1" customWidth="1"/>
    <col min="5123" max="5127" width="11.42578125" style="119"/>
    <col min="5128" max="5128" width="34.28515625" style="119" customWidth="1"/>
    <col min="5129" max="5129" width="15.7109375" style="119" bestFit="1" customWidth="1"/>
    <col min="5130" max="5357" width="11.42578125" style="119"/>
    <col min="5358" max="5359" width="3.42578125" style="119" customWidth="1"/>
    <col min="5360" max="5360" width="5.140625" style="119" customWidth="1"/>
    <col min="5361" max="5361" width="11.28515625" style="119" customWidth="1"/>
    <col min="5362" max="5362" width="23.85546875" style="119" customWidth="1"/>
    <col min="5363" max="5363" width="22.42578125" style="119" customWidth="1"/>
    <col min="5364" max="5364" width="97.5703125" style="119" customWidth="1"/>
    <col min="5365" max="5365" width="8.7109375" style="119" customWidth="1"/>
    <col min="5366" max="5366" width="17.42578125" style="119" customWidth="1"/>
    <col min="5367" max="5367" width="20.85546875" style="119" customWidth="1"/>
    <col min="5368" max="5368" width="33.5703125" style="119" customWidth="1"/>
    <col min="5369" max="5369" width="3.28515625" style="119" customWidth="1"/>
    <col min="5370" max="5373" width="0" style="119" hidden="1" customWidth="1"/>
    <col min="5374" max="5374" width="3.7109375" style="119" customWidth="1"/>
    <col min="5375" max="5375" width="18.5703125" style="119" bestFit="1" customWidth="1"/>
    <col min="5376" max="5376" width="24" style="119" customWidth="1"/>
    <col min="5377" max="5377" width="23.28515625" style="119" customWidth="1"/>
    <col min="5378" max="5378" width="13" style="119" bestFit="1" customWidth="1"/>
    <col min="5379" max="5383" width="11.42578125" style="119"/>
    <col min="5384" max="5384" width="34.28515625" style="119" customWidth="1"/>
    <col min="5385" max="5385" width="15.7109375" style="119" bestFit="1" customWidth="1"/>
    <col min="5386" max="5613" width="11.42578125" style="119"/>
    <col min="5614" max="5615" width="3.42578125" style="119" customWidth="1"/>
    <col min="5616" max="5616" width="5.140625" style="119" customWidth="1"/>
    <col min="5617" max="5617" width="11.28515625" style="119" customWidth="1"/>
    <col min="5618" max="5618" width="23.85546875" style="119" customWidth="1"/>
    <col min="5619" max="5619" width="22.42578125" style="119" customWidth="1"/>
    <col min="5620" max="5620" width="97.5703125" style="119" customWidth="1"/>
    <col min="5621" max="5621" width="8.7109375" style="119" customWidth="1"/>
    <col min="5622" max="5622" width="17.42578125" style="119" customWidth="1"/>
    <col min="5623" max="5623" width="20.85546875" style="119" customWidth="1"/>
    <col min="5624" max="5624" width="33.5703125" style="119" customWidth="1"/>
    <col min="5625" max="5625" width="3.28515625" style="119" customWidth="1"/>
    <col min="5626" max="5629" width="0" style="119" hidden="1" customWidth="1"/>
    <col min="5630" max="5630" width="3.7109375" style="119" customWidth="1"/>
    <col min="5631" max="5631" width="18.5703125" style="119" bestFit="1" customWidth="1"/>
    <col min="5632" max="5632" width="24" style="119" customWidth="1"/>
    <col min="5633" max="5633" width="23.28515625" style="119" customWidth="1"/>
    <col min="5634" max="5634" width="13" style="119" bestFit="1" customWidth="1"/>
    <col min="5635" max="5639" width="11.42578125" style="119"/>
    <col min="5640" max="5640" width="34.28515625" style="119" customWidth="1"/>
    <col min="5641" max="5641" width="15.7109375" style="119" bestFit="1" customWidth="1"/>
    <col min="5642" max="5869" width="11.42578125" style="119"/>
    <col min="5870" max="5871" width="3.42578125" style="119" customWidth="1"/>
    <col min="5872" max="5872" width="5.140625" style="119" customWidth="1"/>
    <col min="5873" max="5873" width="11.28515625" style="119" customWidth="1"/>
    <col min="5874" max="5874" width="23.85546875" style="119" customWidth="1"/>
    <col min="5875" max="5875" width="22.42578125" style="119" customWidth="1"/>
    <col min="5876" max="5876" width="97.5703125" style="119" customWidth="1"/>
    <col min="5877" max="5877" width="8.7109375" style="119" customWidth="1"/>
    <col min="5878" max="5878" width="17.42578125" style="119" customWidth="1"/>
    <col min="5879" max="5879" width="20.85546875" style="119" customWidth="1"/>
    <col min="5880" max="5880" width="33.5703125" style="119" customWidth="1"/>
    <col min="5881" max="5881" width="3.28515625" style="119" customWidth="1"/>
    <col min="5882" max="5885" width="0" style="119" hidden="1" customWidth="1"/>
    <col min="5886" max="5886" width="3.7109375" style="119" customWidth="1"/>
    <col min="5887" max="5887" width="18.5703125" style="119" bestFit="1" customWidth="1"/>
    <col min="5888" max="5888" width="24" style="119" customWidth="1"/>
    <col min="5889" max="5889" width="23.28515625" style="119" customWidth="1"/>
    <col min="5890" max="5890" width="13" style="119" bestFit="1" customWidth="1"/>
    <col min="5891" max="5895" width="11.42578125" style="119"/>
    <col min="5896" max="5896" width="34.28515625" style="119" customWidth="1"/>
    <col min="5897" max="5897" width="15.7109375" style="119" bestFit="1" customWidth="1"/>
    <col min="5898" max="6125" width="11.42578125" style="119"/>
    <col min="6126" max="6127" width="3.42578125" style="119" customWidth="1"/>
    <col min="6128" max="6128" width="5.140625" style="119" customWidth="1"/>
    <col min="6129" max="6129" width="11.28515625" style="119" customWidth="1"/>
    <col min="6130" max="6130" width="23.85546875" style="119" customWidth="1"/>
    <col min="6131" max="6131" width="22.42578125" style="119" customWidth="1"/>
    <col min="6132" max="6132" width="97.5703125" style="119" customWidth="1"/>
    <col min="6133" max="6133" width="8.7109375" style="119" customWidth="1"/>
    <col min="6134" max="6134" width="17.42578125" style="119" customWidth="1"/>
    <col min="6135" max="6135" width="20.85546875" style="119" customWidth="1"/>
    <col min="6136" max="6136" width="33.5703125" style="119" customWidth="1"/>
    <col min="6137" max="6137" width="3.28515625" style="119" customWidth="1"/>
    <col min="6138" max="6141" width="0" style="119" hidden="1" customWidth="1"/>
    <col min="6142" max="6142" width="3.7109375" style="119" customWidth="1"/>
    <col min="6143" max="6143" width="18.5703125" style="119" bestFit="1" customWidth="1"/>
    <col min="6144" max="6144" width="24" style="119" customWidth="1"/>
    <col min="6145" max="6145" width="23.28515625" style="119" customWidth="1"/>
    <col min="6146" max="6146" width="13" style="119" bestFit="1" customWidth="1"/>
    <col min="6147" max="6151" width="11.42578125" style="119"/>
    <col min="6152" max="6152" width="34.28515625" style="119" customWidth="1"/>
    <col min="6153" max="6153" width="15.7109375" style="119" bestFit="1" customWidth="1"/>
    <col min="6154" max="6381" width="11.42578125" style="119"/>
    <col min="6382" max="6383" width="3.42578125" style="119" customWidth="1"/>
    <col min="6384" max="6384" width="5.140625" style="119" customWidth="1"/>
    <col min="6385" max="6385" width="11.28515625" style="119" customWidth="1"/>
    <col min="6386" max="6386" width="23.85546875" style="119" customWidth="1"/>
    <col min="6387" max="6387" width="22.42578125" style="119" customWidth="1"/>
    <col min="6388" max="6388" width="97.5703125" style="119" customWidth="1"/>
    <col min="6389" max="6389" width="8.7109375" style="119" customWidth="1"/>
    <col min="6390" max="6390" width="17.42578125" style="119" customWidth="1"/>
    <col min="6391" max="6391" width="20.85546875" style="119" customWidth="1"/>
    <col min="6392" max="6392" width="33.5703125" style="119" customWidth="1"/>
    <col min="6393" max="6393" width="3.28515625" style="119" customWidth="1"/>
    <col min="6394" max="6397" width="0" style="119" hidden="1" customWidth="1"/>
    <col min="6398" max="6398" width="3.7109375" style="119" customWidth="1"/>
    <col min="6399" max="6399" width="18.5703125" style="119" bestFit="1" customWidth="1"/>
    <col min="6400" max="6400" width="24" style="119" customWidth="1"/>
    <col min="6401" max="6401" width="23.28515625" style="119" customWidth="1"/>
    <col min="6402" max="6402" width="13" style="119" bestFit="1" customWidth="1"/>
    <col min="6403" max="6407" width="11.42578125" style="119"/>
    <col min="6408" max="6408" width="34.28515625" style="119" customWidth="1"/>
    <col min="6409" max="6409" width="15.7109375" style="119" bestFit="1" customWidth="1"/>
    <col min="6410" max="6637" width="11.42578125" style="119"/>
    <col min="6638" max="6639" width="3.42578125" style="119" customWidth="1"/>
    <col min="6640" max="6640" width="5.140625" style="119" customWidth="1"/>
    <col min="6641" max="6641" width="11.28515625" style="119" customWidth="1"/>
    <col min="6642" max="6642" width="23.85546875" style="119" customWidth="1"/>
    <col min="6643" max="6643" width="22.42578125" style="119" customWidth="1"/>
    <col min="6644" max="6644" width="97.5703125" style="119" customWidth="1"/>
    <col min="6645" max="6645" width="8.7109375" style="119" customWidth="1"/>
    <col min="6646" max="6646" width="17.42578125" style="119" customWidth="1"/>
    <col min="6647" max="6647" width="20.85546875" style="119" customWidth="1"/>
    <col min="6648" max="6648" width="33.5703125" style="119" customWidth="1"/>
    <col min="6649" max="6649" width="3.28515625" style="119" customWidth="1"/>
    <col min="6650" max="6653" width="0" style="119" hidden="1" customWidth="1"/>
    <col min="6654" max="6654" width="3.7109375" style="119" customWidth="1"/>
    <col min="6655" max="6655" width="18.5703125" style="119" bestFit="1" customWidth="1"/>
    <col min="6656" max="6656" width="24" style="119" customWidth="1"/>
    <col min="6657" max="6657" width="23.28515625" style="119" customWidth="1"/>
    <col min="6658" max="6658" width="13" style="119" bestFit="1" customWidth="1"/>
    <col min="6659" max="6663" width="11.42578125" style="119"/>
    <col min="6664" max="6664" width="34.28515625" style="119" customWidth="1"/>
    <col min="6665" max="6665" width="15.7109375" style="119" bestFit="1" customWidth="1"/>
    <col min="6666" max="6893" width="11.42578125" style="119"/>
    <col min="6894" max="6895" width="3.42578125" style="119" customWidth="1"/>
    <col min="6896" max="6896" width="5.140625" style="119" customWidth="1"/>
    <col min="6897" max="6897" width="11.28515625" style="119" customWidth="1"/>
    <col min="6898" max="6898" width="23.85546875" style="119" customWidth="1"/>
    <col min="6899" max="6899" width="22.42578125" style="119" customWidth="1"/>
    <col min="6900" max="6900" width="97.5703125" style="119" customWidth="1"/>
    <col min="6901" max="6901" width="8.7109375" style="119" customWidth="1"/>
    <col min="6902" max="6902" width="17.42578125" style="119" customWidth="1"/>
    <col min="6903" max="6903" width="20.85546875" style="119" customWidth="1"/>
    <col min="6904" max="6904" width="33.5703125" style="119" customWidth="1"/>
    <col min="6905" max="6905" width="3.28515625" style="119" customWidth="1"/>
    <col min="6906" max="6909" width="0" style="119" hidden="1" customWidth="1"/>
    <col min="6910" max="6910" width="3.7109375" style="119" customWidth="1"/>
    <col min="6911" max="6911" width="18.5703125" style="119" bestFit="1" customWidth="1"/>
    <col min="6912" max="6912" width="24" style="119" customWidth="1"/>
    <col min="6913" max="6913" width="23.28515625" style="119" customWidth="1"/>
    <col min="6914" max="6914" width="13" style="119" bestFit="1" customWidth="1"/>
    <col min="6915" max="6919" width="11.42578125" style="119"/>
    <col min="6920" max="6920" width="34.28515625" style="119" customWidth="1"/>
    <col min="6921" max="6921" width="15.7109375" style="119" bestFit="1" customWidth="1"/>
    <col min="6922" max="7149" width="11.42578125" style="119"/>
    <col min="7150" max="7151" width="3.42578125" style="119" customWidth="1"/>
    <col min="7152" max="7152" width="5.140625" style="119" customWidth="1"/>
    <col min="7153" max="7153" width="11.28515625" style="119" customWidth="1"/>
    <col min="7154" max="7154" width="23.85546875" style="119" customWidth="1"/>
    <col min="7155" max="7155" width="22.42578125" style="119" customWidth="1"/>
    <col min="7156" max="7156" width="97.5703125" style="119" customWidth="1"/>
    <col min="7157" max="7157" width="8.7109375" style="119" customWidth="1"/>
    <col min="7158" max="7158" width="17.42578125" style="119" customWidth="1"/>
    <col min="7159" max="7159" width="20.85546875" style="119" customWidth="1"/>
    <col min="7160" max="7160" width="33.5703125" style="119" customWidth="1"/>
    <col min="7161" max="7161" width="3.28515625" style="119" customWidth="1"/>
    <col min="7162" max="7165" width="0" style="119" hidden="1" customWidth="1"/>
    <col min="7166" max="7166" width="3.7109375" style="119" customWidth="1"/>
    <col min="7167" max="7167" width="18.5703125" style="119" bestFit="1" customWidth="1"/>
    <col min="7168" max="7168" width="24" style="119" customWidth="1"/>
    <col min="7169" max="7169" width="23.28515625" style="119" customWidth="1"/>
    <col min="7170" max="7170" width="13" style="119" bestFit="1" customWidth="1"/>
    <col min="7171" max="7175" width="11.42578125" style="119"/>
    <col min="7176" max="7176" width="34.28515625" style="119" customWidth="1"/>
    <col min="7177" max="7177" width="15.7109375" style="119" bestFit="1" customWidth="1"/>
    <col min="7178" max="7405" width="11.42578125" style="119"/>
    <col min="7406" max="7407" width="3.42578125" style="119" customWidth="1"/>
    <col min="7408" max="7408" width="5.140625" style="119" customWidth="1"/>
    <col min="7409" max="7409" width="11.28515625" style="119" customWidth="1"/>
    <col min="7410" max="7410" width="23.85546875" style="119" customWidth="1"/>
    <col min="7411" max="7411" width="22.42578125" style="119" customWidth="1"/>
    <col min="7412" max="7412" width="97.5703125" style="119" customWidth="1"/>
    <col min="7413" max="7413" width="8.7109375" style="119" customWidth="1"/>
    <col min="7414" max="7414" width="17.42578125" style="119" customWidth="1"/>
    <col min="7415" max="7415" width="20.85546875" style="119" customWidth="1"/>
    <col min="7416" max="7416" width="33.5703125" style="119" customWidth="1"/>
    <col min="7417" max="7417" width="3.28515625" style="119" customWidth="1"/>
    <col min="7418" max="7421" width="0" style="119" hidden="1" customWidth="1"/>
    <col min="7422" max="7422" width="3.7109375" style="119" customWidth="1"/>
    <col min="7423" max="7423" width="18.5703125" style="119" bestFit="1" customWidth="1"/>
    <col min="7424" max="7424" width="24" style="119" customWidth="1"/>
    <col min="7425" max="7425" width="23.28515625" style="119" customWidth="1"/>
    <col min="7426" max="7426" width="13" style="119" bestFit="1" customWidth="1"/>
    <col min="7427" max="7431" width="11.42578125" style="119"/>
    <col min="7432" max="7432" width="34.28515625" style="119" customWidth="1"/>
    <col min="7433" max="7433" width="15.7109375" style="119" bestFit="1" customWidth="1"/>
    <col min="7434" max="7661" width="11.42578125" style="119"/>
    <col min="7662" max="7663" width="3.42578125" style="119" customWidth="1"/>
    <col min="7664" max="7664" width="5.140625" style="119" customWidth="1"/>
    <col min="7665" max="7665" width="11.28515625" style="119" customWidth="1"/>
    <col min="7666" max="7666" width="23.85546875" style="119" customWidth="1"/>
    <col min="7667" max="7667" width="22.42578125" style="119" customWidth="1"/>
    <col min="7668" max="7668" width="97.5703125" style="119" customWidth="1"/>
    <col min="7669" max="7669" width="8.7109375" style="119" customWidth="1"/>
    <col min="7670" max="7670" width="17.42578125" style="119" customWidth="1"/>
    <col min="7671" max="7671" width="20.85546875" style="119" customWidth="1"/>
    <col min="7672" max="7672" width="33.5703125" style="119" customWidth="1"/>
    <col min="7673" max="7673" width="3.28515625" style="119" customWidth="1"/>
    <col min="7674" max="7677" width="0" style="119" hidden="1" customWidth="1"/>
    <col min="7678" max="7678" width="3.7109375" style="119" customWidth="1"/>
    <col min="7679" max="7679" width="18.5703125" style="119" bestFit="1" customWidth="1"/>
    <col min="7680" max="7680" width="24" style="119" customWidth="1"/>
    <col min="7681" max="7681" width="23.28515625" style="119" customWidth="1"/>
    <col min="7682" max="7682" width="13" style="119" bestFit="1" customWidth="1"/>
    <col min="7683" max="7687" width="11.42578125" style="119"/>
    <col min="7688" max="7688" width="34.28515625" style="119" customWidth="1"/>
    <col min="7689" max="7689" width="15.7109375" style="119" bestFit="1" customWidth="1"/>
    <col min="7690" max="7917" width="11.42578125" style="119"/>
    <col min="7918" max="7919" width="3.42578125" style="119" customWidth="1"/>
    <col min="7920" max="7920" width="5.140625" style="119" customWidth="1"/>
    <col min="7921" max="7921" width="11.28515625" style="119" customWidth="1"/>
    <col min="7922" max="7922" width="23.85546875" style="119" customWidth="1"/>
    <col min="7923" max="7923" width="22.42578125" style="119" customWidth="1"/>
    <col min="7924" max="7924" width="97.5703125" style="119" customWidth="1"/>
    <col min="7925" max="7925" width="8.7109375" style="119" customWidth="1"/>
    <col min="7926" max="7926" width="17.42578125" style="119" customWidth="1"/>
    <col min="7927" max="7927" width="20.85546875" style="119" customWidth="1"/>
    <col min="7928" max="7928" width="33.5703125" style="119" customWidth="1"/>
    <col min="7929" max="7929" width="3.28515625" style="119" customWidth="1"/>
    <col min="7930" max="7933" width="0" style="119" hidden="1" customWidth="1"/>
    <col min="7934" max="7934" width="3.7109375" style="119" customWidth="1"/>
    <col min="7935" max="7935" width="18.5703125" style="119" bestFit="1" customWidth="1"/>
    <col min="7936" max="7936" width="24" style="119" customWidth="1"/>
    <col min="7937" max="7937" width="23.28515625" style="119" customWidth="1"/>
    <col min="7938" max="7938" width="13" style="119" bestFit="1" customWidth="1"/>
    <col min="7939" max="7943" width="11.42578125" style="119"/>
    <col min="7944" max="7944" width="34.28515625" style="119" customWidth="1"/>
    <col min="7945" max="7945" width="15.7109375" style="119" bestFit="1" customWidth="1"/>
    <col min="7946" max="8173" width="11.42578125" style="119"/>
    <col min="8174" max="8175" width="3.42578125" style="119" customWidth="1"/>
    <col min="8176" max="8176" width="5.140625" style="119" customWidth="1"/>
    <col min="8177" max="8177" width="11.28515625" style="119" customWidth="1"/>
    <col min="8178" max="8178" width="23.85546875" style="119" customWidth="1"/>
    <col min="8179" max="8179" width="22.42578125" style="119" customWidth="1"/>
    <col min="8180" max="8180" width="97.5703125" style="119" customWidth="1"/>
    <col min="8181" max="8181" width="8.7109375" style="119" customWidth="1"/>
    <col min="8182" max="8182" width="17.42578125" style="119" customWidth="1"/>
    <col min="8183" max="8183" width="20.85546875" style="119" customWidth="1"/>
    <col min="8184" max="8184" width="33.5703125" style="119" customWidth="1"/>
    <col min="8185" max="8185" width="3.28515625" style="119" customWidth="1"/>
    <col min="8186" max="8189" width="0" style="119" hidden="1" customWidth="1"/>
    <col min="8190" max="8190" width="3.7109375" style="119" customWidth="1"/>
    <col min="8191" max="8191" width="18.5703125" style="119" bestFit="1" customWidth="1"/>
    <col min="8192" max="8192" width="24" style="119" customWidth="1"/>
    <col min="8193" max="8193" width="23.28515625" style="119" customWidth="1"/>
    <col min="8194" max="8194" width="13" style="119" bestFit="1" customWidth="1"/>
    <col min="8195" max="8199" width="11.42578125" style="119"/>
    <col min="8200" max="8200" width="34.28515625" style="119" customWidth="1"/>
    <col min="8201" max="8201" width="15.7109375" style="119" bestFit="1" customWidth="1"/>
    <col min="8202" max="8429" width="11.42578125" style="119"/>
    <col min="8430" max="8431" width="3.42578125" style="119" customWidth="1"/>
    <col min="8432" max="8432" width="5.140625" style="119" customWidth="1"/>
    <col min="8433" max="8433" width="11.28515625" style="119" customWidth="1"/>
    <col min="8434" max="8434" width="23.85546875" style="119" customWidth="1"/>
    <col min="8435" max="8435" width="22.42578125" style="119" customWidth="1"/>
    <col min="8436" max="8436" width="97.5703125" style="119" customWidth="1"/>
    <col min="8437" max="8437" width="8.7109375" style="119" customWidth="1"/>
    <col min="8438" max="8438" width="17.42578125" style="119" customWidth="1"/>
    <col min="8439" max="8439" width="20.85546875" style="119" customWidth="1"/>
    <col min="8440" max="8440" width="33.5703125" style="119" customWidth="1"/>
    <col min="8441" max="8441" width="3.28515625" style="119" customWidth="1"/>
    <col min="8442" max="8445" width="0" style="119" hidden="1" customWidth="1"/>
    <col min="8446" max="8446" width="3.7109375" style="119" customWidth="1"/>
    <col min="8447" max="8447" width="18.5703125" style="119" bestFit="1" customWidth="1"/>
    <col min="8448" max="8448" width="24" style="119" customWidth="1"/>
    <col min="8449" max="8449" width="23.28515625" style="119" customWidth="1"/>
    <col min="8450" max="8450" width="13" style="119" bestFit="1" customWidth="1"/>
    <col min="8451" max="8455" width="11.42578125" style="119"/>
    <col min="8456" max="8456" width="34.28515625" style="119" customWidth="1"/>
    <col min="8457" max="8457" width="15.7109375" style="119" bestFit="1" customWidth="1"/>
    <col min="8458" max="8685" width="11.42578125" style="119"/>
    <col min="8686" max="8687" width="3.42578125" style="119" customWidth="1"/>
    <col min="8688" max="8688" width="5.140625" style="119" customWidth="1"/>
    <col min="8689" max="8689" width="11.28515625" style="119" customWidth="1"/>
    <col min="8690" max="8690" width="23.85546875" style="119" customWidth="1"/>
    <col min="8691" max="8691" width="22.42578125" style="119" customWidth="1"/>
    <col min="8692" max="8692" width="97.5703125" style="119" customWidth="1"/>
    <col min="8693" max="8693" width="8.7109375" style="119" customWidth="1"/>
    <col min="8694" max="8694" width="17.42578125" style="119" customWidth="1"/>
    <col min="8695" max="8695" width="20.85546875" style="119" customWidth="1"/>
    <col min="8696" max="8696" width="33.5703125" style="119" customWidth="1"/>
    <col min="8697" max="8697" width="3.28515625" style="119" customWidth="1"/>
    <col min="8698" max="8701" width="0" style="119" hidden="1" customWidth="1"/>
    <col min="8702" max="8702" width="3.7109375" style="119" customWidth="1"/>
    <col min="8703" max="8703" width="18.5703125" style="119" bestFit="1" customWidth="1"/>
    <col min="8704" max="8704" width="24" style="119" customWidth="1"/>
    <col min="8705" max="8705" width="23.28515625" style="119" customWidth="1"/>
    <col min="8706" max="8706" width="13" style="119" bestFit="1" customWidth="1"/>
    <col min="8707" max="8711" width="11.42578125" style="119"/>
    <col min="8712" max="8712" width="34.28515625" style="119" customWidth="1"/>
    <col min="8713" max="8713" width="15.7109375" style="119" bestFit="1" customWidth="1"/>
    <col min="8714" max="8941" width="11.42578125" style="119"/>
    <col min="8942" max="8943" width="3.42578125" style="119" customWidth="1"/>
    <col min="8944" max="8944" width="5.140625" style="119" customWidth="1"/>
    <col min="8945" max="8945" width="11.28515625" style="119" customWidth="1"/>
    <col min="8946" max="8946" width="23.85546875" style="119" customWidth="1"/>
    <col min="8947" max="8947" width="22.42578125" style="119" customWidth="1"/>
    <col min="8948" max="8948" width="97.5703125" style="119" customWidth="1"/>
    <col min="8949" max="8949" width="8.7109375" style="119" customWidth="1"/>
    <col min="8950" max="8950" width="17.42578125" style="119" customWidth="1"/>
    <col min="8951" max="8951" width="20.85546875" style="119" customWidth="1"/>
    <col min="8952" max="8952" width="33.5703125" style="119" customWidth="1"/>
    <col min="8953" max="8953" width="3.28515625" style="119" customWidth="1"/>
    <col min="8954" max="8957" width="0" style="119" hidden="1" customWidth="1"/>
    <col min="8958" max="8958" width="3.7109375" style="119" customWidth="1"/>
    <col min="8959" max="8959" width="18.5703125" style="119" bestFit="1" customWidth="1"/>
    <col min="8960" max="8960" width="24" style="119" customWidth="1"/>
    <col min="8961" max="8961" width="23.28515625" style="119" customWidth="1"/>
    <col min="8962" max="8962" width="13" style="119" bestFit="1" customWidth="1"/>
    <col min="8963" max="8967" width="11.42578125" style="119"/>
    <col min="8968" max="8968" width="34.28515625" style="119" customWidth="1"/>
    <col min="8969" max="8969" width="15.7109375" style="119" bestFit="1" customWidth="1"/>
    <col min="8970" max="9197" width="11.42578125" style="119"/>
    <col min="9198" max="9199" width="3.42578125" style="119" customWidth="1"/>
    <col min="9200" max="9200" width="5.140625" style="119" customWidth="1"/>
    <col min="9201" max="9201" width="11.28515625" style="119" customWidth="1"/>
    <col min="9202" max="9202" width="23.85546875" style="119" customWidth="1"/>
    <col min="9203" max="9203" width="22.42578125" style="119" customWidth="1"/>
    <col min="9204" max="9204" width="97.5703125" style="119" customWidth="1"/>
    <col min="9205" max="9205" width="8.7109375" style="119" customWidth="1"/>
    <col min="9206" max="9206" width="17.42578125" style="119" customWidth="1"/>
    <col min="9207" max="9207" width="20.85546875" style="119" customWidth="1"/>
    <col min="9208" max="9208" width="33.5703125" style="119" customWidth="1"/>
    <col min="9209" max="9209" width="3.28515625" style="119" customWidth="1"/>
    <col min="9210" max="9213" width="0" style="119" hidden="1" customWidth="1"/>
    <col min="9214" max="9214" width="3.7109375" style="119" customWidth="1"/>
    <col min="9215" max="9215" width="18.5703125" style="119" bestFit="1" customWidth="1"/>
    <col min="9216" max="9216" width="24" style="119" customWidth="1"/>
    <col min="9217" max="9217" width="23.28515625" style="119" customWidth="1"/>
    <col min="9218" max="9218" width="13" style="119" bestFit="1" customWidth="1"/>
    <col min="9219" max="9223" width="11.42578125" style="119"/>
    <col min="9224" max="9224" width="34.28515625" style="119" customWidth="1"/>
    <col min="9225" max="9225" width="15.7109375" style="119" bestFit="1" customWidth="1"/>
    <col min="9226" max="9453" width="11.42578125" style="119"/>
    <col min="9454" max="9455" width="3.42578125" style="119" customWidth="1"/>
    <col min="9456" max="9456" width="5.140625" style="119" customWidth="1"/>
    <col min="9457" max="9457" width="11.28515625" style="119" customWidth="1"/>
    <col min="9458" max="9458" width="23.85546875" style="119" customWidth="1"/>
    <col min="9459" max="9459" width="22.42578125" style="119" customWidth="1"/>
    <col min="9460" max="9460" width="97.5703125" style="119" customWidth="1"/>
    <col min="9461" max="9461" width="8.7109375" style="119" customWidth="1"/>
    <col min="9462" max="9462" width="17.42578125" style="119" customWidth="1"/>
    <col min="9463" max="9463" width="20.85546875" style="119" customWidth="1"/>
    <col min="9464" max="9464" width="33.5703125" style="119" customWidth="1"/>
    <col min="9465" max="9465" width="3.28515625" style="119" customWidth="1"/>
    <col min="9466" max="9469" width="0" style="119" hidden="1" customWidth="1"/>
    <col min="9470" max="9470" width="3.7109375" style="119" customWidth="1"/>
    <col min="9471" max="9471" width="18.5703125" style="119" bestFit="1" customWidth="1"/>
    <col min="9472" max="9472" width="24" style="119" customWidth="1"/>
    <col min="9473" max="9473" width="23.28515625" style="119" customWidth="1"/>
    <col min="9474" max="9474" width="13" style="119" bestFit="1" customWidth="1"/>
    <col min="9475" max="9479" width="11.42578125" style="119"/>
    <col min="9480" max="9480" width="34.28515625" style="119" customWidth="1"/>
    <col min="9481" max="9481" width="15.7109375" style="119" bestFit="1" customWidth="1"/>
    <col min="9482" max="9709" width="11.42578125" style="119"/>
    <col min="9710" max="9711" width="3.42578125" style="119" customWidth="1"/>
    <col min="9712" max="9712" width="5.140625" style="119" customWidth="1"/>
    <col min="9713" max="9713" width="11.28515625" style="119" customWidth="1"/>
    <col min="9714" max="9714" width="23.85546875" style="119" customWidth="1"/>
    <col min="9715" max="9715" width="22.42578125" style="119" customWidth="1"/>
    <col min="9716" max="9716" width="97.5703125" style="119" customWidth="1"/>
    <col min="9717" max="9717" width="8.7109375" style="119" customWidth="1"/>
    <col min="9718" max="9718" width="17.42578125" style="119" customWidth="1"/>
    <col min="9719" max="9719" width="20.85546875" style="119" customWidth="1"/>
    <col min="9720" max="9720" width="33.5703125" style="119" customWidth="1"/>
    <col min="9721" max="9721" width="3.28515625" style="119" customWidth="1"/>
    <col min="9722" max="9725" width="0" style="119" hidden="1" customWidth="1"/>
    <col min="9726" max="9726" width="3.7109375" style="119" customWidth="1"/>
    <col min="9727" max="9727" width="18.5703125" style="119" bestFit="1" customWidth="1"/>
    <col min="9728" max="9728" width="24" style="119" customWidth="1"/>
    <col min="9729" max="9729" width="23.28515625" style="119" customWidth="1"/>
    <col min="9730" max="9730" width="13" style="119" bestFit="1" customWidth="1"/>
    <col min="9731" max="9735" width="11.42578125" style="119"/>
    <col min="9736" max="9736" width="34.28515625" style="119" customWidth="1"/>
    <col min="9737" max="9737" width="15.7109375" style="119" bestFit="1" customWidth="1"/>
    <col min="9738" max="9965" width="11.42578125" style="119"/>
    <col min="9966" max="9967" width="3.42578125" style="119" customWidth="1"/>
    <col min="9968" max="9968" width="5.140625" style="119" customWidth="1"/>
    <col min="9969" max="9969" width="11.28515625" style="119" customWidth="1"/>
    <col min="9970" max="9970" width="23.85546875" style="119" customWidth="1"/>
    <col min="9971" max="9971" width="22.42578125" style="119" customWidth="1"/>
    <col min="9972" max="9972" width="97.5703125" style="119" customWidth="1"/>
    <col min="9973" max="9973" width="8.7109375" style="119" customWidth="1"/>
    <col min="9974" max="9974" width="17.42578125" style="119" customWidth="1"/>
    <col min="9975" max="9975" width="20.85546875" style="119" customWidth="1"/>
    <col min="9976" max="9976" width="33.5703125" style="119" customWidth="1"/>
    <col min="9977" max="9977" width="3.28515625" style="119" customWidth="1"/>
    <col min="9978" max="9981" width="0" style="119" hidden="1" customWidth="1"/>
    <col min="9982" max="9982" width="3.7109375" style="119" customWidth="1"/>
    <col min="9983" max="9983" width="18.5703125" style="119" bestFit="1" customWidth="1"/>
    <col min="9984" max="9984" width="24" style="119" customWidth="1"/>
    <col min="9985" max="9985" width="23.28515625" style="119" customWidth="1"/>
    <col min="9986" max="9986" width="13" style="119" bestFit="1" customWidth="1"/>
    <col min="9987" max="9991" width="11.42578125" style="119"/>
    <col min="9992" max="9992" width="34.28515625" style="119" customWidth="1"/>
    <col min="9993" max="9993" width="15.7109375" style="119" bestFit="1" customWidth="1"/>
    <col min="9994" max="10221" width="11.42578125" style="119"/>
    <col min="10222" max="10223" width="3.42578125" style="119" customWidth="1"/>
    <col min="10224" max="10224" width="5.140625" style="119" customWidth="1"/>
    <col min="10225" max="10225" width="11.28515625" style="119" customWidth="1"/>
    <col min="10226" max="10226" width="23.85546875" style="119" customWidth="1"/>
    <col min="10227" max="10227" width="22.42578125" style="119" customWidth="1"/>
    <col min="10228" max="10228" width="97.5703125" style="119" customWidth="1"/>
    <col min="10229" max="10229" width="8.7109375" style="119" customWidth="1"/>
    <col min="10230" max="10230" width="17.42578125" style="119" customWidth="1"/>
    <col min="10231" max="10231" width="20.85546875" style="119" customWidth="1"/>
    <col min="10232" max="10232" width="33.5703125" style="119" customWidth="1"/>
    <col min="10233" max="10233" width="3.28515625" style="119" customWidth="1"/>
    <col min="10234" max="10237" width="0" style="119" hidden="1" customWidth="1"/>
    <col min="10238" max="10238" width="3.7109375" style="119" customWidth="1"/>
    <col min="10239" max="10239" width="18.5703125" style="119" bestFit="1" customWidth="1"/>
    <col min="10240" max="10240" width="24" style="119" customWidth="1"/>
    <col min="10241" max="10241" width="23.28515625" style="119" customWidth="1"/>
    <col min="10242" max="10242" width="13" style="119" bestFit="1" customWidth="1"/>
    <col min="10243" max="10247" width="11.42578125" style="119"/>
    <col min="10248" max="10248" width="34.28515625" style="119" customWidth="1"/>
    <col min="10249" max="10249" width="15.7109375" style="119" bestFit="1" customWidth="1"/>
    <col min="10250" max="10477" width="11.42578125" style="119"/>
    <col min="10478" max="10479" width="3.42578125" style="119" customWidth="1"/>
    <col min="10480" max="10480" width="5.140625" style="119" customWidth="1"/>
    <col min="10481" max="10481" width="11.28515625" style="119" customWidth="1"/>
    <col min="10482" max="10482" width="23.85546875" style="119" customWidth="1"/>
    <col min="10483" max="10483" width="22.42578125" style="119" customWidth="1"/>
    <col min="10484" max="10484" width="97.5703125" style="119" customWidth="1"/>
    <col min="10485" max="10485" width="8.7109375" style="119" customWidth="1"/>
    <col min="10486" max="10486" width="17.42578125" style="119" customWidth="1"/>
    <col min="10487" max="10487" width="20.85546875" style="119" customWidth="1"/>
    <col min="10488" max="10488" width="33.5703125" style="119" customWidth="1"/>
    <col min="10489" max="10489" width="3.28515625" style="119" customWidth="1"/>
    <col min="10490" max="10493" width="0" style="119" hidden="1" customWidth="1"/>
    <col min="10494" max="10494" width="3.7109375" style="119" customWidth="1"/>
    <col min="10495" max="10495" width="18.5703125" style="119" bestFit="1" customWidth="1"/>
    <col min="10496" max="10496" width="24" style="119" customWidth="1"/>
    <col min="10497" max="10497" width="23.28515625" style="119" customWidth="1"/>
    <col min="10498" max="10498" width="13" style="119" bestFit="1" customWidth="1"/>
    <col min="10499" max="10503" width="11.42578125" style="119"/>
    <col min="10504" max="10504" width="34.28515625" style="119" customWidth="1"/>
    <col min="10505" max="10505" width="15.7109375" style="119" bestFit="1" customWidth="1"/>
    <col min="10506" max="10733" width="11.42578125" style="119"/>
    <col min="10734" max="10735" width="3.42578125" style="119" customWidth="1"/>
    <col min="10736" max="10736" width="5.140625" style="119" customWidth="1"/>
    <col min="10737" max="10737" width="11.28515625" style="119" customWidth="1"/>
    <col min="10738" max="10738" width="23.85546875" style="119" customWidth="1"/>
    <col min="10739" max="10739" width="22.42578125" style="119" customWidth="1"/>
    <col min="10740" max="10740" width="97.5703125" style="119" customWidth="1"/>
    <col min="10741" max="10741" width="8.7109375" style="119" customWidth="1"/>
    <col min="10742" max="10742" width="17.42578125" style="119" customWidth="1"/>
    <col min="10743" max="10743" width="20.85546875" style="119" customWidth="1"/>
    <col min="10744" max="10744" width="33.5703125" style="119" customWidth="1"/>
    <col min="10745" max="10745" width="3.28515625" style="119" customWidth="1"/>
    <col min="10746" max="10749" width="0" style="119" hidden="1" customWidth="1"/>
    <col min="10750" max="10750" width="3.7109375" style="119" customWidth="1"/>
    <col min="10751" max="10751" width="18.5703125" style="119" bestFit="1" customWidth="1"/>
    <col min="10752" max="10752" width="24" style="119" customWidth="1"/>
    <col min="10753" max="10753" width="23.28515625" style="119" customWidth="1"/>
    <col min="10754" max="10754" width="13" style="119" bestFit="1" customWidth="1"/>
    <col min="10755" max="10759" width="11.42578125" style="119"/>
    <col min="10760" max="10760" width="34.28515625" style="119" customWidth="1"/>
    <col min="10761" max="10761" width="15.7109375" style="119" bestFit="1" customWidth="1"/>
    <col min="10762" max="10989" width="11.42578125" style="119"/>
    <col min="10990" max="10991" width="3.42578125" style="119" customWidth="1"/>
    <col min="10992" max="10992" width="5.140625" style="119" customWidth="1"/>
    <col min="10993" max="10993" width="11.28515625" style="119" customWidth="1"/>
    <col min="10994" max="10994" width="23.85546875" style="119" customWidth="1"/>
    <col min="10995" max="10995" width="22.42578125" style="119" customWidth="1"/>
    <col min="10996" max="10996" width="97.5703125" style="119" customWidth="1"/>
    <col min="10997" max="10997" width="8.7109375" style="119" customWidth="1"/>
    <col min="10998" max="10998" width="17.42578125" style="119" customWidth="1"/>
    <col min="10999" max="10999" width="20.85546875" style="119" customWidth="1"/>
    <col min="11000" max="11000" width="33.5703125" style="119" customWidth="1"/>
    <col min="11001" max="11001" width="3.28515625" style="119" customWidth="1"/>
    <col min="11002" max="11005" width="0" style="119" hidden="1" customWidth="1"/>
    <col min="11006" max="11006" width="3.7109375" style="119" customWidth="1"/>
    <col min="11007" max="11007" width="18.5703125" style="119" bestFit="1" customWidth="1"/>
    <col min="11008" max="11008" width="24" style="119" customWidth="1"/>
    <col min="11009" max="11009" width="23.28515625" style="119" customWidth="1"/>
    <col min="11010" max="11010" width="13" style="119" bestFit="1" customWidth="1"/>
    <col min="11011" max="11015" width="11.42578125" style="119"/>
    <col min="11016" max="11016" width="34.28515625" style="119" customWidth="1"/>
    <col min="11017" max="11017" width="15.7109375" style="119" bestFit="1" customWidth="1"/>
    <col min="11018" max="11245" width="11.42578125" style="119"/>
    <col min="11246" max="11247" width="3.42578125" style="119" customWidth="1"/>
    <col min="11248" max="11248" width="5.140625" style="119" customWidth="1"/>
    <col min="11249" max="11249" width="11.28515625" style="119" customWidth="1"/>
    <col min="11250" max="11250" width="23.85546875" style="119" customWidth="1"/>
    <col min="11251" max="11251" width="22.42578125" style="119" customWidth="1"/>
    <col min="11252" max="11252" width="97.5703125" style="119" customWidth="1"/>
    <col min="11253" max="11253" width="8.7109375" style="119" customWidth="1"/>
    <col min="11254" max="11254" width="17.42578125" style="119" customWidth="1"/>
    <col min="11255" max="11255" width="20.85546875" style="119" customWidth="1"/>
    <col min="11256" max="11256" width="33.5703125" style="119" customWidth="1"/>
    <col min="11257" max="11257" width="3.28515625" style="119" customWidth="1"/>
    <col min="11258" max="11261" width="0" style="119" hidden="1" customWidth="1"/>
    <col min="11262" max="11262" width="3.7109375" style="119" customWidth="1"/>
    <col min="11263" max="11263" width="18.5703125" style="119" bestFit="1" customWidth="1"/>
    <col min="11264" max="11264" width="24" style="119" customWidth="1"/>
    <col min="11265" max="11265" width="23.28515625" style="119" customWidth="1"/>
    <col min="11266" max="11266" width="13" style="119" bestFit="1" customWidth="1"/>
    <col min="11267" max="11271" width="11.42578125" style="119"/>
    <col min="11272" max="11272" width="34.28515625" style="119" customWidth="1"/>
    <col min="11273" max="11273" width="15.7109375" style="119" bestFit="1" customWidth="1"/>
    <col min="11274" max="11501" width="11.42578125" style="119"/>
    <col min="11502" max="11503" width="3.42578125" style="119" customWidth="1"/>
    <col min="11504" max="11504" width="5.140625" style="119" customWidth="1"/>
    <col min="11505" max="11505" width="11.28515625" style="119" customWidth="1"/>
    <col min="11506" max="11506" width="23.85546875" style="119" customWidth="1"/>
    <col min="11507" max="11507" width="22.42578125" style="119" customWidth="1"/>
    <col min="11508" max="11508" width="97.5703125" style="119" customWidth="1"/>
    <col min="11509" max="11509" width="8.7109375" style="119" customWidth="1"/>
    <col min="11510" max="11510" width="17.42578125" style="119" customWidth="1"/>
    <col min="11511" max="11511" width="20.85546875" style="119" customWidth="1"/>
    <col min="11512" max="11512" width="33.5703125" style="119" customWidth="1"/>
    <col min="11513" max="11513" width="3.28515625" style="119" customWidth="1"/>
    <col min="11514" max="11517" width="0" style="119" hidden="1" customWidth="1"/>
    <col min="11518" max="11518" width="3.7109375" style="119" customWidth="1"/>
    <col min="11519" max="11519" width="18.5703125" style="119" bestFit="1" customWidth="1"/>
    <col min="11520" max="11520" width="24" style="119" customWidth="1"/>
    <col min="11521" max="11521" width="23.28515625" style="119" customWidth="1"/>
    <col min="11522" max="11522" width="13" style="119" bestFit="1" customWidth="1"/>
    <col min="11523" max="11527" width="11.42578125" style="119"/>
    <col min="11528" max="11528" width="34.28515625" style="119" customWidth="1"/>
    <col min="11529" max="11529" width="15.7109375" style="119" bestFit="1" customWidth="1"/>
    <col min="11530" max="11757" width="11.42578125" style="119"/>
    <col min="11758" max="11759" width="3.42578125" style="119" customWidth="1"/>
    <col min="11760" max="11760" width="5.140625" style="119" customWidth="1"/>
    <col min="11761" max="11761" width="11.28515625" style="119" customWidth="1"/>
    <col min="11762" max="11762" width="23.85546875" style="119" customWidth="1"/>
    <col min="11763" max="11763" width="22.42578125" style="119" customWidth="1"/>
    <col min="11764" max="11764" width="97.5703125" style="119" customWidth="1"/>
    <col min="11765" max="11765" width="8.7109375" style="119" customWidth="1"/>
    <col min="11766" max="11766" width="17.42578125" style="119" customWidth="1"/>
    <col min="11767" max="11767" width="20.85546875" style="119" customWidth="1"/>
    <col min="11768" max="11768" width="33.5703125" style="119" customWidth="1"/>
    <col min="11769" max="11769" width="3.28515625" style="119" customWidth="1"/>
    <col min="11770" max="11773" width="0" style="119" hidden="1" customWidth="1"/>
    <col min="11774" max="11774" width="3.7109375" style="119" customWidth="1"/>
    <col min="11775" max="11775" width="18.5703125" style="119" bestFit="1" customWidth="1"/>
    <col min="11776" max="11776" width="24" style="119" customWidth="1"/>
    <col min="11777" max="11777" width="23.28515625" style="119" customWidth="1"/>
    <col min="11778" max="11778" width="13" style="119" bestFit="1" customWidth="1"/>
    <col min="11779" max="11783" width="11.42578125" style="119"/>
    <col min="11784" max="11784" width="34.28515625" style="119" customWidth="1"/>
    <col min="11785" max="11785" width="15.7109375" style="119" bestFit="1" customWidth="1"/>
    <col min="11786" max="12013" width="11.42578125" style="119"/>
    <col min="12014" max="12015" width="3.42578125" style="119" customWidth="1"/>
    <col min="12016" max="12016" width="5.140625" style="119" customWidth="1"/>
    <col min="12017" max="12017" width="11.28515625" style="119" customWidth="1"/>
    <col min="12018" max="12018" width="23.85546875" style="119" customWidth="1"/>
    <col min="12019" max="12019" width="22.42578125" style="119" customWidth="1"/>
    <col min="12020" max="12020" width="97.5703125" style="119" customWidth="1"/>
    <col min="12021" max="12021" width="8.7109375" style="119" customWidth="1"/>
    <col min="12022" max="12022" width="17.42578125" style="119" customWidth="1"/>
    <col min="12023" max="12023" width="20.85546875" style="119" customWidth="1"/>
    <col min="12024" max="12024" width="33.5703125" style="119" customWidth="1"/>
    <col min="12025" max="12025" width="3.28515625" style="119" customWidth="1"/>
    <col min="12026" max="12029" width="0" style="119" hidden="1" customWidth="1"/>
    <col min="12030" max="12030" width="3.7109375" style="119" customWidth="1"/>
    <col min="12031" max="12031" width="18.5703125" style="119" bestFit="1" customWidth="1"/>
    <col min="12032" max="12032" width="24" style="119" customWidth="1"/>
    <col min="12033" max="12033" width="23.28515625" style="119" customWidth="1"/>
    <col min="12034" max="12034" width="13" style="119" bestFit="1" customWidth="1"/>
    <col min="12035" max="12039" width="11.42578125" style="119"/>
    <col min="12040" max="12040" width="34.28515625" style="119" customWidth="1"/>
    <col min="12041" max="12041" width="15.7109375" style="119" bestFit="1" customWidth="1"/>
    <col min="12042" max="12269" width="11.42578125" style="119"/>
    <col min="12270" max="12271" width="3.42578125" style="119" customWidth="1"/>
    <col min="12272" max="12272" width="5.140625" style="119" customWidth="1"/>
    <col min="12273" max="12273" width="11.28515625" style="119" customWidth="1"/>
    <col min="12274" max="12274" width="23.85546875" style="119" customWidth="1"/>
    <col min="12275" max="12275" width="22.42578125" style="119" customWidth="1"/>
    <col min="12276" max="12276" width="97.5703125" style="119" customWidth="1"/>
    <col min="12277" max="12277" width="8.7109375" style="119" customWidth="1"/>
    <col min="12278" max="12278" width="17.42578125" style="119" customWidth="1"/>
    <col min="12279" max="12279" width="20.85546875" style="119" customWidth="1"/>
    <col min="12280" max="12280" width="33.5703125" style="119" customWidth="1"/>
    <col min="12281" max="12281" width="3.28515625" style="119" customWidth="1"/>
    <col min="12282" max="12285" width="0" style="119" hidden="1" customWidth="1"/>
    <col min="12286" max="12286" width="3.7109375" style="119" customWidth="1"/>
    <col min="12287" max="12287" width="18.5703125" style="119" bestFit="1" customWidth="1"/>
    <col min="12288" max="12288" width="24" style="119" customWidth="1"/>
    <col min="12289" max="12289" width="23.28515625" style="119" customWidth="1"/>
    <col min="12290" max="12290" width="13" style="119" bestFit="1" customWidth="1"/>
    <col min="12291" max="12295" width="11.42578125" style="119"/>
    <col min="12296" max="12296" width="34.28515625" style="119" customWidth="1"/>
    <col min="12297" max="12297" width="15.7109375" style="119" bestFit="1" customWidth="1"/>
    <col min="12298" max="12525" width="11.42578125" style="119"/>
    <col min="12526" max="12527" width="3.42578125" style="119" customWidth="1"/>
    <col min="12528" max="12528" width="5.140625" style="119" customWidth="1"/>
    <col min="12529" max="12529" width="11.28515625" style="119" customWidth="1"/>
    <col min="12530" max="12530" width="23.85546875" style="119" customWidth="1"/>
    <col min="12531" max="12531" width="22.42578125" style="119" customWidth="1"/>
    <col min="12532" max="12532" width="97.5703125" style="119" customWidth="1"/>
    <col min="12533" max="12533" width="8.7109375" style="119" customWidth="1"/>
    <col min="12534" max="12534" width="17.42578125" style="119" customWidth="1"/>
    <col min="12535" max="12535" width="20.85546875" style="119" customWidth="1"/>
    <col min="12536" max="12536" width="33.5703125" style="119" customWidth="1"/>
    <col min="12537" max="12537" width="3.28515625" style="119" customWidth="1"/>
    <col min="12538" max="12541" width="0" style="119" hidden="1" customWidth="1"/>
    <col min="12542" max="12542" width="3.7109375" style="119" customWidth="1"/>
    <col min="12543" max="12543" width="18.5703125" style="119" bestFit="1" customWidth="1"/>
    <col min="12544" max="12544" width="24" style="119" customWidth="1"/>
    <col min="12545" max="12545" width="23.28515625" style="119" customWidth="1"/>
    <col min="12546" max="12546" width="13" style="119" bestFit="1" customWidth="1"/>
    <col min="12547" max="12551" width="11.42578125" style="119"/>
    <col min="12552" max="12552" width="34.28515625" style="119" customWidth="1"/>
    <col min="12553" max="12553" width="15.7109375" style="119" bestFit="1" customWidth="1"/>
    <col min="12554" max="12781" width="11.42578125" style="119"/>
    <col min="12782" max="12783" width="3.42578125" style="119" customWidth="1"/>
    <col min="12784" max="12784" width="5.140625" style="119" customWidth="1"/>
    <col min="12785" max="12785" width="11.28515625" style="119" customWidth="1"/>
    <col min="12786" max="12786" width="23.85546875" style="119" customWidth="1"/>
    <col min="12787" max="12787" width="22.42578125" style="119" customWidth="1"/>
    <col min="12788" max="12788" width="97.5703125" style="119" customWidth="1"/>
    <col min="12789" max="12789" width="8.7109375" style="119" customWidth="1"/>
    <col min="12790" max="12790" width="17.42578125" style="119" customWidth="1"/>
    <col min="12791" max="12791" width="20.85546875" style="119" customWidth="1"/>
    <col min="12792" max="12792" width="33.5703125" style="119" customWidth="1"/>
    <col min="12793" max="12793" width="3.28515625" style="119" customWidth="1"/>
    <col min="12794" max="12797" width="0" style="119" hidden="1" customWidth="1"/>
    <col min="12798" max="12798" width="3.7109375" style="119" customWidth="1"/>
    <col min="12799" max="12799" width="18.5703125" style="119" bestFit="1" customWidth="1"/>
    <col min="12800" max="12800" width="24" style="119" customWidth="1"/>
    <col min="12801" max="12801" width="23.28515625" style="119" customWidth="1"/>
    <col min="12802" max="12802" width="13" style="119" bestFit="1" customWidth="1"/>
    <col min="12803" max="12807" width="11.42578125" style="119"/>
    <col min="12808" max="12808" width="34.28515625" style="119" customWidth="1"/>
    <col min="12809" max="12809" width="15.7109375" style="119" bestFit="1" customWidth="1"/>
    <col min="12810" max="13037" width="11.42578125" style="119"/>
    <col min="13038" max="13039" width="3.42578125" style="119" customWidth="1"/>
    <col min="13040" max="13040" width="5.140625" style="119" customWidth="1"/>
    <col min="13041" max="13041" width="11.28515625" style="119" customWidth="1"/>
    <col min="13042" max="13042" width="23.85546875" style="119" customWidth="1"/>
    <col min="13043" max="13043" width="22.42578125" style="119" customWidth="1"/>
    <col min="13044" max="13044" width="97.5703125" style="119" customWidth="1"/>
    <col min="13045" max="13045" width="8.7109375" style="119" customWidth="1"/>
    <col min="13046" max="13046" width="17.42578125" style="119" customWidth="1"/>
    <col min="13047" max="13047" width="20.85546875" style="119" customWidth="1"/>
    <col min="13048" max="13048" width="33.5703125" style="119" customWidth="1"/>
    <col min="13049" max="13049" width="3.28515625" style="119" customWidth="1"/>
    <col min="13050" max="13053" width="0" style="119" hidden="1" customWidth="1"/>
    <col min="13054" max="13054" width="3.7109375" style="119" customWidth="1"/>
    <col min="13055" max="13055" width="18.5703125" style="119" bestFit="1" customWidth="1"/>
    <col min="13056" max="13056" width="24" style="119" customWidth="1"/>
    <col min="13057" max="13057" width="23.28515625" style="119" customWidth="1"/>
    <col min="13058" max="13058" width="13" style="119" bestFit="1" customWidth="1"/>
    <col min="13059" max="13063" width="11.42578125" style="119"/>
    <col min="13064" max="13064" width="34.28515625" style="119" customWidth="1"/>
    <col min="13065" max="13065" width="15.7109375" style="119" bestFit="1" customWidth="1"/>
    <col min="13066" max="13293" width="11.42578125" style="119"/>
    <col min="13294" max="13295" width="3.42578125" style="119" customWidth="1"/>
    <col min="13296" max="13296" width="5.140625" style="119" customWidth="1"/>
    <col min="13297" max="13297" width="11.28515625" style="119" customWidth="1"/>
    <col min="13298" max="13298" width="23.85546875" style="119" customWidth="1"/>
    <col min="13299" max="13299" width="22.42578125" style="119" customWidth="1"/>
    <col min="13300" max="13300" width="97.5703125" style="119" customWidth="1"/>
    <col min="13301" max="13301" width="8.7109375" style="119" customWidth="1"/>
    <col min="13302" max="13302" width="17.42578125" style="119" customWidth="1"/>
    <col min="13303" max="13303" width="20.85546875" style="119" customWidth="1"/>
    <col min="13304" max="13304" width="33.5703125" style="119" customWidth="1"/>
    <col min="13305" max="13305" width="3.28515625" style="119" customWidth="1"/>
    <col min="13306" max="13309" width="0" style="119" hidden="1" customWidth="1"/>
    <col min="13310" max="13310" width="3.7109375" style="119" customWidth="1"/>
    <col min="13311" max="13311" width="18.5703125" style="119" bestFit="1" customWidth="1"/>
    <col min="13312" max="13312" width="24" style="119" customWidth="1"/>
    <col min="13313" max="13313" width="23.28515625" style="119" customWidth="1"/>
    <col min="13314" max="13314" width="13" style="119" bestFit="1" customWidth="1"/>
    <col min="13315" max="13319" width="11.42578125" style="119"/>
    <col min="13320" max="13320" width="34.28515625" style="119" customWidth="1"/>
    <col min="13321" max="13321" width="15.7109375" style="119" bestFit="1" customWidth="1"/>
    <col min="13322" max="13549" width="11.42578125" style="119"/>
    <col min="13550" max="13551" width="3.42578125" style="119" customWidth="1"/>
    <col min="13552" max="13552" width="5.140625" style="119" customWidth="1"/>
    <col min="13553" max="13553" width="11.28515625" style="119" customWidth="1"/>
    <col min="13554" max="13554" width="23.85546875" style="119" customWidth="1"/>
    <col min="13555" max="13555" width="22.42578125" style="119" customWidth="1"/>
    <col min="13556" max="13556" width="97.5703125" style="119" customWidth="1"/>
    <col min="13557" max="13557" width="8.7109375" style="119" customWidth="1"/>
    <col min="13558" max="13558" width="17.42578125" style="119" customWidth="1"/>
    <col min="13559" max="13559" width="20.85546875" style="119" customWidth="1"/>
    <col min="13560" max="13560" width="33.5703125" style="119" customWidth="1"/>
    <col min="13561" max="13561" width="3.28515625" style="119" customWidth="1"/>
    <col min="13562" max="13565" width="0" style="119" hidden="1" customWidth="1"/>
    <col min="13566" max="13566" width="3.7109375" style="119" customWidth="1"/>
    <col min="13567" max="13567" width="18.5703125" style="119" bestFit="1" customWidth="1"/>
    <col min="13568" max="13568" width="24" style="119" customWidth="1"/>
    <col min="13569" max="13569" width="23.28515625" style="119" customWidth="1"/>
    <col min="13570" max="13570" width="13" style="119" bestFit="1" customWidth="1"/>
    <col min="13571" max="13575" width="11.42578125" style="119"/>
    <col min="13576" max="13576" width="34.28515625" style="119" customWidth="1"/>
    <col min="13577" max="13577" width="15.7109375" style="119" bestFit="1" customWidth="1"/>
    <col min="13578" max="13805" width="11.42578125" style="119"/>
    <col min="13806" max="13807" width="3.42578125" style="119" customWidth="1"/>
    <col min="13808" max="13808" width="5.140625" style="119" customWidth="1"/>
    <col min="13809" max="13809" width="11.28515625" style="119" customWidth="1"/>
    <col min="13810" max="13810" width="23.85546875" style="119" customWidth="1"/>
    <col min="13811" max="13811" width="22.42578125" style="119" customWidth="1"/>
    <col min="13812" max="13812" width="97.5703125" style="119" customWidth="1"/>
    <col min="13813" max="13813" width="8.7109375" style="119" customWidth="1"/>
    <col min="13814" max="13814" width="17.42578125" style="119" customWidth="1"/>
    <col min="13815" max="13815" width="20.85546875" style="119" customWidth="1"/>
    <col min="13816" max="13816" width="33.5703125" style="119" customWidth="1"/>
    <col min="13817" max="13817" width="3.28515625" style="119" customWidth="1"/>
    <col min="13818" max="13821" width="0" style="119" hidden="1" customWidth="1"/>
    <col min="13822" max="13822" width="3.7109375" style="119" customWidth="1"/>
    <col min="13823" max="13823" width="18.5703125" style="119" bestFit="1" customWidth="1"/>
    <col min="13824" max="13824" width="24" style="119" customWidth="1"/>
    <col min="13825" max="13825" width="23.28515625" style="119" customWidth="1"/>
    <col min="13826" max="13826" width="13" style="119" bestFit="1" customWidth="1"/>
    <col min="13827" max="13831" width="11.42578125" style="119"/>
    <col min="13832" max="13832" width="34.28515625" style="119" customWidth="1"/>
    <col min="13833" max="13833" width="15.7109375" style="119" bestFit="1" customWidth="1"/>
    <col min="13834" max="14061" width="11.42578125" style="119"/>
    <col min="14062" max="14063" width="3.42578125" style="119" customWidth="1"/>
    <col min="14064" max="14064" width="5.140625" style="119" customWidth="1"/>
    <col min="14065" max="14065" width="11.28515625" style="119" customWidth="1"/>
    <col min="14066" max="14066" width="23.85546875" style="119" customWidth="1"/>
    <col min="14067" max="14067" width="22.42578125" style="119" customWidth="1"/>
    <col min="14068" max="14068" width="97.5703125" style="119" customWidth="1"/>
    <col min="14069" max="14069" width="8.7109375" style="119" customWidth="1"/>
    <col min="14070" max="14070" width="17.42578125" style="119" customWidth="1"/>
    <col min="14071" max="14071" width="20.85546875" style="119" customWidth="1"/>
    <col min="14072" max="14072" width="33.5703125" style="119" customWidth="1"/>
    <col min="14073" max="14073" width="3.28515625" style="119" customWidth="1"/>
    <col min="14074" max="14077" width="0" style="119" hidden="1" customWidth="1"/>
    <col min="14078" max="14078" width="3.7109375" style="119" customWidth="1"/>
    <col min="14079" max="14079" width="18.5703125" style="119" bestFit="1" customWidth="1"/>
    <col min="14080" max="14080" width="24" style="119" customWidth="1"/>
    <col min="14081" max="14081" width="23.28515625" style="119" customWidth="1"/>
    <col min="14082" max="14082" width="13" style="119" bestFit="1" customWidth="1"/>
    <col min="14083" max="14087" width="11.42578125" style="119"/>
    <col min="14088" max="14088" width="34.28515625" style="119" customWidth="1"/>
    <col min="14089" max="14089" width="15.7109375" style="119" bestFit="1" customWidth="1"/>
    <col min="14090" max="14317" width="11.42578125" style="119"/>
    <col min="14318" max="14319" width="3.42578125" style="119" customWidth="1"/>
    <col min="14320" max="14320" width="5.140625" style="119" customWidth="1"/>
    <col min="14321" max="14321" width="11.28515625" style="119" customWidth="1"/>
    <col min="14322" max="14322" width="23.85546875" style="119" customWidth="1"/>
    <col min="14323" max="14323" width="22.42578125" style="119" customWidth="1"/>
    <col min="14324" max="14324" width="97.5703125" style="119" customWidth="1"/>
    <col min="14325" max="14325" width="8.7109375" style="119" customWidth="1"/>
    <col min="14326" max="14326" width="17.42578125" style="119" customWidth="1"/>
    <col min="14327" max="14327" width="20.85546875" style="119" customWidth="1"/>
    <col min="14328" max="14328" width="33.5703125" style="119" customWidth="1"/>
    <col min="14329" max="14329" width="3.28515625" style="119" customWidth="1"/>
    <col min="14330" max="14333" width="0" style="119" hidden="1" customWidth="1"/>
    <col min="14334" max="14334" width="3.7109375" style="119" customWidth="1"/>
    <col min="14335" max="14335" width="18.5703125" style="119" bestFit="1" customWidth="1"/>
    <col min="14336" max="14336" width="24" style="119" customWidth="1"/>
    <col min="14337" max="14337" width="23.28515625" style="119" customWidth="1"/>
    <col min="14338" max="14338" width="13" style="119" bestFit="1" customWidth="1"/>
    <col min="14339" max="14343" width="11.42578125" style="119"/>
    <col min="14344" max="14344" width="34.28515625" style="119" customWidth="1"/>
    <col min="14345" max="14345" width="15.7109375" style="119" bestFit="1" customWidth="1"/>
    <col min="14346" max="14573" width="11.42578125" style="119"/>
    <col min="14574" max="14575" width="3.42578125" style="119" customWidth="1"/>
    <col min="14576" max="14576" width="5.140625" style="119" customWidth="1"/>
    <col min="14577" max="14577" width="11.28515625" style="119" customWidth="1"/>
    <col min="14578" max="14578" width="23.85546875" style="119" customWidth="1"/>
    <col min="14579" max="14579" width="22.42578125" style="119" customWidth="1"/>
    <col min="14580" max="14580" width="97.5703125" style="119" customWidth="1"/>
    <col min="14581" max="14581" width="8.7109375" style="119" customWidth="1"/>
    <col min="14582" max="14582" width="17.42578125" style="119" customWidth="1"/>
    <col min="14583" max="14583" width="20.85546875" style="119" customWidth="1"/>
    <col min="14584" max="14584" width="33.5703125" style="119" customWidth="1"/>
    <col min="14585" max="14585" width="3.28515625" style="119" customWidth="1"/>
    <col min="14586" max="14589" width="0" style="119" hidden="1" customWidth="1"/>
    <col min="14590" max="14590" width="3.7109375" style="119" customWidth="1"/>
    <col min="14591" max="14591" width="18.5703125" style="119" bestFit="1" customWidth="1"/>
    <col min="14592" max="14592" width="24" style="119" customWidth="1"/>
    <col min="14593" max="14593" width="23.28515625" style="119" customWidth="1"/>
    <col min="14594" max="14594" width="13" style="119" bestFit="1" customWidth="1"/>
    <col min="14595" max="14599" width="11.42578125" style="119"/>
    <col min="14600" max="14600" width="34.28515625" style="119" customWidth="1"/>
    <col min="14601" max="14601" width="15.7109375" style="119" bestFit="1" customWidth="1"/>
    <col min="14602" max="14829" width="11.42578125" style="119"/>
    <col min="14830" max="14831" width="3.42578125" style="119" customWidth="1"/>
    <col min="14832" max="14832" width="5.140625" style="119" customWidth="1"/>
    <col min="14833" max="14833" width="11.28515625" style="119" customWidth="1"/>
    <col min="14834" max="14834" width="23.85546875" style="119" customWidth="1"/>
    <col min="14835" max="14835" width="22.42578125" style="119" customWidth="1"/>
    <col min="14836" max="14836" width="97.5703125" style="119" customWidth="1"/>
    <col min="14837" max="14837" width="8.7109375" style="119" customWidth="1"/>
    <col min="14838" max="14838" width="17.42578125" style="119" customWidth="1"/>
    <col min="14839" max="14839" width="20.85546875" style="119" customWidth="1"/>
    <col min="14840" max="14840" width="33.5703125" style="119" customWidth="1"/>
    <col min="14841" max="14841" width="3.28515625" style="119" customWidth="1"/>
    <col min="14842" max="14845" width="0" style="119" hidden="1" customWidth="1"/>
    <col min="14846" max="14846" width="3.7109375" style="119" customWidth="1"/>
    <col min="14847" max="14847" width="18.5703125" style="119" bestFit="1" customWidth="1"/>
    <col min="14848" max="14848" width="24" style="119" customWidth="1"/>
    <col min="14849" max="14849" width="23.28515625" style="119" customWidth="1"/>
    <col min="14850" max="14850" width="13" style="119" bestFit="1" customWidth="1"/>
    <col min="14851" max="14855" width="11.42578125" style="119"/>
    <col min="14856" max="14856" width="34.28515625" style="119" customWidth="1"/>
    <col min="14857" max="14857" width="15.7109375" style="119" bestFit="1" customWidth="1"/>
    <col min="14858" max="15085" width="11.42578125" style="119"/>
    <col min="15086" max="15087" width="3.42578125" style="119" customWidth="1"/>
    <col min="15088" max="15088" width="5.140625" style="119" customWidth="1"/>
    <col min="15089" max="15089" width="11.28515625" style="119" customWidth="1"/>
    <col min="15090" max="15090" width="23.85546875" style="119" customWidth="1"/>
    <col min="15091" max="15091" width="22.42578125" style="119" customWidth="1"/>
    <col min="15092" max="15092" width="97.5703125" style="119" customWidth="1"/>
    <col min="15093" max="15093" width="8.7109375" style="119" customWidth="1"/>
    <col min="15094" max="15094" width="17.42578125" style="119" customWidth="1"/>
    <col min="15095" max="15095" width="20.85546875" style="119" customWidth="1"/>
    <col min="15096" max="15096" width="33.5703125" style="119" customWidth="1"/>
    <col min="15097" max="15097" width="3.28515625" style="119" customWidth="1"/>
    <col min="15098" max="15101" width="0" style="119" hidden="1" customWidth="1"/>
    <col min="15102" max="15102" width="3.7109375" style="119" customWidth="1"/>
    <col min="15103" max="15103" width="18.5703125" style="119" bestFit="1" customWidth="1"/>
    <col min="15104" max="15104" width="24" style="119" customWidth="1"/>
    <col min="15105" max="15105" width="23.28515625" style="119" customWidth="1"/>
    <col min="15106" max="15106" width="13" style="119" bestFit="1" customWidth="1"/>
    <col min="15107" max="15111" width="11.42578125" style="119"/>
    <col min="15112" max="15112" width="34.28515625" style="119" customWidth="1"/>
    <col min="15113" max="15113" width="15.7109375" style="119" bestFit="1" customWidth="1"/>
    <col min="15114" max="15341" width="11.42578125" style="119"/>
    <col min="15342" max="15343" width="3.42578125" style="119" customWidth="1"/>
    <col min="15344" max="15344" width="5.140625" style="119" customWidth="1"/>
    <col min="15345" max="15345" width="11.28515625" style="119" customWidth="1"/>
    <col min="15346" max="15346" width="23.85546875" style="119" customWidth="1"/>
    <col min="15347" max="15347" width="22.42578125" style="119" customWidth="1"/>
    <col min="15348" max="15348" width="97.5703125" style="119" customWidth="1"/>
    <col min="15349" max="15349" width="8.7109375" style="119" customWidth="1"/>
    <col min="15350" max="15350" width="17.42578125" style="119" customWidth="1"/>
    <col min="15351" max="15351" width="20.85546875" style="119" customWidth="1"/>
    <col min="15352" max="15352" width="33.5703125" style="119" customWidth="1"/>
    <col min="15353" max="15353" width="3.28515625" style="119" customWidth="1"/>
    <col min="15354" max="15357" width="0" style="119" hidden="1" customWidth="1"/>
    <col min="15358" max="15358" width="3.7109375" style="119" customWidth="1"/>
    <col min="15359" max="15359" width="18.5703125" style="119" bestFit="1" customWidth="1"/>
    <col min="15360" max="15360" width="24" style="119" customWidth="1"/>
    <col min="15361" max="15361" width="23.28515625" style="119" customWidth="1"/>
    <col min="15362" max="15362" width="13" style="119" bestFit="1" customWidth="1"/>
    <col min="15363" max="15367" width="11.42578125" style="119"/>
    <col min="15368" max="15368" width="34.28515625" style="119" customWidth="1"/>
    <col min="15369" max="15369" width="15.7109375" style="119" bestFit="1" customWidth="1"/>
    <col min="15370" max="15597" width="11.42578125" style="119"/>
    <col min="15598" max="15599" width="3.42578125" style="119" customWidth="1"/>
    <col min="15600" max="15600" width="5.140625" style="119" customWidth="1"/>
    <col min="15601" max="15601" width="11.28515625" style="119" customWidth="1"/>
    <col min="15602" max="15602" width="23.85546875" style="119" customWidth="1"/>
    <col min="15603" max="15603" width="22.42578125" style="119" customWidth="1"/>
    <col min="15604" max="15604" width="97.5703125" style="119" customWidth="1"/>
    <col min="15605" max="15605" width="8.7109375" style="119" customWidth="1"/>
    <col min="15606" max="15606" width="17.42578125" style="119" customWidth="1"/>
    <col min="15607" max="15607" width="20.85546875" style="119" customWidth="1"/>
    <col min="15608" max="15608" width="33.5703125" style="119" customWidth="1"/>
    <col min="15609" max="15609" width="3.28515625" style="119" customWidth="1"/>
    <col min="15610" max="15613" width="0" style="119" hidden="1" customWidth="1"/>
    <col min="15614" max="15614" width="3.7109375" style="119" customWidth="1"/>
    <col min="15615" max="15615" width="18.5703125" style="119" bestFit="1" customWidth="1"/>
    <col min="15616" max="15616" width="24" style="119" customWidth="1"/>
    <col min="15617" max="15617" width="23.28515625" style="119" customWidth="1"/>
    <col min="15618" max="15618" width="13" style="119" bestFit="1" customWidth="1"/>
    <col min="15619" max="15623" width="11.42578125" style="119"/>
    <col min="15624" max="15624" width="34.28515625" style="119" customWidth="1"/>
    <col min="15625" max="15625" width="15.7109375" style="119" bestFit="1" customWidth="1"/>
    <col min="15626" max="15853" width="11.42578125" style="119"/>
    <col min="15854" max="15855" width="3.42578125" style="119" customWidth="1"/>
    <col min="15856" max="15856" width="5.140625" style="119" customWidth="1"/>
    <col min="15857" max="15857" width="11.28515625" style="119" customWidth="1"/>
    <col min="15858" max="15858" width="23.85546875" style="119" customWidth="1"/>
    <col min="15859" max="15859" width="22.42578125" style="119" customWidth="1"/>
    <col min="15860" max="15860" width="97.5703125" style="119" customWidth="1"/>
    <col min="15861" max="15861" width="8.7109375" style="119" customWidth="1"/>
    <col min="15862" max="15862" width="17.42578125" style="119" customWidth="1"/>
    <col min="15863" max="15863" width="20.85546875" style="119" customWidth="1"/>
    <col min="15864" max="15864" width="33.5703125" style="119" customWidth="1"/>
    <col min="15865" max="15865" width="3.28515625" style="119" customWidth="1"/>
    <col min="15866" max="15869" width="0" style="119" hidden="1" customWidth="1"/>
    <col min="15870" max="15870" width="3.7109375" style="119" customWidth="1"/>
    <col min="15871" max="15871" width="18.5703125" style="119" bestFit="1" customWidth="1"/>
    <col min="15872" max="15872" width="24" style="119" customWidth="1"/>
    <col min="15873" max="15873" width="23.28515625" style="119" customWidth="1"/>
    <col min="15874" max="15874" width="13" style="119" bestFit="1" customWidth="1"/>
    <col min="15875" max="15879" width="11.42578125" style="119"/>
    <col min="15880" max="15880" width="34.28515625" style="119" customWidth="1"/>
    <col min="15881" max="15881" width="15.7109375" style="119" bestFit="1" customWidth="1"/>
    <col min="15882" max="16109" width="11.42578125" style="119"/>
    <col min="16110" max="16111" width="3.42578125" style="119" customWidth="1"/>
    <col min="16112" max="16112" width="5.140625" style="119" customWidth="1"/>
    <col min="16113" max="16113" width="11.28515625" style="119" customWidth="1"/>
    <col min="16114" max="16114" width="23.85546875" style="119" customWidth="1"/>
    <col min="16115" max="16115" width="22.42578125" style="119" customWidth="1"/>
    <col min="16116" max="16116" width="97.5703125" style="119" customWidth="1"/>
    <col min="16117" max="16117" width="8.7109375" style="119" customWidth="1"/>
    <col min="16118" max="16118" width="17.42578125" style="119" customWidth="1"/>
    <col min="16119" max="16119" width="20.85546875" style="119" customWidth="1"/>
    <col min="16120" max="16120" width="33.5703125" style="119" customWidth="1"/>
    <col min="16121" max="16121" width="3.28515625" style="119" customWidth="1"/>
    <col min="16122" max="16125" width="0" style="119" hidden="1" customWidth="1"/>
    <col min="16126" max="16126" width="3.7109375" style="119" customWidth="1"/>
    <col min="16127" max="16127" width="18.5703125" style="119" bestFit="1" customWidth="1"/>
    <col min="16128" max="16128" width="24" style="119" customWidth="1"/>
    <col min="16129" max="16129" width="23.28515625" style="119" customWidth="1"/>
    <col min="16130" max="16130" width="13" style="119" bestFit="1" customWidth="1"/>
    <col min="16131" max="16135" width="11.42578125" style="119"/>
    <col min="16136" max="16136" width="34.28515625" style="119" customWidth="1"/>
    <col min="16137" max="16137" width="15.7109375" style="119" bestFit="1" customWidth="1"/>
    <col min="16138" max="16384" width="11.42578125" style="119"/>
  </cols>
  <sheetData>
    <row r="1" spans="1:10" x14ac:dyDescent="0.3">
      <c r="A1" s="122"/>
      <c r="B1" s="123"/>
      <c r="C1" s="124"/>
      <c r="D1" s="124"/>
      <c r="E1" s="124"/>
      <c r="F1" s="124"/>
      <c r="G1" s="124"/>
      <c r="H1" s="125"/>
    </row>
    <row r="2" spans="1:10" s="65" customFormat="1" ht="18.75" customHeight="1" x14ac:dyDescent="0.25">
      <c r="A2" s="66"/>
      <c r="B2" s="126"/>
      <c r="C2" s="497"/>
      <c r="D2" s="497"/>
      <c r="E2" s="497"/>
      <c r="F2" s="497"/>
      <c r="G2" s="497"/>
      <c r="H2" s="67"/>
    </row>
    <row r="3" spans="1:10" s="65" customFormat="1" ht="20.25" customHeight="1" x14ac:dyDescent="0.25">
      <c r="A3" s="66"/>
      <c r="B3" s="498" t="s">
        <v>17</v>
      </c>
      <c r="C3" s="498"/>
      <c r="D3" s="498"/>
      <c r="E3" s="498"/>
      <c r="F3" s="498"/>
      <c r="G3" s="498"/>
      <c r="H3" s="67"/>
    </row>
    <row r="4" spans="1:10" s="65" customFormat="1" ht="20.25" customHeight="1" x14ac:dyDescent="0.25">
      <c r="A4" s="66"/>
      <c r="B4" s="329"/>
      <c r="C4" s="329"/>
      <c r="D4" s="329"/>
      <c r="E4" s="329"/>
      <c r="F4" s="329"/>
      <c r="G4" s="329"/>
      <c r="H4" s="67"/>
    </row>
    <row r="5" spans="1:10" s="65" customFormat="1" x14ac:dyDescent="0.25">
      <c r="A5" s="66"/>
      <c r="B5" s="126"/>
      <c r="C5" s="127"/>
      <c r="D5" s="127"/>
      <c r="E5" s="127"/>
      <c r="F5" s="127"/>
      <c r="G5" s="127"/>
      <c r="H5" s="67"/>
    </row>
    <row r="6" spans="1:10" s="71" customFormat="1" ht="27" customHeight="1" x14ac:dyDescent="0.25">
      <c r="A6" s="68"/>
      <c r="B6" s="499" t="s">
        <v>7</v>
      </c>
      <c r="C6" s="499"/>
      <c r="D6" s="499"/>
      <c r="E6" s="500" t="s">
        <v>158</v>
      </c>
      <c r="F6" s="499"/>
      <c r="G6" s="330">
        <v>3</v>
      </c>
      <c r="H6" s="69"/>
      <c r="I6" s="70"/>
    </row>
    <row r="7" spans="1:10" s="71" customFormat="1" ht="30" customHeight="1" x14ac:dyDescent="0.25">
      <c r="A7" s="68"/>
      <c r="B7" s="72">
        <v>1</v>
      </c>
      <c r="C7" s="73" t="s">
        <v>159</v>
      </c>
      <c r="D7" s="74"/>
      <c r="E7" s="75"/>
      <c r="F7" s="75"/>
      <c r="G7" s="74"/>
      <c r="H7" s="69"/>
      <c r="I7" s="70"/>
    </row>
    <row r="8" spans="1:10" s="71" customFormat="1" ht="60.6" customHeight="1" x14ac:dyDescent="0.25">
      <c r="A8" s="68"/>
      <c r="B8" s="76" t="s">
        <v>160</v>
      </c>
      <c r="C8" s="352" t="s">
        <v>298</v>
      </c>
      <c r="D8" s="77" t="s">
        <v>161</v>
      </c>
      <c r="E8" s="78">
        <v>3</v>
      </c>
      <c r="F8" s="79">
        <f>7029353.6*0.5</f>
        <v>3514676.8</v>
      </c>
      <c r="G8" s="79">
        <f>+E8*F8</f>
        <v>10544030.399999999</v>
      </c>
      <c r="H8" s="69"/>
      <c r="I8" t="s">
        <v>297</v>
      </c>
    </row>
    <row r="9" spans="1:10" s="71" customFormat="1" ht="60.6" customHeight="1" x14ac:dyDescent="0.25">
      <c r="A9" s="68"/>
      <c r="B9" s="76" t="s">
        <v>162</v>
      </c>
      <c r="C9" s="353" t="s">
        <v>299</v>
      </c>
      <c r="D9" s="81" t="s">
        <v>161</v>
      </c>
      <c r="E9" s="78">
        <v>3</v>
      </c>
      <c r="F9" s="82">
        <f>3762261.23*0.2</f>
        <v>752452.24600000004</v>
      </c>
      <c r="G9" s="79">
        <f>+E9*F9</f>
        <v>2257356.7379999999</v>
      </c>
      <c r="H9" s="69"/>
      <c r="I9" t="s">
        <v>296</v>
      </c>
    </row>
    <row r="10" spans="1:10" s="71" customFormat="1" ht="23.25" hidden="1" customHeight="1" x14ac:dyDescent="0.25">
      <c r="A10" s="68"/>
      <c r="B10" s="83" t="s">
        <v>163</v>
      </c>
      <c r="C10" s="166" t="s">
        <v>164</v>
      </c>
      <c r="D10" s="84" t="s">
        <v>161</v>
      </c>
      <c r="E10" s="78">
        <v>3.5</v>
      </c>
      <c r="F10" s="85">
        <v>2700000</v>
      </c>
      <c r="G10" s="79"/>
      <c r="H10" s="69"/>
      <c r="I10" s="70"/>
      <c r="J10" s="86"/>
    </row>
    <row r="11" spans="1:10" s="71" customFormat="1" ht="23.25" hidden="1" customHeight="1" x14ac:dyDescent="0.25">
      <c r="A11" s="68"/>
      <c r="B11" s="83" t="s">
        <v>165</v>
      </c>
      <c r="C11" s="166" t="s">
        <v>166</v>
      </c>
      <c r="D11" s="84" t="s">
        <v>161</v>
      </c>
      <c r="E11" s="78">
        <v>3.5</v>
      </c>
      <c r="F11" s="85">
        <v>1755000</v>
      </c>
      <c r="G11" s="79"/>
      <c r="H11" s="69"/>
      <c r="I11" s="70"/>
    </row>
    <row r="12" spans="1:10" s="71" customFormat="1" ht="23.25" customHeight="1" x14ac:dyDescent="0.25">
      <c r="A12" s="68"/>
      <c r="B12" s="501" t="s">
        <v>167</v>
      </c>
      <c r="C12" s="502"/>
      <c r="D12" s="502"/>
      <c r="E12" s="502"/>
      <c r="F12" s="503"/>
      <c r="G12" s="87">
        <f>SUM(G8:G11)</f>
        <v>12801387.137999998</v>
      </c>
      <c r="H12" s="69"/>
      <c r="I12" s="70"/>
    </row>
    <row r="13" spans="1:10" s="71" customFormat="1" ht="30.75" hidden="1" customHeight="1" x14ac:dyDescent="0.25">
      <c r="A13" s="68"/>
      <c r="B13" s="88">
        <v>2</v>
      </c>
      <c r="C13" s="89" t="s">
        <v>168</v>
      </c>
      <c r="D13" s="90"/>
      <c r="E13" s="91"/>
      <c r="F13" s="91"/>
      <c r="G13" s="74"/>
      <c r="H13" s="69"/>
      <c r="I13" s="70"/>
    </row>
    <row r="14" spans="1:10" s="71" customFormat="1" ht="24.75" hidden="1" customHeight="1" x14ac:dyDescent="0.25">
      <c r="A14" s="68"/>
      <c r="B14" s="76" t="s">
        <v>169</v>
      </c>
      <c r="C14" s="92" t="s">
        <v>170</v>
      </c>
      <c r="D14" s="81" t="s">
        <v>171</v>
      </c>
      <c r="E14" s="93">
        <v>7</v>
      </c>
      <c r="F14" s="94"/>
      <c r="G14" s="82">
        <f>+E14*F14</f>
        <v>0</v>
      </c>
      <c r="H14" s="69"/>
      <c r="I14" s="70"/>
    </row>
    <row r="15" spans="1:10" s="71" customFormat="1" ht="24.75" hidden="1" customHeight="1" x14ac:dyDescent="0.25">
      <c r="A15" s="68"/>
      <c r="B15" s="76" t="s">
        <v>172</v>
      </c>
      <c r="C15" s="92" t="s">
        <v>173</v>
      </c>
      <c r="D15" s="81" t="s">
        <v>171</v>
      </c>
      <c r="E15" s="93">
        <v>7</v>
      </c>
      <c r="F15" s="94"/>
      <c r="G15" s="82">
        <f t="shared" ref="G15:G23" si="0">+E15*F15</f>
        <v>0</v>
      </c>
      <c r="H15" s="69"/>
      <c r="I15" s="70"/>
    </row>
    <row r="16" spans="1:10" s="71" customFormat="1" ht="24.75" hidden="1" customHeight="1" x14ac:dyDescent="0.25">
      <c r="A16" s="68"/>
      <c r="B16" s="76" t="s">
        <v>174</v>
      </c>
      <c r="C16" s="92" t="s">
        <v>175</v>
      </c>
      <c r="D16" s="81" t="s">
        <v>171</v>
      </c>
      <c r="E16" s="93">
        <v>21</v>
      </c>
      <c r="F16" s="94"/>
      <c r="G16" s="82">
        <f t="shared" si="0"/>
        <v>0</v>
      </c>
      <c r="H16" s="69"/>
      <c r="I16" s="95"/>
    </row>
    <row r="17" spans="1:9" s="71" customFormat="1" ht="24.75" hidden="1" customHeight="1" x14ac:dyDescent="0.25">
      <c r="A17" s="68"/>
      <c r="B17" s="76" t="s">
        <v>176</v>
      </c>
      <c r="C17" s="92" t="s">
        <v>177</v>
      </c>
      <c r="D17" s="81" t="s">
        <v>171</v>
      </c>
      <c r="E17" s="93">
        <v>21</v>
      </c>
      <c r="F17" s="94"/>
      <c r="G17" s="82">
        <f t="shared" si="0"/>
        <v>0</v>
      </c>
      <c r="H17" s="69"/>
      <c r="I17" s="95"/>
    </row>
    <row r="18" spans="1:9" s="71" customFormat="1" ht="24.75" hidden="1" customHeight="1" x14ac:dyDescent="0.25">
      <c r="A18" s="68"/>
      <c r="B18" s="76" t="s">
        <v>178</v>
      </c>
      <c r="C18" s="92" t="s">
        <v>179</v>
      </c>
      <c r="D18" s="81" t="s">
        <v>171</v>
      </c>
      <c r="E18" s="93">
        <f>+E14*2</f>
        <v>14</v>
      </c>
      <c r="F18" s="94"/>
      <c r="G18" s="82">
        <f t="shared" si="0"/>
        <v>0</v>
      </c>
      <c r="H18" s="69"/>
      <c r="I18" s="95"/>
    </row>
    <row r="19" spans="1:9" s="71" customFormat="1" ht="24.75" hidden="1" customHeight="1" x14ac:dyDescent="0.25">
      <c r="A19" s="68"/>
      <c r="B19" s="76" t="s">
        <v>180</v>
      </c>
      <c r="C19" s="92" t="s">
        <v>181</v>
      </c>
      <c r="D19" s="81" t="s">
        <v>171</v>
      </c>
      <c r="E19" s="93">
        <v>1</v>
      </c>
      <c r="F19" s="94"/>
      <c r="G19" s="82">
        <f t="shared" si="0"/>
        <v>0</v>
      </c>
      <c r="H19" s="69"/>
      <c r="I19" s="95"/>
    </row>
    <row r="20" spans="1:9" s="71" customFormat="1" ht="24.75" hidden="1" customHeight="1" x14ac:dyDescent="0.25">
      <c r="A20" s="68"/>
      <c r="B20" s="76" t="s">
        <v>182</v>
      </c>
      <c r="C20" s="92" t="s">
        <v>183</v>
      </c>
      <c r="D20" s="81" t="s">
        <v>171</v>
      </c>
      <c r="E20" s="93">
        <v>0</v>
      </c>
      <c r="F20" s="94"/>
      <c r="G20" s="82">
        <f t="shared" si="0"/>
        <v>0</v>
      </c>
      <c r="H20" s="69"/>
      <c r="I20" s="95"/>
    </row>
    <row r="21" spans="1:9" s="71" customFormat="1" ht="24.75" hidden="1" customHeight="1" x14ac:dyDescent="0.25">
      <c r="A21" s="68"/>
      <c r="B21" s="76" t="s">
        <v>184</v>
      </c>
      <c r="C21" s="92" t="s">
        <v>185</v>
      </c>
      <c r="D21" s="81" t="s">
        <v>171</v>
      </c>
      <c r="E21" s="93">
        <v>21</v>
      </c>
      <c r="F21" s="94"/>
      <c r="G21" s="82">
        <f t="shared" si="0"/>
        <v>0</v>
      </c>
      <c r="H21" s="69"/>
      <c r="I21" s="95"/>
    </row>
    <row r="22" spans="1:9" s="71" customFormat="1" ht="24.75" hidden="1" customHeight="1" x14ac:dyDescent="0.25">
      <c r="A22" s="68"/>
      <c r="B22" s="76" t="s">
        <v>186</v>
      </c>
      <c r="C22" s="92" t="s">
        <v>187</v>
      </c>
      <c r="D22" s="81" t="s">
        <v>171</v>
      </c>
      <c r="E22" s="93">
        <v>1</v>
      </c>
      <c r="F22" s="94"/>
      <c r="G22" s="82">
        <f t="shared" si="0"/>
        <v>0</v>
      </c>
      <c r="H22" s="69"/>
      <c r="I22" s="95"/>
    </row>
    <row r="23" spans="1:9" s="71" customFormat="1" ht="24.75" hidden="1" customHeight="1" x14ac:dyDescent="0.25">
      <c r="A23" s="68"/>
      <c r="B23" s="76" t="s">
        <v>188</v>
      </c>
      <c r="C23" s="92" t="s">
        <v>189</v>
      </c>
      <c r="D23" s="81" t="s">
        <v>171</v>
      </c>
      <c r="E23" s="93">
        <v>7</v>
      </c>
      <c r="F23" s="94"/>
      <c r="G23" s="82">
        <f t="shared" si="0"/>
        <v>0</v>
      </c>
      <c r="H23" s="69"/>
      <c r="I23" s="95"/>
    </row>
    <row r="24" spans="1:9" s="71" customFormat="1" ht="25.5" hidden="1" customHeight="1" x14ac:dyDescent="0.25">
      <c r="A24" s="68"/>
      <c r="B24" s="501" t="s">
        <v>167</v>
      </c>
      <c r="C24" s="502"/>
      <c r="D24" s="502"/>
      <c r="E24" s="502"/>
      <c r="F24" s="503"/>
      <c r="G24" s="96">
        <f>SUM(G14:G23)</f>
        <v>0</v>
      </c>
      <c r="H24" s="69"/>
      <c r="I24" s="70"/>
    </row>
    <row r="25" spans="1:9" s="71" customFormat="1" ht="30.75" customHeight="1" x14ac:dyDescent="0.25">
      <c r="A25" s="68"/>
      <c r="B25" s="97">
        <v>2</v>
      </c>
      <c r="C25" s="73" t="s">
        <v>190</v>
      </c>
      <c r="D25" s="74"/>
      <c r="E25" s="75"/>
      <c r="F25" s="75"/>
      <c r="G25" s="74"/>
      <c r="H25" s="69"/>
      <c r="I25" s="70"/>
    </row>
    <row r="26" spans="1:9" s="71" customFormat="1" ht="23.25" customHeight="1" x14ac:dyDescent="0.25">
      <c r="A26" s="68"/>
      <c r="B26" s="328" t="s">
        <v>169</v>
      </c>
      <c r="C26" s="165" t="s">
        <v>232</v>
      </c>
      <c r="D26" s="107" t="s">
        <v>204</v>
      </c>
      <c r="E26" s="108">
        <v>1</v>
      </c>
      <c r="F26" s="99">
        <v>800000</v>
      </c>
      <c r="G26" s="82">
        <f>+E26*F26</f>
        <v>800000</v>
      </c>
      <c r="H26" s="69"/>
      <c r="I26" s="70"/>
    </row>
    <row r="27" spans="1:9" s="71" customFormat="1" ht="23.25" hidden="1" customHeight="1" x14ac:dyDescent="0.25">
      <c r="A27" s="68"/>
      <c r="B27" s="328" t="s">
        <v>192</v>
      </c>
      <c r="C27" s="98" t="s">
        <v>193</v>
      </c>
      <c r="D27" s="81" t="s">
        <v>47</v>
      </c>
      <c r="E27" s="93">
        <v>50</v>
      </c>
      <c r="F27" s="99"/>
      <c r="G27" s="82">
        <f t="shared" ref="G27:G33" si="1">+E27*F27</f>
        <v>0</v>
      </c>
      <c r="H27" s="69"/>
      <c r="I27" s="70"/>
    </row>
    <row r="28" spans="1:9" s="71" customFormat="1" ht="23.25" hidden="1" customHeight="1" x14ac:dyDescent="0.25">
      <c r="A28" s="68"/>
      <c r="B28" s="328" t="s">
        <v>194</v>
      </c>
      <c r="C28" s="98" t="s">
        <v>195</v>
      </c>
      <c r="D28" s="81" t="s">
        <v>97</v>
      </c>
      <c r="E28" s="93">
        <v>3</v>
      </c>
      <c r="F28" s="99"/>
      <c r="G28" s="82">
        <f t="shared" si="1"/>
        <v>0</v>
      </c>
      <c r="H28" s="69"/>
      <c r="I28" s="70"/>
    </row>
    <row r="29" spans="1:9" s="71" customFormat="1" ht="23.25" hidden="1" customHeight="1" x14ac:dyDescent="0.25">
      <c r="A29" s="68"/>
      <c r="B29" s="328">
        <v>3.4</v>
      </c>
      <c r="C29" s="98" t="s">
        <v>196</v>
      </c>
      <c r="D29" s="81" t="s">
        <v>97</v>
      </c>
      <c r="E29" s="93">
        <v>6</v>
      </c>
      <c r="F29" s="100"/>
      <c r="G29" s="82">
        <f t="shared" si="1"/>
        <v>0</v>
      </c>
      <c r="H29" s="69"/>
      <c r="I29" s="70"/>
    </row>
    <row r="30" spans="1:9" s="71" customFormat="1" ht="23.25" hidden="1" customHeight="1" x14ac:dyDescent="0.25">
      <c r="A30" s="68"/>
      <c r="B30" s="328">
        <v>3.5</v>
      </c>
      <c r="C30" s="98" t="s">
        <v>197</v>
      </c>
      <c r="D30" s="81" t="s">
        <v>97</v>
      </c>
      <c r="E30" s="93">
        <v>4</v>
      </c>
      <c r="F30" s="100"/>
      <c r="G30" s="82">
        <f t="shared" si="1"/>
        <v>0</v>
      </c>
      <c r="H30" s="69"/>
      <c r="I30" s="70"/>
    </row>
    <row r="31" spans="1:9" s="71" customFormat="1" ht="23.25" hidden="1" customHeight="1" x14ac:dyDescent="0.25">
      <c r="A31" s="68"/>
      <c r="B31" s="328">
        <v>3.6</v>
      </c>
      <c r="C31" s="98" t="s">
        <v>198</v>
      </c>
      <c r="D31" s="81" t="s">
        <v>97</v>
      </c>
      <c r="E31" s="93">
        <v>2</v>
      </c>
      <c r="F31" s="99"/>
      <c r="G31" s="82">
        <f t="shared" si="1"/>
        <v>0</v>
      </c>
      <c r="H31" s="69"/>
      <c r="I31" s="70"/>
    </row>
    <row r="32" spans="1:9" s="71" customFormat="1" ht="23.25" hidden="1" customHeight="1" x14ac:dyDescent="0.25">
      <c r="A32" s="68"/>
      <c r="B32" s="328">
        <v>3.7</v>
      </c>
      <c r="C32" s="98" t="s">
        <v>199</v>
      </c>
      <c r="D32" s="81" t="s">
        <v>97</v>
      </c>
      <c r="E32" s="93">
        <v>3</v>
      </c>
      <c r="F32" s="99"/>
      <c r="G32" s="82">
        <f t="shared" si="1"/>
        <v>0</v>
      </c>
      <c r="H32" s="69"/>
      <c r="I32" s="70"/>
    </row>
    <row r="33" spans="1:10" s="71" customFormat="1" ht="19.5" hidden="1" customHeight="1" x14ac:dyDescent="0.25">
      <c r="A33" s="68"/>
      <c r="B33" s="328">
        <v>3.8</v>
      </c>
      <c r="C33" s="98" t="s">
        <v>200</v>
      </c>
      <c r="D33" s="81" t="s">
        <v>97</v>
      </c>
      <c r="E33" s="93">
        <v>3</v>
      </c>
      <c r="F33" s="99"/>
      <c r="G33" s="82">
        <f t="shared" si="1"/>
        <v>0</v>
      </c>
      <c r="H33" s="69"/>
      <c r="I33" s="70"/>
    </row>
    <row r="34" spans="1:10" s="71" customFormat="1" ht="21" customHeight="1" x14ac:dyDescent="0.25">
      <c r="A34" s="68"/>
      <c r="B34" s="501" t="s">
        <v>167</v>
      </c>
      <c r="C34" s="502"/>
      <c r="D34" s="502"/>
      <c r="E34" s="502"/>
      <c r="F34" s="503"/>
      <c r="G34" s="96">
        <f>SUM(G26:G33)</f>
        <v>800000</v>
      </c>
      <c r="H34" s="69"/>
      <c r="I34" s="70"/>
    </row>
    <row r="35" spans="1:10" s="71" customFormat="1" ht="30.75" customHeight="1" x14ac:dyDescent="0.25">
      <c r="A35" s="68"/>
      <c r="B35" s="97">
        <v>3</v>
      </c>
      <c r="C35" s="73" t="s">
        <v>201</v>
      </c>
      <c r="D35" s="74"/>
      <c r="E35" s="75"/>
      <c r="F35" s="75"/>
      <c r="G35" s="74"/>
      <c r="H35" s="69"/>
      <c r="I35" s="70"/>
    </row>
    <row r="36" spans="1:10" s="71" customFormat="1" ht="23.25" customHeight="1" x14ac:dyDescent="0.25">
      <c r="A36" s="68"/>
      <c r="B36" s="328" t="s">
        <v>191</v>
      </c>
      <c r="C36" s="150" t="s">
        <v>203</v>
      </c>
      <c r="D36" s="81" t="s">
        <v>204</v>
      </c>
      <c r="E36" s="101">
        <v>1</v>
      </c>
      <c r="F36" s="109">
        <f>ROUND(J39*0.004,0)</f>
        <v>382134</v>
      </c>
      <c r="G36" s="82">
        <f>+E36*F36</f>
        <v>382134</v>
      </c>
      <c r="H36" s="69"/>
      <c r="I36" s="70"/>
    </row>
    <row r="37" spans="1:10" s="71" customFormat="1" ht="19.5" customHeight="1" x14ac:dyDescent="0.25">
      <c r="A37" s="68"/>
      <c r="B37" s="102" t="s">
        <v>192</v>
      </c>
      <c r="C37" s="151" t="s">
        <v>206</v>
      </c>
      <c r="D37" s="84" t="s">
        <v>204</v>
      </c>
      <c r="E37" s="103">
        <v>2</v>
      </c>
      <c r="F37" s="104">
        <v>350000</v>
      </c>
      <c r="G37" s="82">
        <f>+E37*F37</f>
        <v>700000</v>
      </c>
      <c r="H37" s="69"/>
      <c r="I37" s="70"/>
    </row>
    <row r="38" spans="1:10" s="71" customFormat="1" ht="21.75" customHeight="1" thickBot="1" x14ac:dyDescent="0.3">
      <c r="A38" s="68"/>
      <c r="B38" s="501" t="s">
        <v>167</v>
      </c>
      <c r="C38" s="502"/>
      <c r="D38" s="502"/>
      <c r="E38" s="502"/>
      <c r="F38" s="503"/>
      <c r="G38" s="96">
        <f>SUM(G36:G37)</f>
        <v>1082134</v>
      </c>
      <c r="H38" s="69"/>
      <c r="I38" s="70"/>
    </row>
    <row r="39" spans="1:10" s="71" customFormat="1" ht="21.75" customHeight="1" x14ac:dyDescent="0.25">
      <c r="A39" s="68"/>
      <c r="B39" s="105">
        <v>4</v>
      </c>
      <c r="C39" s="106" t="s">
        <v>207</v>
      </c>
      <c r="D39" s="90"/>
      <c r="E39" s="91"/>
      <c r="F39" s="91"/>
      <c r="G39" s="74"/>
      <c r="H39" s="69"/>
      <c r="I39" s="70"/>
      <c r="J39" s="167">
        <v>95533602</v>
      </c>
    </row>
    <row r="40" spans="1:10" s="71" customFormat="1" ht="21" customHeight="1" x14ac:dyDescent="0.25">
      <c r="A40" s="68"/>
      <c r="B40" s="328" t="s">
        <v>202</v>
      </c>
      <c r="C40" s="149" t="s">
        <v>249</v>
      </c>
      <c r="D40" s="107" t="s">
        <v>204</v>
      </c>
      <c r="E40" s="108">
        <v>1</v>
      </c>
      <c r="F40" s="109">
        <f>ROUND(J39*0.02,0)</f>
        <v>1910672</v>
      </c>
      <c r="G40" s="82">
        <f>+E40*F40</f>
        <v>1910672</v>
      </c>
      <c r="H40" s="69"/>
      <c r="I40" s="70"/>
      <c r="J40" s="168">
        <f>+presupuesto!I28</f>
        <v>95385396</v>
      </c>
    </row>
    <row r="41" spans="1:10" s="71" customFormat="1" ht="21" customHeight="1" thickBot="1" x14ac:dyDescent="0.3">
      <c r="A41" s="68"/>
      <c r="B41" s="328" t="s">
        <v>205</v>
      </c>
      <c r="C41" s="149" t="s">
        <v>248</v>
      </c>
      <c r="D41" s="107" t="s">
        <v>204</v>
      </c>
      <c r="E41" s="108">
        <v>1</v>
      </c>
      <c r="F41" s="109">
        <f>ROUND(J39*0.015,0)</f>
        <v>1433004</v>
      </c>
      <c r="G41" s="82">
        <f>+E41*F41</f>
        <v>1433004</v>
      </c>
      <c r="H41" s="69"/>
      <c r="I41" s="70"/>
      <c r="J41" s="169">
        <f>+J39-J40</f>
        <v>148206</v>
      </c>
    </row>
    <row r="42" spans="1:10" s="71" customFormat="1" ht="21" customHeight="1" thickBot="1" x14ac:dyDescent="0.3">
      <c r="A42" s="68"/>
      <c r="B42" s="328" t="s">
        <v>244</v>
      </c>
      <c r="C42" s="149" t="s">
        <v>231</v>
      </c>
      <c r="D42" s="107" t="s">
        <v>204</v>
      </c>
      <c r="E42" s="108">
        <v>1</v>
      </c>
      <c r="F42" s="109">
        <v>1000000</v>
      </c>
      <c r="G42" s="82">
        <f>+E42*F42</f>
        <v>1000000</v>
      </c>
      <c r="H42" s="69"/>
      <c r="I42" s="70"/>
    </row>
    <row r="43" spans="1:10" s="71" customFormat="1" ht="21" customHeight="1" x14ac:dyDescent="0.25">
      <c r="A43" s="68"/>
      <c r="B43" s="328" t="s">
        <v>245</v>
      </c>
      <c r="C43" s="149" t="s">
        <v>212</v>
      </c>
      <c r="D43" s="107" t="s">
        <v>213</v>
      </c>
      <c r="E43" s="108">
        <v>1</v>
      </c>
      <c r="F43" s="109">
        <f>ROUND(147750138.88*0.01,0)</f>
        <v>1477501</v>
      </c>
      <c r="G43" s="82">
        <f>+E43*F43</f>
        <v>1477501</v>
      </c>
      <c r="H43" s="69"/>
      <c r="I43" s="70"/>
      <c r="J43" s="170">
        <f>+presupuesto!I28</f>
        <v>95385396</v>
      </c>
    </row>
    <row r="44" spans="1:10" s="71" customFormat="1" ht="21" customHeight="1" thickBot="1" x14ac:dyDescent="0.3">
      <c r="A44" s="68"/>
      <c r="B44" s="328" t="s">
        <v>246</v>
      </c>
      <c r="C44" s="149" t="s">
        <v>208</v>
      </c>
      <c r="D44" s="107" t="s">
        <v>161</v>
      </c>
      <c r="E44" s="110">
        <v>3</v>
      </c>
      <c r="F44" s="109">
        <v>200000</v>
      </c>
      <c r="G44" s="82">
        <f>+E44*F44</f>
        <v>600000</v>
      </c>
      <c r="H44" s="69"/>
      <c r="I44" s="70"/>
      <c r="J44" s="171">
        <v>175.5</v>
      </c>
    </row>
    <row r="45" spans="1:10" s="71" customFormat="1" ht="21" hidden="1" customHeight="1" x14ac:dyDescent="0.25">
      <c r="A45" s="68"/>
      <c r="B45" s="328">
        <v>5.3</v>
      </c>
      <c r="C45" s="80" t="s">
        <v>209</v>
      </c>
      <c r="D45" s="107" t="s">
        <v>8</v>
      </c>
      <c r="E45" s="108">
        <f>+E15+4</f>
        <v>11</v>
      </c>
      <c r="F45" s="109">
        <v>127000</v>
      </c>
      <c r="G45" s="82"/>
      <c r="H45" s="69"/>
      <c r="I45" s="70"/>
    </row>
    <row r="46" spans="1:10" s="71" customFormat="1" ht="21" hidden="1" customHeight="1" x14ac:dyDescent="0.25">
      <c r="A46" s="68"/>
      <c r="B46" s="328">
        <v>5.4</v>
      </c>
      <c r="C46" s="80" t="s">
        <v>210</v>
      </c>
      <c r="D46" s="107" t="s">
        <v>161</v>
      </c>
      <c r="E46" s="108">
        <v>3.5</v>
      </c>
      <c r="F46" s="109">
        <v>400000</v>
      </c>
      <c r="G46" s="82"/>
      <c r="H46" s="69"/>
      <c r="I46" s="70"/>
    </row>
    <row r="47" spans="1:10" s="71" customFormat="1" ht="21" hidden="1" customHeight="1" x14ac:dyDescent="0.25">
      <c r="A47" s="68"/>
      <c r="B47" s="328">
        <v>5.5</v>
      </c>
      <c r="C47" s="80" t="s">
        <v>211</v>
      </c>
      <c r="D47" s="107" t="s">
        <v>161</v>
      </c>
      <c r="E47" s="108">
        <v>3</v>
      </c>
      <c r="F47" s="111">
        <v>250000</v>
      </c>
      <c r="G47" s="82"/>
      <c r="H47" s="69"/>
      <c r="I47" s="70"/>
    </row>
    <row r="48" spans="1:10" s="71" customFormat="1" ht="21" customHeight="1" x14ac:dyDescent="0.25">
      <c r="A48" s="68"/>
      <c r="B48" s="501" t="s">
        <v>167</v>
      </c>
      <c r="C48" s="502"/>
      <c r="D48" s="502"/>
      <c r="E48" s="502"/>
      <c r="F48" s="503"/>
      <c r="G48" s="96">
        <f>SUM(G40:G47)</f>
        <v>6421177</v>
      </c>
      <c r="H48" s="69"/>
      <c r="I48" s="70"/>
    </row>
    <row r="49" spans="1:10" s="71" customFormat="1" ht="21" customHeight="1" x14ac:dyDescent="0.25">
      <c r="A49" s="68"/>
      <c r="B49" s="331"/>
      <c r="C49" s="332"/>
      <c r="D49" s="332"/>
      <c r="E49" s="332"/>
      <c r="F49" s="333"/>
      <c r="G49" s="96"/>
      <c r="H49" s="69"/>
      <c r="I49" s="70"/>
    </row>
    <row r="50" spans="1:10" s="71" customFormat="1" ht="24.75" customHeight="1" x14ac:dyDescent="0.25">
      <c r="A50" s="68"/>
      <c r="B50" s="495" t="s">
        <v>29</v>
      </c>
      <c r="C50" s="496"/>
      <c r="D50" s="496"/>
      <c r="E50" s="496"/>
      <c r="F50" s="496"/>
      <c r="G50" s="112">
        <f>+ROUND(G48+G38+G34+G24+G12,0)</f>
        <v>21104698</v>
      </c>
      <c r="H50" s="69"/>
      <c r="I50" s="70"/>
      <c r="J50" s="86"/>
    </row>
    <row r="51" spans="1:10" s="71" customFormat="1" ht="24.75" customHeight="1" x14ac:dyDescent="0.25">
      <c r="A51" s="68"/>
      <c r="B51" s="489" t="s">
        <v>300</v>
      </c>
      <c r="C51" s="490"/>
      <c r="D51" s="490"/>
      <c r="E51" s="490"/>
      <c r="F51" s="490"/>
      <c r="G51" s="491"/>
      <c r="H51" s="69"/>
      <c r="I51" s="70"/>
      <c r="J51" s="86"/>
    </row>
    <row r="52" spans="1:10" s="71" customFormat="1" ht="24.75" customHeight="1" x14ac:dyDescent="0.25">
      <c r="A52" s="68"/>
      <c r="B52" s="492"/>
      <c r="C52" s="493"/>
      <c r="D52" s="493"/>
      <c r="E52" s="493"/>
      <c r="F52" s="493"/>
      <c r="G52" s="494"/>
      <c r="H52" s="69"/>
      <c r="I52" s="70"/>
      <c r="J52" s="86"/>
    </row>
    <row r="53" spans="1:10" s="71" customFormat="1" ht="18.75" thickBot="1" x14ac:dyDescent="0.3">
      <c r="A53" s="113"/>
      <c r="B53" s="114"/>
      <c r="C53" s="115"/>
      <c r="D53" s="116"/>
      <c r="E53" s="116"/>
      <c r="F53" s="116"/>
      <c r="G53" s="117"/>
      <c r="H53" s="118"/>
      <c r="I53" s="86"/>
    </row>
    <row r="55" spans="1:10" ht="24" customHeight="1" x14ac:dyDescent="0.3"/>
    <row r="58" spans="1:10" x14ac:dyDescent="0.3">
      <c r="G58" s="121"/>
    </row>
  </sheetData>
  <mergeCells count="11">
    <mergeCell ref="B51:G52"/>
    <mergeCell ref="B50:F50"/>
    <mergeCell ref="C2:G2"/>
    <mergeCell ref="B3:G3"/>
    <mergeCell ref="B6:D6"/>
    <mergeCell ref="E6:F6"/>
    <mergeCell ref="B12:F12"/>
    <mergeCell ref="B24:F24"/>
    <mergeCell ref="B34:F34"/>
    <mergeCell ref="B38:F38"/>
    <mergeCell ref="B48:F4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48083-5162-43E1-9A4D-3628866A3860}">
  <sheetPr>
    <tabColor rgb="FF92D050"/>
  </sheetPr>
  <dimension ref="A1:CW11"/>
  <sheetViews>
    <sheetView tabSelected="1" workbookViewId="0">
      <selection activeCell="H5" sqref="H5"/>
    </sheetView>
  </sheetViews>
  <sheetFormatPr baseColWidth="10" defaultRowHeight="15" x14ac:dyDescent="0.25"/>
  <cols>
    <col min="2" max="2" width="17.85546875" customWidth="1"/>
    <col min="3" max="3" width="25.28515625" customWidth="1"/>
    <col min="4" max="4" width="6.28515625" style="58" customWidth="1"/>
    <col min="5" max="7" width="11.5703125" style="58"/>
    <col min="8" max="8" width="14.28515625" customWidth="1"/>
    <col min="11" max="19" width="2" bestFit="1" customWidth="1"/>
    <col min="20" max="100" width="3" bestFit="1" customWidth="1"/>
    <col min="101" max="101" width="3.42578125" customWidth="1"/>
  </cols>
  <sheetData>
    <row r="1" spans="1:101" ht="15.75" thickBot="1" x14ac:dyDescent="0.3"/>
    <row r="2" spans="1:101" x14ac:dyDescent="0.25">
      <c r="K2" s="316">
        <v>1</v>
      </c>
      <c r="L2" s="317">
        <v>2</v>
      </c>
      <c r="M2" s="317">
        <v>3</v>
      </c>
      <c r="N2" s="317">
        <v>4</v>
      </c>
      <c r="O2" s="317">
        <v>5</v>
      </c>
      <c r="P2" s="317">
        <v>6</v>
      </c>
      <c r="Q2" s="318">
        <v>7</v>
      </c>
      <c r="R2" s="316">
        <v>8</v>
      </c>
      <c r="S2" s="317">
        <v>9</v>
      </c>
      <c r="T2" s="317">
        <v>10</v>
      </c>
      <c r="U2" s="317">
        <v>11</v>
      </c>
      <c r="V2" s="317">
        <v>12</v>
      </c>
      <c r="W2" s="317">
        <v>13</v>
      </c>
      <c r="X2" s="318">
        <v>14</v>
      </c>
      <c r="Y2" s="316">
        <v>15</v>
      </c>
      <c r="Z2" s="317">
        <v>16</v>
      </c>
      <c r="AA2" s="317">
        <v>17</v>
      </c>
      <c r="AB2" s="317">
        <v>18</v>
      </c>
      <c r="AC2" s="317">
        <v>19</v>
      </c>
      <c r="AD2" s="317">
        <v>20</v>
      </c>
      <c r="AE2" s="318">
        <v>21</v>
      </c>
      <c r="AF2" s="316">
        <v>22</v>
      </c>
      <c r="AG2" s="317">
        <v>23</v>
      </c>
      <c r="AH2" s="317">
        <v>24</v>
      </c>
      <c r="AI2" s="317">
        <v>25</v>
      </c>
      <c r="AJ2" s="317">
        <v>26</v>
      </c>
      <c r="AK2" s="317">
        <v>27</v>
      </c>
      <c r="AL2" s="318">
        <v>28</v>
      </c>
      <c r="AM2" s="316">
        <v>29</v>
      </c>
      <c r="AN2" s="317">
        <v>30</v>
      </c>
      <c r="AO2" s="317">
        <v>31</v>
      </c>
      <c r="AP2" s="317">
        <v>32</v>
      </c>
      <c r="AQ2" s="317">
        <v>33</v>
      </c>
      <c r="AR2" s="317">
        <v>34</v>
      </c>
      <c r="AS2" s="318">
        <v>35</v>
      </c>
      <c r="AT2" s="316">
        <v>36</v>
      </c>
      <c r="AU2" s="317">
        <v>37</v>
      </c>
      <c r="AV2" s="317">
        <v>38</v>
      </c>
      <c r="AW2" s="317">
        <v>39</v>
      </c>
      <c r="AX2" s="317">
        <v>40</v>
      </c>
      <c r="AY2" s="317">
        <v>41</v>
      </c>
      <c r="AZ2" s="318">
        <v>42</v>
      </c>
      <c r="BA2" s="316">
        <v>43</v>
      </c>
      <c r="BB2" s="317">
        <v>44</v>
      </c>
      <c r="BC2" s="317">
        <v>45</v>
      </c>
      <c r="BD2" s="317">
        <v>46</v>
      </c>
      <c r="BE2" s="317">
        <v>47</v>
      </c>
      <c r="BF2" s="317">
        <v>48</v>
      </c>
      <c r="BG2" s="318">
        <v>49</v>
      </c>
      <c r="BH2" s="316">
        <v>50</v>
      </c>
      <c r="BI2" s="317">
        <v>51</v>
      </c>
      <c r="BJ2" s="317">
        <v>52</v>
      </c>
      <c r="BK2" s="317">
        <v>53</v>
      </c>
      <c r="BL2" s="317">
        <v>54</v>
      </c>
      <c r="BM2" s="317">
        <v>55</v>
      </c>
      <c r="BN2" s="318">
        <v>56</v>
      </c>
      <c r="BO2" s="316">
        <v>57</v>
      </c>
      <c r="BP2" s="317">
        <v>58</v>
      </c>
      <c r="BQ2" s="317">
        <v>59</v>
      </c>
      <c r="BR2" s="317">
        <v>60</v>
      </c>
      <c r="BS2" s="317">
        <v>61</v>
      </c>
      <c r="BT2" s="317">
        <v>62</v>
      </c>
      <c r="BU2" s="318">
        <v>63</v>
      </c>
      <c r="BV2" s="316">
        <v>64</v>
      </c>
      <c r="BW2" s="317">
        <v>65</v>
      </c>
      <c r="BX2" s="317">
        <v>66</v>
      </c>
      <c r="BY2" s="317">
        <v>67</v>
      </c>
      <c r="BZ2" s="317">
        <v>68</v>
      </c>
      <c r="CA2" s="317">
        <v>69</v>
      </c>
      <c r="CB2" s="318">
        <v>70</v>
      </c>
      <c r="CC2" s="316">
        <v>71</v>
      </c>
      <c r="CD2" s="317">
        <v>72</v>
      </c>
      <c r="CE2" s="317">
        <v>73</v>
      </c>
      <c r="CF2" s="317">
        <v>74</v>
      </c>
      <c r="CG2" s="317">
        <v>75</v>
      </c>
      <c r="CH2" s="317">
        <v>76</v>
      </c>
      <c r="CI2" s="318">
        <v>77</v>
      </c>
      <c r="CJ2" s="316">
        <v>78</v>
      </c>
      <c r="CK2" s="317">
        <v>79</v>
      </c>
      <c r="CL2" s="317">
        <v>80</v>
      </c>
      <c r="CM2" s="317">
        <v>81</v>
      </c>
      <c r="CN2" s="317">
        <v>82</v>
      </c>
      <c r="CO2" s="317">
        <v>83</v>
      </c>
      <c r="CP2" s="318">
        <v>84</v>
      </c>
      <c r="CQ2" s="316">
        <v>85</v>
      </c>
      <c r="CR2" s="317">
        <v>86</v>
      </c>
      <c r="CS2" s="317">
        <v>87</v>
      </c>
      <c r="CT2" s="317">
        <v>88</v>
      </c>
      <c r="CU2" s="317">
        <v>89</v>
      </c>
      <c r="CV2" s="317">
        <v>90</v>
      </c>
      <c r="CW2" s="318"/>
    </row>
    <row r="3" spans="1:101" ht="18" customHeight="1" x14ac:dyDescent="0.25">
      <c r="A3" s="311" t="s">
        <v>157</v>
      </c>
      <c r="B3" s="311"/>
      <c r="C3" s="311"/>
      <c r="D3" s="312" t="s">
        <v>271</v>
      </c>
      <c r="E3" s="312" t="s">
        <v>269</v>
      </c>
      <c r="F3" s="312" t="s">
        <v>270</v>
      </c>
      <c r="G3" s="312"/>
      <c r="H3" s="311" t="s">
        <v>119</v>
      </c>
      <c r="I3" s="314"/>
      <c r="J3" s="8"/>
      <c r="K3" s="319"/>
      <c r="Q3" s="320"/>
      <c r="R3" s="319"/>
      <c r="X3" s="320"/>
      <c r="Y3" s="319"/>
      <c r="AE3" s="320"/>
      <c r="AF3" s="319"/>
      <c r="AL3" s="320"/>
      <c r="AM3" s="319"/>
      <c r="AS3" s="320"/>
      <c r="AT3" s="319"/>
      <c r="AZ3" s="320"/>
      <c r="BA3" s="319"/>
      <c r="BG3" s="320"/>
      <c r="BH3" s="319"/>
      <c r="BN3" s="320"/>
      <c r="BO3" s="319"/>
      <c r="BU3" s="320"/>
      <c r="BV3" s="319"/>
      <c r="CB3" s="320"/>
      <c r="CC3" s="319"/>
      <c r="CI3" s="320"/>
      <c r="CJ3" s="319"/>
      <c r="CP3" s="320"/>
      <c r="CQ3" s="319"/>
      <c r="CW3" s="320"/>
    </row>
    <row r="4" spans="1:101" ht="31.15" customHeight="1" x14ac:dyDescent="0.25">
      <c r="A4" s="139">
        <v>1</v>
      </c>
      <c r="B4" s="416" t="str">
        <f>+presupuesto!B14</f>
        <v>CONFORMACIÓN COMPACTACIÓN SUBRASANTE CBR=95%</v>
      </c>
      <c r="C4" s="416"/>
      <c r="D4" s="64" t="str">
        <f>+'apu presupuesto'!D23:H23</f>
        <v>hh</v>
      </c>
      <c r="E4" s="64" t="str">
        <f>+'apu presupuesto'!K24</f>
        <v>0,16</v>
      </c>
      <c r="F4" s="310">
        <f>+E4/8</f>
        <v>0.02</v>
      </c>
      <c r="G4" s="310" t="str">
        <f>+presupuesto!D14</f>
        <v>M2</v>
      </c>
      <c r="H4" s="143">
        <f>+presupuesto!E14</f>
        <v>878</v>
      </c>
      <c r="I4" s="315">
        <f t="shared" ref="I4:I9" si="0">+ROUND(H4*F4,0)</f>
        <v>18</v>
      </c>
      <c r="J4" s="325">
        <v>9</v>
      </c>
      <c r="K4" s="321"/>
      <c r="L4" s="322"/>
      <c r="M4" s="322"/>
      <c r="N4" s="322"/>
      <c r="O4" s="322"/>
      <c r="P4" s="322"/>
      <c r="Q4" s="320"/>
      <c r="R4" s="321"/>
      <c r="S4" s="322"/>
      <c r="T4" s="322"/>
      <c r="X4" s="320"/>
      <c r="Y4" s="319"/>
      <c r="AE4" s="320"/>
      <c r="AF4" s="319"/>
      <c r="AL4" s="320"/>
      <c r="AM4" s="319"/>
      <c r="AS4" s="320"/>
      <c r="AT4" s="319"/>
      <c r="AZ4" s="320"/>
      <c r="BA4" s="319"/>
      <c r="BG4" s="320"/>
      <c r="BH4" s="319"/>
      <c r="BN4" s="320"/>
      <c r="BO4" s="319"/>
      <c r="BU4" s="320"/>
      <c r="BV4" s="319"/>
      <c r="CB4" s="320"/>
      <c r="CC4" s="319"/>
      <c r="CI4" s="320"/>
      <c r="CJ4" s="319"/>
      <c r="CP4" s="320"/>
      <c r="CQ4" s="319"/>
      <c r="CW4" s="320"/>
    </row>
    <row r="5" spans="1:101" ht="18" customHeight="1" x14ac:dyDescent="0.25">
      <c r="A5" s="139"/>
      <c r="B5" s="416" t="str">
        <f>+presupuesto!B15</f>
        <v>PEDRAPLEN COMPACTO</v>
      </c>
      <c r="C5" s="416"/>
      <c r="D5" s="64" t="str">
        <f>+'apu presupuesto'!D50:H50</f>
        <v>jr</v>
      </c>
      <c r="E5" s="64" t="str">
        <f>+'apu presupuesto'!K50</f>
        <v>0,05</v>
      </c>
      <c r="F5" s="313" t="str">
        <f>+E5</f>
        <v>0,05</v>
      </c>
      <c r="G5" s="310" t="str">
        <f>+presupuesto!D15</f>
        <v>M3</v>
      </c>
      <c r="H5" s="143">
        <f>+presupuesto!E15</f>
        <v>10</v>
      </c>
      <c r="I5" s="315">
        <f t="shared" si="0"/>
        <v>1</v>
      </c>
      <c r="J5" s="325">
        <v>2</v>
      </c>
      <c r="K5" s="319"/>
      <c r="Q5" s="320"/>
      <c r="R5" s="319"/>
      <c r="U5" s="322"/>
      <c r="V5" s="322"/>
      <c r="X5" s="320"/>
      <c r="Y5" s="319"/>
      <c r="AE5" s="320"/>
      <c r="AF5" s="319"/>
      <c r="AL5" s="320"/>
      <c r="AM5" s="319"/>
      <c r="AS5" s="320"/>
      <c r="AT5" s="319"/>
      <c r="AZ5" s="320"/>
      <c r="BA5" s="319"/>
      <c r="BG5" s="320"/>
      <c r="BH5" s="319"/>
      <c r="BN5" s="320"/>
      <c r="BO5" s="319"/>
      <c r="BU5" s="320"/>
      <c r="BV5" s="319"/>
      <c r="CB5" s="320"/>
      <c r="CC5" s="319"/>
      <c r="CI5" s="320"/>
      <c r="CJ5" s="319"/>
      <c r="CP5" s="320"/>
      <c r="CQ5" s="319"/>
      <c r="CW5" s="320"/>
    </row>
    <row r="6" spans="1:101" ht="18" x14ac:dyDescent="0.25">
      <c r="A6" s="139">
        <v>2</v>
      </c>
      <c r="B6" s="416" t="str">
        <f>+presupuesto!B16</f>
        <v>EXCAVACION MANUAL EN MATERIAL COMUN</v>
      </c>
      <c r="C6" s="416"/>
      <c r="D6" s="64" t="str">
        <f>+'apu presupuesto'!D76:H76</f>
        <v>jr</v>
      </c>
      <c r="E6" s="64" t="str">
        <f>+'apu presupuesto'!K77</f>
        <v>2,3</v>
      </c>
      <c r="F6" s="310" t="str">
        <f>+'apu presupuesto'!K76</f>
        <v>2,3</v>
      </c>
      <c r="G6" s="310" t="str">
        <f>+presupuesto!D16</f>
        <v>M3</v>
      </c>
      <c r="H6" s="143">
        <f>+presupuesto!E16</f>
        <v>11</v>
      </c>
      <c r="I6" s="315">
        <f t="shared" si="0"/>
        <v>25</v>
      </c>
      <c r="J6" s="325">
        <v>3</v>
      </c>
      <c r="K6" s="319"/>
      <c r="Q6" s="320"/>
      <c r="R6" s="319"/>
      <c r="W6" s="322"/>
      <c r="X6" s="323"/>
      <c r="Y6" s="321"/>
      <c r="Z6" s="322"/>
      <c r="AE6" s="320"/>
      <c r="AF6" s="319"/>
      <c r="AL6" s="320"/>
      <c r="AM6" s="319"/>
      <c r="AS6" s="320"/>
      <c r="AT6" s="319"/>
      <c r="AZ6" s="320"/>
      <c r="BA6" s="319"/>
      <c r="BG6" s="320"/>
      <c r="BH6" s="319"/>
      <c r="BN6" s="320"/>
      <c r="BO6" s="319"/>
      <c r="BU6" s="320"/>
      <c r="BV6" s="319"/>
      <c r="CB6" s="320"/>
      <c r="CC6" s="319"/>
      <c r="CI6" s="320"/>
      <c r="CJ6" s="319"/>
      <c r="CP6" s="320"/>
      <c r="CQ6" s="319"/>
      <c r="CW6" s="320"/>
    </row>
    <row r="7" spans="1:101" ht="37.15" customHeight="1" x14ac:dyDescent="0.25">
      <c r="A7" s="139">
        <v>3</v>
      </c>
      <c r="B7" s="416" t="str">
        <f>+presupuesto!B17</f>
        <v>SUMINISTRO E INSTALACION DE BORDILLO PREFABRICADO A-80</v>
      </c>
      <c r="C7" s="416"/>
      <c r="D7" s="64" t="str">
        <f>+'apu presupuesto'!D106:H106</f>
        <v>hh</v>
      </c>
      <c r="E7" s="64">
        <f>+'apu presupuesto'!K107</f>
        <v>0.6</v>
      </c>
      <c r="F7" s="310">
        <f>+E7/8</f>
        <v>7.4999999999999997E-2</v>
      </c>
      <c r="G7" s="310" t="str">
        <f>+presupuesto!D17</f>
        <v>ML</v>
      </c>
      <c r="H7" s="143">
        <f>+presupuesto!E17</f>
        <v>176</v>
      </c>
      <c r="I7" s="315">
        <f t="shared" si="0"/>
        <v>13</v>
      </c>
      <c r="J7" s="325">
        <v>11</v>
      </c>
      <c r="K7" s="319"/>
      <c r="Q7" s="320"/>
      <c r="R7" s="319"/>
      <c r="X7" s="320"/>
      <c r="Y7" s="319"/>
      <c r="AA7" s="322"/>
      <c r="AB7" s="322"/>
      <c r="AC7" s="322"/>
      <c r="AD7" s="322"/>
      <c r="AE7" s="320"/>
      <c r="AF7" s="321"/>
      <c r="AG7" s="322"/>
      <c r="AH7" s="322"/>
      <c r="AI7" s="322"/>
      <c r="AJ7" s="322"/>
      <c r="AK7" s="322"/>
      <c r="AL7" s="323"/>
      <c r="AM7" s="324"/>
      <c r="AS7" s="320"/>
      <c r="AT7" s="319"/>
      <c r="AZ7" s="320"/>
      <c r="BA7" s="319"/>
      <c r="BG7" s="320"/>
      <c r="BH7" s="319"/>
      <c r="BN7" s="320"/>
      <c r="BO7" s="319"/>
      <c r="BU7" s="320"/>
      <c r="BV7" s="319"/>
      <c r="CB7" s="320"/>
      <c r="CC7" s="319"/>
      <c r="CI7" s="320"/>
      <c r="CJ7" s="319"/>
      <c r="CP7" s="320"/>
      <c r="CQ7" s="319"/>
      <c r="CW7" s="320"/>
    </row>
    <row r="8" spans="1:101" ht="48.6" customHeight="1" x14ac:dyDescent="0.25">
      <c r="A8" s="139">
        <v>4</v>
      </c>
      <c r="B8" s="416" t="str">
        <f>+presupuesto!B18</f>
        <v>SUMINISTRO, EXTENDIDA Y COMPACTACION DE MATERIAL SELECCIONADO PARA BASE GRANULAR (INCLUYE  ACARREO LIBRE DE 5KM)</v>
      </c>
      <c r="C8" s="416"/>
      <c r="D8" s="64" t="str">
        <f>+'apu presupuesto'!D135:H135</f>
        <v>hr</v>
      </c>
      <c r="E8" s="64" t="str">
        <f>+'apu presupuesto'!K135</f>
        <v>0,4</v>
      </c>
      <c r="F8" s="310" t="str">
        <f>+E8</f>
        <v>0,4</v>
      </c>
      <c r="G8" s="310" t="str">
        <f>+presupuesto!D18</f>
        <v>M3</v>
      </c>
      <c r="H8" s="143">
        <f>+presupuesto!E18</f>
        <v>219</v>
      </c>
      <c r="I8" s="315">
        <f t="shared" si="0"/>
        <v>88</v>
      </c>
      <c r="J8" s="325">
        <v>6</v>
      </c>
      <c r="K8" s="319"/>
      <c r="Q8" s="320"/>
      <c r="R8" s="319"/>
      <c r="X8" s="320"/>
      <c r="Y8" s="319"/>
      <c r="AE8" s="320"/>
      <c r="AF8" s="319"/>
      <c r="AL8" s="320"/>
      <c r="AM8" s="321"/>
      <c r="AN8" s="322"/>
      <c r="AO8" s="322"/>
      <c r="AP8" s="322"/>
      <c r="AQ8" s="322"/>
      <c r="AR8" s="322"/>
      <c r="AS8" s="323"/>
      <c r="AT8" s="319"/>
      <c r="AZ8" s="320"/>
      <c r="BA8" s="319"/>
      <c r="BG8" s="320"/>
      <c r="BH8" s="319"/>
      <c r="BN8" s="320"/>
      <c r="BO8" s="319"/>
      <c r="BU8" s="320"/>
      <c r="BV8" s="319"/>
      <c r="CB8" s="320"/>
      <c r="CC8" s="319"/>
      <c r="CI8" s="320"/>
      <c r="CJ8" s="319"/>
      <c r="CP8" s="320"/>
      <c r="CQ8" s="319"/>
      <c r="CW8" s="320"/>
    </row>
    <row r="9" spans="1:101" ht="37.15" customHeight="1" thickBot="1" x14ac:dyDescent="0.3">
      <c r="A9" s="139">
        <v>5</v>
      </c>
      <c r="B9" s="416" t="str">
        <f>+presupuesto!B19</f>
        <v>PAVIMENTO EN ADOQUIN TOLETE COMUN INSTALADO EN PANDERETA.</v>
      </c>
      <c r="C9" s="416"/>
      <c r="D9" s="64" t="str">
        <f>+'apu presupuesto'!D169:H169</f>
        <v>jr</v>
      </c>
      <c r="E9" s="64" t="str">
        <f>+'apu presupuesto'!K169</f>
        <v>0,2</v>
      </c>
      <c r="F9" s="310" t="str">
        <f>+E9</f>
        <v>0,2</v>
      </c>
      <c r="G9" s="310" t="str">
        <f>+presupuesto!D19</f>
        <v>M2</v>
      </c>
      <c r="H9" s="143">
        <f>+presupuesto!E19</f>
        <v>878</v>
      </c>
      <c r="I9" s="315">
        <f t="shared" si="0"/>
        <v>176</v>
      </c>
      <c r="J9" s="325">
        <v>45</v>
      </c>
      <c r="K9" s="227"/>
      <c r="L9" s="180"/>
      <c r="M9" s="180"/>
      <c r="N9" s="180"/>
      <c r="O9" s="180"/>
      <c r="P9" s="180"/>
      <c r="Q9" s="228"/>
      <c r="R9" s="227"/>
      <c r="S9" s="180"/>
      <c r="T9" s="180"/>
      <c r="U9" s="180"/>
      <c r="V9" s="180"/>
      <c r="W9" s="180"/>
      <c r="X9" s="228"/>
      <c r="Y9" s="227"/>
      <c r="Z9" s="180"/>
      <c r="AA9" s="180"/>
      <c r="AB9" s="180"/>
      <c r="AC9" s="180"/>
      <c r="AD9" s="180"/>
      <c r="AE9" s="228"/>
      <c r="AF9" s="227"/>
      <c r="AG9" s="180"/>
      <c r="AH9" s="180"/>
      <c r="AI9" s="180"/>
      <c r="AJ9" s="180"/>
      <c r="AK9" s="180"/>
      <c r="AL9" s="228"/>
      <c r="AM9" s="227"/>
      <c r="AN9" s="180"/>
      <c r="AO9" s="180"/>
      <c r="AP9" s="180"/>
      <c r="AQ9" s="180"/>
      <c r="AR9" s="180"/>
      <c r="AS9" s="228"/>
      <c r="AT9" s="321"/>
      <c r="AU9" s="322"/>
      <c r="AV9" s="322"/>
      <c r="AW9" s="322"/>
      <c r="AX9" s="322"/>
      <c r="AY9" s="322"/>
      <c r="AZ9" s="323"/>
      <c r="BA9" s="321"/>
      <c r="BB9" s="322"/>
      <c r="BC9" s="322"/>
      <c r="BD9" s="322"/>
      <c r="BE9" s="322"/>
      <c r="BF9" s="322"/>
      <c r="BG9" s="323"/>
      <c r="BH9" s="321"/>
      <c r="BI9" s="322"/>
      <c r="BJ9" s="322"/>
      <c r="BK9" s="322"/>
      <c r="BL9" s="322"/>
      <c r="BM9" s="322"/>
      <c r="BN9" s="323"/>
      <c r="BO9" s="321"/>
      <c r="BP9" s="322"/>
      <c r="BQ9" s="322"/>
      <c r="BR9" s="322"/>
      <c r="BS9" s="322"/>
      <c r="BT9" s="322"/>
      <c r="BU9" s="323"/>
      <c r="BV9" s="321"/>
      <c r="BW9" s="322"/>
      <c r="BX9" s="322"/>
      <c r="BY9" s="322"/>
      <c r="BZ9" s="322"/>
      <c r="CA9" s="322"/>
      <c r="CB9" s="323"/>
      <c r="CC9" s="321"/>
      <c r="CD9" s="322"/>
      <c r="CE9" s="322"/>
      <c r="CF9" s="322"/>
      <c r="CG9" s="322"/>
      <c r="CH9" s="322"/>
      <c r="CI9" s="323"/>
      <c r="CJ9" s="321"/>
      <c r="CK9" s="322"/>
      <c r="CL9" s="322"/>
      <c r="CM9" s="322"/>
      <c r="CN9" s="322"/>
      <c r="CO9" s="322"/>
      <c r="CP9" s="323"/>
      <c r="CQ9" s="321"/>
      <c r="CR9" s="322"/>
      <c r="CS9" s="322"/>
      <c r="CT9" s="322"/>
      <c r="CU9" s="322"/>
      <c r="CV9" s="322"/>
      <c r="CW9" s="323"/>
    </row>
    <row r="10" spans="1:101" x14ac:dyDescent="0.25">
      <c r="I10" s="8"/>
      <c r="J10" s="8"/>
    </row>
    <row r="11" spans="1:101" x14ac:dyDescent="0.25">
      <c r="I11" s="8"/>
      <c r="J11" s="8"/>
    </row>
  </sheetData>
  <mergeCells count="6">
    <mergeCell ref="B7:C7"/>
    <mergeCell ref="B8:C8"/>
    <mergeCell ref="B9:C9"/>
    <mergeCell ref="B4:C4"/>
    <mergeCell ref="B5:C5"/>
    <mergeCell ref="B6:C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9E0B-FD95-4BE2-A5DE-194879D7F3BA}">
  <sheetPr>
    <tabColor rgb="FF92D050"/>
  </sheetPr>
  <dimension ref="A1:T182"/>
  <sheetViews>
    <sheetView topLeftCell="A157" zoomScale="69" zoomScaleNormal="69" workbookViewId="0">
      <selection activeCell="O185" sqref="O185"/>
    </sheetView>
  </sheetViews>
  <sheetFormatPr baseColWidth="10" defaultRowHeight="15.75" x14ac:dyDescent="0.25"/>
  <cols>
    <col min="4" max="5" width="2.28515625" customWidth="1"/>
    <col min="6" max="6" width="5.5703125" customWidth="1"/>
    <col min="7" max="7" width="10.5703125" customWidth="1"/>
    <col min="8" max="8" width="5.5703125" customWidth="1"/>
    <col min="9" max="9" width="7.5703125" customWidth="1"/>
    <col min="13" max="13" width="29.140625" customWidth="1"/>
    <col min="14" max="14" width="13.7109375" style="3" hidden="1" customWidth="1"/>
    <col min="15" max="16" width="19.7109375" style="201" bestFit="1" customWidth="1"/>
    <col min="17" max="17" width="20.7109375" style="201" bestFit="1" customWidth="1"/>
    <col min="18" max="18" width="20.28515625" style="201" bestFit="1" customWidth="1"/>
    <col min="19" max="19" width="17.85546875" customWidth="1"/>
    <col min="20" max="20" width="26.42578125" customWidth="1"/>
  </cols>
  <sheetData>
    <row r="1" spans="1:20" ht="17.45" customHeight="1" x14ac:dyDescent="0.25">
      <c r="A1" s="546"/>
      <c r="B1" s="547"/>
      <c r="C1" s="547"/>
      <c r="D1" s="547"/>
      <c r="E1" s="547"/>
      <c r="F1" s="552" t="s">
        <v>110</v>
      </c>
      <c r="G1" s="552"/>
      <c r="H1" s="552"/>
      <c r="I1" s="552" t="s">
        <v>237</v>
      </c>
      <c r="J1" s="552"/>
      <c r="K1" s="552"/>
      <c r="L1" s="552"/>
      <c r="M1" s="682"/>
      <c r="N1" s="181"/>
    </row>
    <row r="2" spans="1:20" ht="17.45" customHeight="1" x14ac:dyDescent="0.25">
      <c r="A2" s="548"/>
      <c r="B2" s="549"/>
      <c r="C2" s="549"/>
      <c r="D2" s="549"/>
      <c r="E2" s="549"/>
      <c r="F2" s="553" t="s">
        <v>111</v>
      </c>
      <c r="G2" s="553"/>
      <c r="H2" s="553"/>
      <c r="I2" s="553" t="s">
        <v>237</v>
      </c>
      <c r="J2" s="553"/>
      <c r="K2" s="553"/>
      <c r="L2" s="553"/>
      <c r="M2" s="683"/>
      <c r="N2" s="181"/>
    </row>
    <row r="3" spans="1:20" ht="45" customHeight="1" x14ac:dyDescent="0.25">
      <c r="A3" s="548"/>
      <c r="B3" s="549"/>
      <c r="C3" s="549"/>
      <c r="D3" s="549"/>
      <c r="E3" s="549"/>
      <c r="F3" s="553" t="s">
        <v>112</v>
      </c>
      <c r="G3" s="553"/>
      <c r="H3" s="553"/>
      <c r="I3" s="553" t="s">
        <v>236</v>
      </c>
      <c r="J3" s="553"/>
      <c r="K3" s="553"/>
      <c r="L3" s="553"/>
      <c r="M3" s="683"/>
      <c r="N3" s="181"/>
    </row>
    <row r="4" spans="1:20" ht="18.75" thickBot="1" x14ac:dyDescent="0.3">
      <c r="A4" s="550"/>
      <c r="B4" s="551"/>
      <c r="C4" s="551"/>
      <c r="D4" s="551"/>
      <c r="E4" s="551"/>
      <c r="F4" s="554" t="s">
        <v>114</v>
      </c>
      <c r="G4" s="554"/>
      <c r="H4" s="554"/>
      <c r="I4" s="554" t="s">
        <v>75</v>
      </c>
      <c r="J4" s="554"/>
      <c r="K4" s="554"/>
      <c r="L4" s="554"/>
      <c r="M4" s="684"/>
      <c r="N4" s="181"/>
    </row>
    <row r="5" spans="1:20" ht="18.75" thickBot="1" x14ac:dyDescent="0.3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5"/>
      <c r="N5" s="61"/>
    </row>
    <row r="6" spans="1:20" ht="18.75" thickBot="1" x14ac:dyDescent="0.3">
      <c r="A6" s="258" t="s">
        <v>115</v>
      </c>
      <c r="B6" s="508" t="s">
        <v>116</v>
      </c>
      <c r="C6" s="508"/>
      <c r="D6" s="508"/>
      <c r="E6" s="508"/>
      <c r="F6" s="508"/>
      <c r="G6" s="508"/>
      <c r="H6" s="508"/>
      <c r="I6" s="254"/>
      <c r="J6" s="254"/>
      <c r="K6" s="254"/>
      <c r="L6" s="254"/>
      <c r="M6" s="255"/>
      <c r="N6" s="61"/>
    </row>
    <row r="7" spans="1:20" ht="18.75" thickBot="1" x14ac:dyDescent="0.3">
      <c r="A7" s="235"/>
      <c r="B7" s="236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7"/>
      <c r="N7" s="61"/>
      <c r="O7" s="685" t="s">
        <v>230</v>
      </c>
      <c r="P7" s="686"/>
      <c r="Q7" s="686"/>
      <c r="R7" s="687"/>
      <c r="T7" s="197" t="s">
        <v>261</v>
      </c>
    </row>
    <row r="8" spans="1:20" ht="17.45" customHeight="1" thickBot="1" x14ac:dyDescent="0.3">
      <c r="A8" s="513" t="s">
        <v>117</v>
      </c>
      <c r="B8" s="514"/>
      <c r="C8" s="561"/>
      <c r="D8" s="569" t="s">
        <v>114</v>
      </c>
      <c r="E8" s="514"/>
      <c r="F8" s="514"/>
      <c r="G8" s="514"/>
      <c r="H8" s="561"/>
      <c r="I8" s="569" t="s">
        <v>118</v>
      </c>
      <c r="J8" s="561"/>
      <c r="K8" s="569" t="s">
        <v>119</v>
      </c>
      <c r="L8" s="561"/>
      <c r="M8" s="300" t="s">
        <v>120</v>
      </c>
      <c r="N8" s="182" t="e">
        <f>+#REF!</f>
        <v>#REF!</v>
      </c>
      <c r="O8" s="202" t="s">
        <v>225</v>
      </c>
      <c r="P8" s="203" t="s">
        <v>226</v>
      </c>
      <c r="Q8" s="285" t="s">
        <v>268</v>
      </c>
      <c r="R8" s="204" t="s">
        <v>29</v>
      </c>
      <c r="T8" s="195" t="s">
        <v>258</v>
      </c>
    </row>
    <row r="9" spans="1:20" ht="18.75" thickBot="1" x14ac:dyDescent="0.3">
      <c r="A9" s="572" t="s">
        <v>121</v>
      </c>
      <c r="B9" s="540"/>
      <c r="C9" s="541"/>
      <c r="D9" s="539" t="s">
        <v>122</v>
      </c>
      <c r="E9" s="540"/>
      <c r="F9" s="540"/>
      <c r="G9" s="540"/>
      <c r="H9" s="541"/>
      <c r="I9" s="539" t="s">
        <v>275</v>
      </c>
      <c r="J9" s="541"/>
      <c r="K9" s="539" t="s">
        <v>149</v>
      </c>
      <c r="L9" s="541"/>
      <c r="M9" s="305">
        <f>+ROUND(I9*K9,0)</f>
        <v>1</v>
      </c>
      <c r="N9" s="161" t="e">
        <f>+#REF!</f>
        <v>#REF!</v>
      </c>
      <c r="O9" s="205"/>
      <c r="P9" s="206"/>
      <c r="Q9" s="206">
        <f>+M9</f>
        <v>1</v>
      </c>
      <c r="R9" s="207">
        <f>+O9+P9+Q9</f>
        <v>1</v>
      </c>
      <c r="T9" s="196" t="s">
        <v>259</v>
      </c>
    </row>
    <row r="10" spans="1:20" ht="18.75" thickBot="1" x14ac:dyDescent="0.3">
      <c r="A10" s="245"/>
      <c r="B10" s="246"/>
      <c r="C10" s="246"/>
      <c r="D10" s="242"/>
      <c r="E10" s="242"/>
      <c r="F10" s="246"/>
      <c r="G10" s="246"/>
      <c r="H10" s="246"/>
      <c r="I10" s="246"/>
      <c r="J10" s="301" t="s">
        <v>123</v>
      </c>
      <c r="K10" s="689" t="s">
        <v>116</v>
      </c>
      <c r="L10" s="689"/>
      <c r="M10" s="233">
        <f>SUM(M9)</f>
        <v>1</v>
      </c>
      <c r="N10" s="162" t="e">
        <f>+#REF!</f>
        <v>#REF!</v>
      </c>
      <c r="O10" s="208"/>
      <c r="P10" s="209"/>
      <c r="Q10" s="209"/>
      <c r="R10" s="210">
        <f t="shared" ref="R10:R25" si="0">+O10+P10+Q10</f>
        <v>0</v>
      </c>
      <c r="T10" s="196" t="s">
        <v>262</v>
      </c>
    </row>
    <row r="11" spans="1:20" ht="18.75" thickBot="1" x14ac:dyDescent="0.3">
      <c r="A11" s="245"/>
      <c r="B11" s="246"/>
      <c r="C11" s="246"/>
      <c r="D11" s="242"/>
      <c r="E11" s="242"/>
      <c r="F11" s="246"/>
      <c r="G11" s="246"/>
      <c r="H11" s="246"/>
      <c r="I11" s="246"/>
      <c r="J11" s="229"/>
      <c r="K11" s="260"/>
      <c r="L11" s="260"/>
      <c r="M11" s="230"/>
      <c r="N11" s="162"/>
      <c r="O11" s="208"/>
      <c r="P11" s="209"/>
      <c r="Q11" s="209"/>
      <c r="R11" s="210"/>
      <c r="T11" s="196"/>
    </row>
    <row r="12" spans="1:20" ht="18.75" thickBot="1" x14ac:dyDescent="0.3">
      <c r="A12" s="261" t="s">
        <v>124</v>
      </c>
      <c r="B12" s="508" t="s">
        <v>125</v>
      </c>
      <c r="C12" s="508"/>
      <c r="D12" s="508"/>
      <c r="E12" s="508"/>
      <c r="F12" s="508"/>
      <c r="G12" s="508"/>
      <c r="H12" s="508"/>
      <c r="I12" s="254"/>
      <c r="J12" s="254"/>
      <c r="K12" s="254"/>
      <c r="L12" s="254"/>
      <c r="M12" s="262"/>
      <c r="N12" s="163"/>
      <c r="O12" s="208"/>
      <c r="P12" s="209"/>
      <c r="Q12" s="209"/>
      <c r="R12" s="210">
        <f t="shared" si="0"/>
        <v>0</v>
      </c>
    </row>
    <row r="13" spans="1:20" ht="18.75" thickBot="1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6"/>
      <c r="K13" s="236"/>
      <c r="L13" s="236"/>
      <c r="M13" s="238"/>
      <c r="N13" s="163"/>
      <c r="O13" s="208"/>
      <c r="P13" s="209"/>
      <c r="Q13" s="209"/>
      <c r="R13" s="210">
        <f t="shared" si="0"/>
        <v>0</v>
      </c>
    </row>
    <row r="14" spans="1:20" ht="17.45" customHeight="1" thickBot="1" x14ac:dyDescent="0.3">
      <c r="A14" s="571" t="s">
        <v>117</v>
      </c>
      <c r="B14" s="567"/>
      <c r="C14" s="568"/>
      <c r="D14" s="566" t="s">
        <v>114</v>
      </c>
      <c r="E14" s="567"/>
      <c r="F14" s="567"/>
      <c r="G14" s="567"/>
      <c r="H14" s="568"/>
      <c r="I14" s="566" t="s">
        <v>118</v>
      </c>
      <c r="J14" s="568"/>
      <c r="K14" s="566" t="s">
        <v>119</v>
      </c>
      <c r="L14" s="568"/>
      <c r="M14" s="303" t="s">
        <v>120</v>
      </c>
      <c r="N14" s="164" t="e">
        <f>+#REF!</f>
        <v>#REF!</v>
      </c>
      <c r="O14" s="208"/>
      <c r="P14" s="209"/>
      <c r="Q14" s="209"/>
      <c r="R14" s="210">
        <f t="shared" si="0"/>
        <v>0</v>
      </c>
      <c r="T14" s="197" t="s">
        <v>257</v>
      </c>
    </row>
    <row r="15" spans="1:20" ht="17.45" customHeight="1" thickBot="1" x14ac:dyDescent="0.3">
      <c r="A15" s="574" t="s">
        <v>278</v>
      </c>
      <c r="B15" s="563"/>
      <c r="C15" s="563"/>
      <c r="D15" s="563" t="s">
        <v>15</v>
      </c>
      <c r="E15" s="563"/>
      <c r="F15" s="563"/>
      <c r="G15" s="563"/>
      <c r="H15" s="563"/>
      <c r="I15" s="690">
        <f>+listados!D25</f>
        <v>130900</v>
      </c>
      <c r="J15" s="690"/>
      <c r="K15" s="563" t="s">
        <v>279</v>
      </c>
      <c r="L15" s="563"/>
      <c r="M15" s="305">
        <f t="shared" ref="M15:M16" si="1">+ROUND(I15*K15,0)</f>
        <v>1964</v>
      </c>
      <c r="N15" s="302" t="e">
        <f>+#REF!</f>
        <v>#REF!</v>
      </c>
      <c r="O15" s="208"/>
      <c r="P15" s="209">
        <f>+M15</f>
        <v>1964</v>
      </c>
      <c r="Q15" s="209"/>
      <c r="R15" s="210">
        <f t="shared" si="0"/>
        <v>1964</v>
      </c>
      <c r="T15" t="s">
        <v>260</v>
      </c>
    </row>
    <row r="16" spans="1:20" ht="17.45" customHeight="1" thickBot="1" x14ac:dyDescent="0.3">
      <c r="A16" s="575"/>
      <c r="B16" s="564"/>
      <c r="C16" s="564"/>
      <c r="D16" s="564"/>
      <c r="E16" s="564"/>
      <c r="F16" s="564"/>
      <c r="G16" s="564"/>
      <c r="H16" s="564"/>
      <c r="I16" s="691"/>
      <c r="J16" s="691"/>
      <c r="K16" s="564"/>
      <c r="L16" s="564"/>
      <c r="M16" s="305">
        <f t="shared" si="1"/>
        <v>0</v>
      </c>
      <c r="N16" s="302" t="e">
        <f>+#REF!</f>
        <v>#REF!</v>
      </c>
      <c r="O16" s="208"/>
      <c r="P16" s="209">
        <f>+M16</f>
        <v>0</v>
      </c>
      <c r="Q16" s="209"/>
      <c r="R16" s="210">
        <f t="shared" si="0"/>
        <v>0</v>
      </c>
      <c r="T16" t="s">
        <v>263</v>
      </c>
    </row>
    <row r="17" spans="1:20" ht="17.45" customHeight="1" thickBot="1" x14ac:dyDescent="0.3">
      <c r="A17" s="573" t="s">
        <v>128</v>
      </c>
      <c r="B17" s="565"/>
      <c r="C17" s="565"/>
      <c r="D17" s="565" t="s">
        <v>15</v>
      </c>
      <c r="E17" s="565"/>
      <c r="F17" s="565"/>
      <c r="G17" s="565"/>
      <c r="H17" s="565"/>
      <c r="I17" s="692">
        <f>+listados!D26</f>
        <v>124950</v>
      </c>
      <c r="J17" s="692"/>
      <c r="K17" s="565" t="s">
        <v>150</v>
      </c>
      <c r="L17" s="565"/>
      <c r="M17" s="305">
        <f>+ROUND(I17*K17,0)</f>
        <v>1250</v>
      </c>
      <c r="N17" s="302" t="e">
        <f>+#REF!</f>
        <v>#REF!</v>
      </c>
      <c r="O17" s="208"/>
      <c r="P17" s="209"/>
      <c r="Q17" s="209">
        <f>+M17</f>
        <v>1250</v>
      </c>
      <c r="R17" s="210">
        <f t="shared" si="0"/>
        <v>1250</v>
      </c>
      <c r="T17" t="s">
        <v>265</v>
      </c>
    </row>
    <row r="18" spans="1:20" ht="18.75" thickBot="1" x14ac:dyDescent="0.3">
      <c r="A18" s="245"/>
      <c r="B18" s="246"/>
      <c r="C18" s="246"/>
      <c r="D18" s="242"/>
      <c r="E18" s="242"/>
      <c r="F18" s="246"/>
      <c r="G18" s="246"/>
      <c r="H18" s="246"/>
      <c r="I18" s="246"/>
      <c r="J18" s="301" t="s">
        <v>123</v>
      </c>
      <c r="K18" s="304" t="s">
        <v>125</v>
      </c>
      <c r="L18" s="304"/>
      <c r="M18" s="233">
        <f>SUM(M15:M17)</f>
        <v>3214</v>
      </c>
      <c r="N18" s="162" t="e">
        <f>+#REF!</f>
        <v>#REF!</v>
      </c>
      <c r="O18" s="208"/>
      <c r="P18" s="209"/>
      <c r="Q18" s="209"/>
      <c r="R18" s="210">
        <f t="shared" si="0"/>
        <v>0</v>
      </c>
      <c r="T18" t="s">
        <v>264</v>
      </c>
    </row>
    <row r="19" spans="1:20" ht="18.75" thickBot="1" x14ac:dyDescent="0.3">
      <c r="A19" s="245"/>
      <c r="B19" s="246"/>
      <c r="C19" s="246"/>
      <c r="D19" s="242"/>
      <c r="E19" s="242"/>
      <c r="F19" s="246"/>
      <c r="G19" s="246"/>
      <c r="H19" s="246"/>
      <c r="I19" s="246"/>
      <c r="J19" s="229"/>
      <c r="K19" s="243"/>
      <c r="L19" s="243"/>
      <c r="M19" s="230"/>
      <c r="N19" s="162"/>
      <c r="O19" s="208"/>
      <c r="P19" s="209"/>
      <c r="Q19" s="209"/>
      <c r="R19" s="210"/>
    </row>
    <row r="20" spans="1:20" ht="17.45" customHeight="1" thickBot="1" x14ac:dyDescent="0.3">
      <c r="A20" s="261" t="s">
        <v>129</v>
      </c>
      <c r="B20" s="508" t="s">
        <v>130</v>
      </c>
      <c r="C20" s="508"/>
      <c r="D20" s="508"/>
      <c r="E20" s="508"/>
      <c r="F20" s="508"/>
      <c r="G20" s="508"/>
      <c r="H20" s="508"/>
      <c r="I20" s="254"/>
      <c r="J20" s="254"/>
      <c r="K20" s="254"/>
      <c r="L20" s="254"/>
      <c r="M20" s="262"/>
      <c r="N20" s="163"/>
      <c r="O20" s="208"/>
      <c r="P20" s="209"/>
      <c r="Q20" s="209"/>
      <c r="R20" s="210">
        <f t="shared" si="0"/>
        <v>0</v>
      </c>
    </row>
    <row r="21" spans="1:20" ht="18.75" thickBot="1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8"/>
      <c r="N21" s="163"/>
      <c r="O21" s="208"/>
      <c r="P21" s="209"/>
      <c r="Q21" s="209"/>
      <c r="R21" s="210">
        <f t="shared" si="0"/>
        <v>0</v>
      </c>
    </row>
    <row r="22" spans="1:20" ht="17.45" customHeight="1" thickBot="1" x14ac:dyDescent="0.3">
      <c r="A22" s="513" t="s">
        <v>117</v>
      </c>
      <c r="B22" s="514"/>
      <c r="C22" s="561"/>
      <c r="D22" s="569" t="s">
        <v>114</v>
      </c>
      <c r="E22" s="514"/>
      <c r="F22" s="514"/>
      <c r="G22" s="514"/>
      <c r="H22" s="561"/>
      <c r="I22" s="569" t="s">
        <v>118</v>
      </c>
      <c r="J22" s="561"/>
      <c r="K22" s="569" t="s">
        <v>119</v>
      </c>
      <c r="L22" s="561"/>
      <c r="M22" s="306" t="s">
        <v>120</v>
      </c>
      <c r="N22" s="164" t="e">
        <f>+#REF!</f>
        <v>#REF!</v>
      </c>
      <c r="O22" s="208"/>
      <c r="P22" s="209"/>
      <c r="Q22" s="209"/>
      <c r="R22" s="210">
        <f t="shared" si="0"/>
        <v>0</v>
      </c>
    </row>
    <row r="23" spans="1:20" ht="17.45" customHeight="1" thickBot="1" x14ac:dyDescent="0.3">
      <c r="A23" s="555" t="s">
        <v>131</v>
      </c>
      <c r="B23" s="556"/>
      <c r="C23" s="557"/>
      <c r="D23" s="570" t="s">
        <v>103</v>
      </c>
      <c r="E23" s="556"/>
      <c r="F23" s="556"/>
      <c r="G23" s="556"/>
      <c r="H23" s="557"/>
      <c r="I23" s="676">
        <f>+listados!L20</f>
        <v>11689.877500000001</v>
      </c>
      <c r="J23" s="677"/>
      <c r="K23" s="570" t="s">
        <v>280</v>
      </c>
      <c r="L23" s="557"/>
      <c r="M23" s="305">
        <f t="shared" ref="M23:M24" si="2">+ROUND(I23*K23,0)</f>
        <v>1870</v>
      </c>
      <c r="N23" s="161" t="e">
        <f>+#REF!</f>
        <v>#REF!</v>
      </c>
      <c r="O23" s="208"/>
      <c r="P23" s="209"/>
      <c r="Q23" s="209">
        <f>+M23</f>
        <v>1870</v>
      </c>
      <c r="R23" s="210">
        <f t="shared" si="0"/>
        <v>1870</v>
      </c>
    </row>
    <row r="24" spans="1:20" ht="17.45" customHeight="1" thickBot="1" x14ac:dyDescent="0.3">
      <c r="A24" s="558" t="s">
        <v>132</v>
      </c>
      <c r="B24" s="559"/>
      <c r="C24" s="560"/>
      <c r="D24" s="562" t="s">
        <v>103</v>
      </c>
      <c r="E24" s="559"/>
      <c r="F24" s="559"/>
      <c r="G24" s="559"/>
      <c r="H24" s="560"/>
      <c r="I24" s="678">
        <f>+listados!L21</f>
        <v>17534.814999999999</v>
      </c>
      <c r="J24" s="679"/>
      <c r="K24" s="562" t="s">
        <v>280</v>
      </c>
      <c r="L24" s="560"/>
      <c r="M24" s="305">
        <f t="shared" si="2"/>
        <v>2806</v>
      </c>
      <c r="N24" s="161" t="e">
        <f>+#REF!</f>
        <v>#REF!</v>
      </c>
      <c r="O24" s="208"/>
      <c r="P24" s="209"/>
      <c r="Q24" s="209">
        <f>+M24</f>
        <v>2806</v>
      </c>
      <c r="R24" s="210">
        <f t="shared" si="0"/>
        <v>2806</v>
      </c>
      <c r="T24">
        <f>11689+17534</f>
        <v>29223</v>
      </c>
    </row>
    <row r="25" spans="1:20" ht="17.45" customHeight="1" thickBot="1" x14ac:dyDescent="0.3">
      <c r="A25" s="504"/>
      <c r="B25" s="505"/>
      <c r="C25" s="505"/>
      <c r="D25" s="505"/>
      <c r="E25" s="506"/>
      <c r="F25" s="506"/>
      <c r="G25" s="246"/>
      <c r="H25" s="246"/>
      <c r="I25" s="246"/>
      <c r="J25" s="688" t="s">
        <v>267</v>
      </c>
      <c r="K25" s="689"/>
      <c r="L25" s="689"/>
      <c r="M25" s="233">
        <f>SUM(M23:M24)</f>
        <v>4676</v>
      </c>
      <c r="N25" s="162" t="e">
        <f>+#REF!</f>
        <v>#REF!</v>
      </c>
      <c r="O25" s="208"/>
      <c r="P25" s="209"/>
      <c r="Q25" s="209"/>
      <c r="R25" s="210">
        <f t="shared" si="0"/>
        <v>0</v>
      </c>
      <c r="T25">
        <f>+T24*0.16</f>
        <v>4675.68</v>
      </c>
    </row>
    <row r="26" spans="1:20" ht="17.45" customHeight="1" thickBot="1" x14ac:dyDescent="0.3">
      <c r="A26" s="240"/>
      <c r="B26" s="241"/>
      <c r="C26" s="241"/>
      <c r="D26" s="241"/>
      <c r="E26" s="242"/>
      <c r="F26" s="242"/>
      <c r="G26" s="246"/>
      <c r="H26" s="246"/>
      <c r="I26" s="246"/>
      <c r="J26" s="259"/>
      <c r="K26" s="259"/>
      <c r="L26" s="259"/>
      <c r="M26" s="257"/>
      <c r="N26" s="162"/>
      <c r="O26" s="265"/>
      <c r="P26" s="266"/>
      <c r="Q26" s="266"/>
      <c r="R26" s="267"/>
    </row>
    <row r="27" spans="1:20" ht="18" customHeight="1" thickBot="1" x14ac:dyDescent="0.3">
      <c r="A27" s="231"/>
      <c r="B27" s="232"/>
      <c r="C27" s="232"/>
      <c r="D27" s="232"/>
      <c r="E27" s="232"/>
      <c r="F27" s="232"/>
      <c r="G27" s="232"/>
      <c r="H27" s="180"/>
      <c r="I27" s="268"/>
      <c r="J27" s="513" t="s">
        <v>133</v>
      </c>
      <c r="K27" s="514"/>
      <c r="L27" s="561"/>
      <c r="M27" s="263">
        <f>+ROUND((M25+M18+M10),0)</f>
        <v>7891</v>
      </c>
      <c r="N27" s="183" t="e">
        <f>+#REF!</f>
        <v>#REF!</v>
      </c>
      <c r="O27" s="200">
        <f>ROUND(SUM(O9:O25),0)</f>
        <v>0</v>
      </c>
      <c r="P27" s="200">
        <f>ROUND(SUM(P9:P25),4)</f>
        <v>1964</v>
      </c>
      <c r="Q27" s="200">
        <f>ROUND(SUM(Q9:Q25),4)</f>
        <v>5927</v>
      </c>
      <c r="R27" s="200">
        <f>ROUND(SUM(R9:R25),0)</f>
        <v>7891</v>
      </c>
      <c r="S27" s="134">
        <f>+O27+P27+Q27+R27</f>
        <v>15782</v>
      </c>
    </row>
    <row r="28" spans="1:20" s="33" customFormat="1" ht="18.75" thickBot="1" x14ac:dyDescent="0.3">
      <c r="A28" s="236"/>
      <c r="B28" s="236"/>
      <c r="C28" s="236"/>
      <c r="D28" s="236"/>
      <c r="E28" s="236"/>
      <c r="F28" s="236"/>
      <c r="G28" s="236"/>
      <c r="H28" s="243"/>
      <c r="I28" s="243"/>
      <c r="J28" s="243"/>
      <c r="K28" s="243"/>
      <c r="L28" s="243"/>
      <c r="M28" s="244"/>
      <c r="N28" s="192"/>
      <c r="O28" s="211"/>
      <c r="P28" s="211"/>
      <c r="Q28" s="211"/>
      <c r="R28" s="212"/>
    </row>
    <row r="29" spans="1:20" s="33" customFormat="1" ht="18" x14ac:dyDescent="0.25">
      <c r="A29" s="571"/>
      <c r="B29" s="567"/>
      <c r="C29" s="567"/>
      <c r="D29" s="568"/>
      <c r="E29" s="681" t="s">
        <v>110</v>
      </c>
      <c r="F29" s="681"/>
      <c r="G29" s="681"/>
      <c r="H29" s="681" t="s">
        <v>254</v>
      </c>
      <c r="I29" s="681"/>
      <c r="J29" s="681"/>
      <c r="K29" s="681"/>
      <c r="L29" s="681"/>
      <c r="M29" s="693"/>
      <c r="N29"/>
      <c r="O29" s="212"/>
      <c r="P29" s="212"/>
      <c r="Q29" s="212"/>
      <c r="R29" s="212"/>
    </row>
    <row r="30" spans="1:20" s="33" customFormat="1" ht="18" x14ac:dyDescent="0.25">
      <c r="A30" s="696"/>
      <c r="B30" s="697"/>
      <c r="C30" s="697"/>
      <c r="D30" s="698"/>
      <c r="E30" s="694" t="s">
        <v>111</v>
      </c>
      <c r="F30" s="694"/>
      <c r="G30" s="694"/>
      <c r="H30" s="694" t="s">
        <v>254</v>
      </c>
      <c r="I30" s="694"/>
      <c r="J30" s="694"/>
      <c r="K30" s="694"/>
      <c r="L30" s="694"/>
      <c r="M30" s="695"/>
      <c r="N30"/>
      <c r="O30" s="201"/>
      <c r="P30" s="201"/>
      <c r="Q30" s="201"/>
      <c r="R30" s="201"/>
    </row>
    <row r="31" spans="1:20" s="33" customFormat="1" ht="18" x14ac:dyDescent="0.25">
      <c r="A31" s="696"/>
      <c r="B31" s="697"/>
      <c r="C31" s="697"/>
      <c r="D31" s="698"/>
      <c r="E31" s="694" t="s">
        <v>112</v>
      </c>
      <c r="F31" s="694"/>
      <c r="G31" s="694"/>
      <c r="H31" s="694" t="s">
        <v>281</v>
      </c>
      <c r="I31" s="694"/>
      <c r="J31" s="694"/>
      <c r="K31" s="694"/>
      <c r="L31" s="694"/>
      <c r="M31" s="695"/>
      <c r="N31"/>
      <c r="O31" s="201"/>
      <c r="P31" s="201"/>
      <c r="Q31" s="201"/>
      <c r="R31" s="201"/>
    </row>
    <row r="32" spans="1:20" s="33" customFormat="1" ht="18.75" thickBot="1" x14ac:dyDescent="0.3">
      <c r="A32" s="688"/>
      <c r="B32" s="689"/>
      <c r="C32" s="689"/>
      <c r="D32" s="699"/>
      <c r="E32" s="707" t="s">
        <v>114</v>
      </c>
      <c r="F32" s="707"/>
      <c r="G32" s="707"/>
      <c r="H32" s="707" t="s">
        <v>49</v>
      </c>
      <c r="I32" s="707"/>
      <c r="J32" s="707"/>
      <c r="K32" s="707"/>
      <c r="L32" s="707"/>
      <c r="M32" s="708"/>
      <c r="N32"/>
      <c r="O32" s="201"/>
      <c r="P32" s="201"/>
      <c r="Q32" s="201"/>
      <c r="R32" s="201"/>
    </row>
    <row r="33" spans="1:18" s="33" customFormat="1" ht="18.75" thickBot="1" x14ac:dyDescent="0.3">
      <c r="A33" s="236"/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/>
      <c r="O33" s="201"/>
      <c r="P33" s="201"/>
      <c r="Q33" s="201"/>
      <c r="R33" s="201"/>
    </row>
    <row r="34" spans="1:18" s="33" customFormat="1" ht="18.75" thickBot="1" x14ac:dyDescent="0.3">
      <c r="A34" s="264" t="s">
        <v>115</v>
      </c>
      <c r="B34" s="508" t="s">
        <v>116</v>
      </c>
      <c r="C34" s="508"/>
      <c r="D34" s="254"/>
      <c r="E34" s="254"/>
      <c r="F34" s="254"/>
      <c r="G34" s="254"/>
      <c r="H34" s="254"/>
      <c r="I34" s="254"/>
      <c r="J34" s="254"/>
      <c r="K34" s="254"/>
      <c r="L34" s="254"/>
      <c r="M34" s="255"/>
      <c r="N34"/>
      <c r="O34" s="201"/>
      <c r="P34" s="201"/>
      <c r="Q34" s="201"/>
      <c r="R34" s="201"/>
    </row>
    <row r="35" spans="1:18" s="33" customFormat="1" ht="18.75" thickBot="1" x14ac:dyDescent="0.3">
      <c r="A35" s="236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3"/>
      <c r="O35" s="685" t="s">
        <v>230</v>
      </c>
      <c r="P35" s="686"/>
      <c r="Q35" s="686"/>
      <c r="R35" s="687"/>
    </row>
    <row r="36" spans="1:18" s="33" customFormat="1" ht="18.75" thickBot="1" x14ac:dyDescent="0.3">
      <c r="A36" s="578" t="s">
        <v>117</v>
      </c>
      <c r="B36" s="579"/>
      <c r="C36" s="579"/>
      <c r="D36" s="593" t="s">
        <v>114</v>
      </c>
      <c r="E36" s="594"/>
      <c r="F36" s="594"/>
      <c r="G36" s="594"/>
      <c r="H36" s="594"/>
      <c r="I36" s="594" t="s">
        <v>118</v>
      </c>
      <c r="J36" s="594"/>
      <c r="K36" s="594" t="s">
        <v>119</v>
      </c>
      <c r="L36" s="594"/>
      <c r="M36" s="307" t="s">
        <v>120</v>
      </c>
      <c r="N36"/>
      <c r="O36" s="221" t="s">
        <v>225</v>
      </c>
      <c r="P36" s="213" t="s">
        <v>226</v>
      </c>
      <c r="Q36" s="285" t="s">
        <v>268</v>
      </c>
      <c r="R36" s="222" t="s">
        <v>29</v>
      </c>
    </row>
    <row r="37" spans="1:18" s="33" customFormat="1" ht="18.75" thickBot="1" x14ac:dyDescent="0.3">
      <c r="A37" s="537" t="s">
        <v>282</v>
      </c>
      <c r="B37" s="538"/>
      <c r="C37" s="538"/>
      <c r="D37" s="703" t="s">
        <v>49</v>
      </c>
      <c r="E37" s="704"/>
      <c r="F37" s="704"/>
      <c r="G37" s="704"/>
      <c r="H37" s="704"/>
      <c r="I37" s="705">
        <f>+listados!D3</f>
        <v>78937</v>
      </c>
      <c r="J37" s="705"/>
      <c r="K37" s="706" t="s">
        <v>153</v>
      </c>
      <c r="L37" s="706"/>
      <c r="M37" s="305">
        <f>+ROUND(I37*K37,0)</f>
        <v>102618</v>
      </c>
      <c r="N37"/>
      <c r="O37" s="225"/>
      <c r="P37" s="214"/>
      <c r="Q37" s="214">
        <f>+M37</f>
        <v>102618</v>
      </c>
      <c r="R37" s="210">
        <f t="shared" ref="R37:R59" si="3">+O37+P37+Q37</f>
        <v>102618</v>
      </c>
    </row>
    <row r="38" spans="1:18" s="33" customFormat="1" ht="18.75" thickBot="1" x14ac:dyDescent="0.3">
      <c r="A38" s="505"/>
      <c r="B38" s="505"/>
      <c r="C38" s="505"/>
      <c r="D38" s="506"/>
      <c r="E38" s="506"/>
      <c r="F38" s="506"/>
      <c r="G38" s="506"/>
      <c r="H38" s="506"/>
      <c r="I38" s="506"/>
      <c r="J38" s="301" t="s">
        <v>123</v>
      </c>
      <c r="K38" s="507" t="s">
        <v>116</v>
      </c>
      <c r="L38" s="507"/>
      <c r="M38" s="233">
        <f>+M37</f>
        <v>102618</v>
      </c>
      <c r="N38"/>
      <c r="O38" s="225"/>
      <c r="P38" s="214"/>
      <c r="Q38" s="214"/>
      <c r="R38" s="210">
        <f t="shared" si="3"/>
        <v>0</v>
      </c>
    </row>
    <row r="39" spans="1:18" s="33" customFormat="1" ht="18.75" thickBot="1" x14ac:dyDescent="0.3">
      <c r="A39" s="241"/>
      <c r="B39" s="241"/>
      <c r="C39" s="241"/>
      <c r="D39" s="242"/>
      <c r="E39" s="242"/>
      <c r="F39" s="242"/>
      <c r="G39" s="242"/>
      <c r="H39" s="242"/>
      <c r="I39" s="242"/>
      <c r="J39" s="229"/>
      <c r="K39" s="243"/>
      <c r="L39" s="243"/>
      <c r="M39" s="247"/>
      <c r="N39"/>
      <c r="O39" s="225"/>
      <c r="P39" s="214"/>
      <c r="Q39" s="214"/>
      <c r="R39" s="210"/>
    </row>
    <row r="40" spans="1:18" s="33" customFormat="1" ht="18.75" thickBot="1" x14ac:dyDescent="0.3">
      <c r="A40" s="264" t="s">
        <v>124</v>
      </c>
      <c r="B40" s="508" t="s">
        <v>125</v>
      </c>
      <c r="C40" s="508"/>
      <c r="D40" s="254"/>
      <c r="E40" s="254"/>
      <c r="F40" s="254"/>
      <c r="G40" s="254"/>
      <c r="H40" s="254"/>
      <c r="I40" s="254"/>
      <c r="J40" s="254"/>
      <c r="K40" s="254"/>
      <c r="L40" s="254"/>
      <c r="M40" s="262"/>
      <c r="N40"/>
      <c r="O40" s="225"/>
      <c r="P40" s="214"/>
      <c r="Q40" s="214"/>
      <c r="R40" s="210">
        <f t="shared" si="3"/>
        <v>0</v>
      </c>
    </row>
    <row r="41" spans="1:18" s="33" customFormat="1" ht="18.75" thickBot="1" x14ac:dyDescent="0.3">
      <c r="A41" s="236"/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48"/>
      <c r="N41"/>
      <c r="O41" s="225"/>
      <c r="P41" s="214"/>
      <c r="Q41" s="214"/>
      <c r="R41" s="210">
        <f t="shared" si="3"/>
        <v>0</v>
      </c>
    </row>
    <row r="42" spans="1:18" s="33" customFormat="1" ht="18.75" thickBot="1" x14ac:dyDescent="0.3">
      <c r="A42" s="578" t="s">
        <v>117</v>
      </c>
      <c r="B42" s="579"/>
      <c r="C42" s="579"/>
      <c r="D42" s="593" t="s">
        <v>114</v>
      </c>
      <c r="E42" s="594"/>
      <c r="F42" s="594"/>
      <c r="G42" s="594"/>
      <c r="H42" s="594"/>
      <c r="I42" s="594" t="s">
        <v>118</v>
      </c>
      <c r="J42" s="594"/>
      <c r="K42" s="594" t="s">
        <v>119</v>
      </c>
      <c r="L42" s="594"/>
      <c r="M42" s="308" t="s">
        <v>120</v>
      </c>
      <c r="N42"/>
      <c r="O42" s="225"/>
      <c r="P42" s="214"/>
      <c r="Q42" s="214"/>
      <c r="R42" s="210">
        <f t="shared" si="3"/>
        <v>0</v>
      </c>
    </row>
    <row r="43" spans="1:18" s="33" customFormat="1" ht="18.75" thickBot="1" x14ac:dyDescent="0.3">
      <c r="A43" s="709" t="s">
        <v>252</v>
      </c>
      <c r="B43" s="710"/>
      <c r="C43" s="710"/>
      <c r="D43" s="512" t="s">
        <v>15</v>
      </c>
      <c r="E43" s="512"/>
      <c r="F43" s="512"/>
      <c r="G43" s="512"/>
      <c r="H43" s="512"/>
      <c r="I43" s="516">
        <f>+listados!D25</f>
        <v>130900</v>
      </c>
      <c r="J43" s="516"/>
      <c r="K43" s="680" t="s">
        <v>283</v>
      </c>
      <c r="L43" s="680"/>
      <c r="M43" s="305">
        <f t="shared" ref="M43:M44" si="4">+ROUND(I43*K43,0)</f>
        <v>11781</v>
      </c>
      <c r="N43"/>
      <c r="O43" s="225"/>
      <c r="P43" s="214"/>
      <c r="Q43" s="214">
        <f>+M43</f>
        <v>11781</v>
      </c>
      <c r="R43" s="210">
        <f t="shared" si="3"/>
        <v>11781</v>
      </c>
    </row>
    <row r="44" spans="1:18" s="33" customFormat="1" ht="18.75" thickBot="1" x14ac:dyDescent="0.3">
      <c r="A44" s="584" t="s">
        <v>128</v>
      </c>
      <c r="B44" s="585"/>
      <c r="C44" s="585"/>
      <c r="D44" s="586" t="s">
        <v>15</v>
      </c>
      <c r="E44" s="587"/>
      <c r="F44" s="587"/>
      <c r="G44" s="587"/>
      <c r="H44" s="587"/>
      <c r="I44" s="601">
        <f>+listados!D26</f>
        <v>124950</v>
      </c>
      <c r="J44" s="601"/>
      <c r="K44" s="711" t="s">
        <v>155</v>
      </c>
      <c r="L44" s="711"/>
      <c r="M44" s="305">
        <f t="shared" si="4"/>
        <v>3749</v>
      </c>
      <c r="N44"/>
      <c r="O44" s="225"/>
      <c r="P44" s="214"/>
      <c r="Q44" s="214">
        <f>+M44</f>
        <v>3749</v>
      </c>
      <c r="R44" s="210">
        <f t="shared" si="3"/>
        <v>3749</v>
      </c>
    </row>
    <row r="45" spans="1:18" s="33" customFormat="1" ht="18.75" thickBot="1" x14ac:dyDescent="0.3">
      <c r="A45" s="505"/>
      <c r="B45" s="505"/>
      <c r="C45" s="505"/>
      <c r="D45" s="506"/>
      <c r="E45" s="506"/>
      <c r="F45" s="506"/>
      <c r="G45" s="506"/>
      <c r="H45" s="506"/>
      <c r="I45" s="506"/>
      <c r="J45" s="301" t="s">
        <v>123</v>
      </c>
      <c r="K45" s="507" t="s">
        <v>125</v>
      </c>
      <c r="L45" s="507"/>
      <c r="M45" s="233">
        <f>SUM(M43:M44)</f>
        <v>15530</v>
      </c>
      <c r="N45"/>
      <c r="O45" s="225"/>
      <c r="P45" s="214"/>
      <c r="Q45" s="214"/>
      <c r="R45" s="210">
        <f t="shared" si="3"/>
        <v>0</v>
      </c>
    </row>
    <row r="46" spans="1:18" s="33" customFormat="1" ht="18.75" thickBot="1" x14ac:dyDescent="0.3">
      <c r="A46" s="241"/>
      <c r="B46" s="241"/>
      <c r="C46" s="241"/>
      <c r="D46" s="242"/>
      <c r="E46" s="242"/>
      <c r="F46" s="242"/>
      <c r="G46" s="242"/>
      <c r="H46" s="242"/>
      <c r="I46" s="242"/>
      <c r="J46" s="229"/>
      <c r="K46" s="243"/>
      <c r="L46" s="243"/>
      <c r="M46" s="247"/>
      <c r="N46"/>
      <c r="O46" s="225"/>
      <c r="P46" s="214"/>
      <c r="Q46" s="214"/>
      <c r="R46" s="210"/>
    </row>
    <row r="47" spans="1:18" s="33" customFormat="1" ht="18.75" thickBot="1" x14ac:dyDescent="0.3">
      <c r="A47" s="264" t="s">
        <v>129</v>
      </c>
      <c r="B47" s="508" t="s">
        <v>130</v>
      </c>
      <c r="C47" s="508"/>
      <c r="D47" s="254"/>
      <c r="E47" s="254"/>
      <c r="F47" s="254"/>
      <c r="G47" s="254"/>
      <c r="H47" s="254"/>
      <c r="I47" s="254"/>
      <c r="J47" s="254"/>
      <c r="K47" s="254"/>
      <c r="L47" s="254"/>
      <c r="M47" s="262"/>
      <c r="N47"/>
      <c r="O47" s="225"/>
      <c r="P47" s="214"/>
      <c r="Q47" s="214"/>
      <c r="R47" s="210">
        <f t="shared" si="3"/>
        <v>0</v>
      </c>
    </row>
    <row r="48" spans="1:18" s="33" customFormat="1" ht="18.75" thickBot="1" x14ac:dyDescent="0.3">
      <c r="A48" s="273"/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99"/>
      <c r="N48"/>
      <c r="O48" s="225"/>
      <c r="P48" s="214"/>
      <c r="Q48" s="214"/>
      <c r="R48" s="210">
        <f t="shared" si="3"/>
        <v>0</v>
      </c>
    </row>
    <row r="49" spans="1:19" s="33" customFormat="1" ht="18.75" thickBot="1" x14ac:dyDescent="0.3">
      <c r="A49" s="578" t="s">
        <v>117</v>
      </c>
      <c r="B49" s="579"/>
      <c r="C49" s="579"/>
      <c r="D49" s="593" t="s">
        <v>114</v>
      </c>
      <c r="E49" s="594"/>
      <c r="F49" s="594"/>
      <c r="G49" s="594"/>
      <c r="H49" s="594"/>
      <c r="I49" s="594" t="s">
        <v>118</v>
      </c>
      <c r="J49" s="594"/>
      <c r="K49" s="594" t="s">
        <v>119</v>
      </c>
      <c r="L49" s="594"/>
      <c r="M49" s="308" t="s">
        <v>120</v>
      </c>
      <c r="N49"/>
      <c r="O49" s="225"/>
      <c r="P49" s="214"/>
      <c r="Q49" s="214"/>
      <c r="R49" s="210">
        <f t="shared" si="3"/>
        <v>0</v>
      </c>
    </row>
    <row r="50" spans="1:19" s="33" customFormat="1" ht="18.75" thickBot="1" x14ac:dyDescent="0.3">
      <c r="A50" s="712" t="s">
        <v>136</v>
      </c>
      <c r="B50" s="713"/>
      <c r="C50" s="713"/>
      <c r="D50" s="714" t="s">
        <v>137</v>
      </c>
      <c r="E50" s="715"/>
      <c r="F50" s="715"/>
      <c r="G50" s="715"/>
      <c r="H50" s="715"/>
      <c r="I50" s="716">
        <f>+listados!L20</f>
        <v>11689.877500000001</v>
      </c>
      <c r="J50" s="716"/>
      <c r="K50" s="717" t="s">
        <v>151</v>
      </c>
      <c r="L50" s="717"/>
      <c r="M50" s="305">
        <f t="shared" ref="M50:M51" si="5">+ROUND(I50*K50,0)</f>
        <v>584</v>
      </c>
      <c r="N50"/>
      <c r="O50" s="225"/>
      <c r="P50" s="214"/>
      <c r="Q50" s="214">
        <f>+M50</f>
        <v>584</v>
      </c>
      <c r="R50" s="210">
        <f t="shared" si="3"/>
        <v>584</v>
      </c>
    </row>
    <row r="51" spans="1:19" ht="18.75" thickBot="1" x14ac:dyDescent="0.3">
      <c r="A51" s="584" t="s">
        <v>132</v>
      </c>
      <c r="B51" s="585"/>
      <c r="C51" s="585"/>
      <c r="D51" s="586" t="s">
        <v>137</v>
      </c>
      <c r="E51" s="587"/>
      <c r="F51" s="587"/>
      <c r="G51" s="587"/>
      <c r="H51" s="587"/>
      <c r="I51" s="601">
        <f>+listados!L21</f>
        <v>17534.814999999999</v>
      </c>
      <c r="J51" s="601"/>
      <c r="K51" s="711" t="s">
        <v>151</v>
      </c>
      <c r="L51" s="711"/>
      <c r="M51" s="305">
        <f t="shared" si="5"/>
        <v>877</v>
      </c>
      <c r="N51"/>
      <c r="O51" s="225"/>
      <c r="P51" s="214"/>
      <c r="Q51" s="214">
        <f>+M51</f>
        <v>877</v>
      </c>
      <c r="R51" s="210">
        <f t="shared" si="3"/>
        <v>877</v>
      </c>
      <c r="S51" s="135"/>
    </row>
    <row r="52" spans="1:19" ht="17.45" customHeight="1" thickBot="1" x14ac:dyDescent="0.3">
      <c r="A52" s="504"/>
      <c r="B52" s="505"/>
      <c r="C52" s="505"/>
      <c r="D52" s="506"/>
      <c r="E52" s="506"/>
      <c r="F52" s="506"/>
      <c r="G52" s="506"/>
      <c r="H52" s="506"/>
      <c r="I52" s="506"/>
      <c r="J52" s="301" t="s">
        <v>123</v>
      </c>
      <c r="K52" s="507" t="s">
        <v>130</v>
      </c>
      <c r="L52" s="507"/>
      <c r="M52" s="233">
        <f>SUM(M50:M51)</f>
        <v>1461</v>
      </c>
      <c r="N52"/>
      <c r="O52" s="225"/>
      <c r="P52" s="214"/>
      <c r="Q52" s="214"/>
      <c r="R52" s="210">
        <f t="shared" si="3"/>
        <v>0</v>
      </c>
    </row>
    <row r="53" spans="1:19" ht="17.45" customHeight="1" thickBot="1" x14ac:dyDescent="0.3">
      <c r="A53" s="240"/>
      <c r="B53" s="241"/>
      <c r="C53" s="241"/>
      <c r="D53" s="242"/>
      <c r="E53" s="242"/>
      <c r="F53" s="242"/>
      <c r="G53" s="242"/>
      <c r="H53" s="242"/>
      <c r="I53" s="242"/>
      <c r="J53" s="229"/>
      <c r="K53" s="243"/>
      <c r="L53" s="243"/>
      <c r="M53" s="230"/>
      <c r="N53"/>
      <c r="O53" s="297"/>
      <c r="P53" s="298"/>
      <c r="Q53" s="298"/>
      <c r="R53" s="210">
        <f t="shared" si="3"/>
        <v>0</v>
      </c>
    </row>
    <row r="54" spans="1:19" ht="17.45" customHeight="1" thickBot="1" x14ac:dyDescent="0.3">
      <c r="A54" s="277" t="s">
        <v>138</v>
      </c>
      <c r="B54" s="527" t="s">
        <v>139</v>
      </c>
      <c r="C54" s="527"/>
      <c r="D54" s="278"/>
      <c r="E54" s="278"/>
      <c r="F54" s="278"/>
      <c r="G54" s="278"/>
      <c r="H54" s="278"/>
      <c r="I54" s="278"/>
      <c r="J54" s="278"/>
      <c r="K54" s="278"/>
      <c r="L54" s="278"/>
      <c r="M54" s="279"/>
      <c r="N54"/>
      <c r="O54" s="335"/>
      <c r="P54" s="298"/>
      <c r="Q54" s="298"/>
      <c r="R54" s="210">
        <f t="shared" si="3"/>
        <v>0</v>
      </c>
    </row>
    <row r="55" spans="1:19" ht="17.45" customHeight="1" thickBot="1" x14ac:dyDescent="0.3">
      <c r="A55" s="153"/>
      <c r="B55" s="154"/>
      <c r="C55" s="154"/>
      <c r="D55" s="343"/>
      <c r="E55" s="343"/>
      <c r="F55" s="343"/>
      <c r="G55" s="343"/>
      <c r="H55" s="343"/>
      <c r="I55" s="343"/>
      <c r="J55" s="343"/>
      <c r="K55" s="154"/>
      <c r="L55" s="154"/>
      <c r="M55" s="157"/>
      <c r="N55"/>
      <c r="O55" s="335"/>
      <c r="P55" s="298"/>
      <c r="Q55" s="298"/>
      <c r="R55" s="210">
        <f t="shared" si="3"/>
        <v>0</v>
      </c>
    </row>
    <row r="56" spans="1:19" ht="17.45" customHeight="1" thickBot="1" x14ac:dyDescent="0.3">
      <c r="A56" s="528" t="s">
        <v>117</v>
      </c>
      <c r="B56" s="529"/>
      <c r="C56" s="529"/>
      <c r="D56" s="530" t="s">
        <v>114</v>
      </c>
      <c r="E56" s="531"/>
      <c r="F56" s="531"/>
      <c r="G56" s="531"/>
      <c r="H56" s="532"/>
      <c r="I56" s="533" t="s">
        <v>118</v>
      </c>
      <c r="J56" s="534"/>
      <c r="K56" s="535" t="s">
        <v>119</v>
      </c>
      <c r="L56" s="536"/>
      <c r="M56" s="309" t="s">
        <v>120</v>
      </c>
      <c r="N56"/>
      <c r="O56" s="335"/>
      <c r="P56" s="298"/>
      <c r="Q56" s="298"/>
      <c r="R56" s="210">
        <f t="shared" si="3"/>
        <v>0</v>
      </c>
    </row>
    <row r="57" spans="1:19" ht="17.45" customHeight="1" thickBot="1" x14ac:dyDescent="0.3">
      <c r="A57" s="537" t="s">
        <v>286</v>
      </c>
      <c r="B57" s="538"/>
      <c r="C57" s="538"/>
      <c r="D57" s="539" t="s">
        <v>140</v>
      </c>
      <c r="E57" s="540"/>
      <c r="F57" s="540"/>
      <c r="G57" s="540"/>
      <c r="H57" s="541"/>
      <c r="I57" s="542">
        <v>10464</v>
      </c>
      <c r="J57" s="543"/>
      <c r="K57" s="544" t="s">
        <v>153</v>
      </c>
      <c r="L57" s="545"/>
      <c r="M57" s="305">
        <f>+ROUND(I57*K57,0)</f>
        <v>13603</v>
      </c>
      <c r="N57"/>
      <c r="O57" s="335"/>
      <c r="P57" s="298"/>
      <c r="Q57" s="298">
        <f>+M57</f>
        <v>13603</v>
      </c>
      <c r="R57" s="210">
        <f t="shared" si="3"/>
        <v>13603</v>
      </c>
    </row>
    <row r="58" spans="1:19" ht="17.45" customHeight="1" thickBot="1" x14ac:dyDescent="0.3">
      <c r="A58" s="504"/>
      <c r="B58" s="505"/>
      <c r="C58" s="505"/>
      <c r="D58" s="506"/>
      <c r="E58" s="506"/>
      <c r="F58" s="506"/>
      <c r="G58" s="506"/>
      <c r="H58" s="506"/>
      <c r="I58" s="506"/>
      <c r="J58" s="301" t="s">
        <v>123</v>
      </c>
      <c r="K58" s="507" t="s">
        <v>139</v>
      </c>
      <c r="L58" s="507"/>
      <c r="M58" s="233">
        <f>SUM(M57)</f>
        <v>13603</v>
      </c>
      <c r="N58"/>
      <c r="O58" s="335"/>
      <c r="P58" s="298"/>
      <c r="Q58" s="298"/>
      <c r="R58" s="210">
        <f t="shared" si="3"/>
        <v>0</v>
      </c>
    </row>
    <row r="59" spans="1:19" ht="17.45" customHeight="1" thickBot="1" x14ac:dyDescent="0.3">
      <c r="A59" s="240"/>
      <c r="B59" s="241"/>
      <c r="C59" s="241"/>
      <c r="D59" s="242"/>
      <c r="E59" s="242"/>
      <c r="F59" s="242"/>
      <c r="G59" s="242"/>
      <c r="H59" s="242"/>
      <c r="I59" s="242"/>
      <c r="J59" s="229"/>
      <c r="K59" s="243"/>
      <c r="L59" s="243"/>
      <c r="M59" s="230"/>
      <c r="N59"/>
      <c r="O59" s="335"/>
      <c r="P59" s="298"/>
      <c r="Q59" s="298"/>
      <c r="R59" s="210">
        <f t="shared" si="3"/>
        <v>0</v>
      </c>
    </row>
    <row r="60" spans="1:19" ht="17.45" customHeight="1" thickBot="1" x14ac:dyDescent="0.3">
      <c r="A60" s="231"/>
      <c r="B60" s="232"/>
      <c r="C60" s="232"/>
      <c r="D60" s="232"/>
      <c r="E60" s="232"/>
      <c r="F60" s="232"/>
      <c r="G60" s="578" t="s">
        <v>133</v>
      </c>
      <c r="H60" s="579"/>
      <c r="I60" s="579"/>
      <c r="J60" s="579"/>
      <c r="K60" s="579"/>
      <c r="L60" s="336"/>
      <c r="M60" s="263">
        <f>+ROUND((M52+M45+M38+M58),0)</f>
        <v>133212</v>
      </c>
      <c r="N60"/>
      <c r="O60" s="200">
        <f>ROUND(SUM(O36:O52),0)</f>
        <v>0</v>
      </c>
      <c r="P60" s="200">
        <f>ROUND(SUM(P36:P52),0)</f>
        <v>0</v>
      </c>
      <c r="Q60" s="200">
        <f>ROUND(SUM(Q37:Q58),4)</f>
        <v>133212</v>
      </c>
      <c r="R60" s="200">
        <f>ROUND(SUM(R37:R59),0)</f>
        <v>133212</v>
      </c>
      <c r="S60" s="134">
        <f>+O60+P60+Q60+R60</f>
        <v>266424</v>
      </c>
    </row>
    <row r="61" spans="1:19" ht="16.5" thickBot="1" x14ac:dyDescent="0.3">
      <c r="A61" s="234"/>
      <c r="B61" s="234"/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4"/>
      <c r="P61" s="215"/>
      <c r="Q61" s="215"/>
      <c r="R61" s="212"/>
    </row>
    <row r="62" spans="1:19" ht="18" x14ac:dyDescent="0.25">
      <c r="A62" s="571"/>
      <c r="B62" s="567"/>
      <c r="C62" s="567"/>
      <c r="D62" s="568"/>
      <c r="E62" s="521" t="s">
        <v>110</v>
      </c>
      <c r="F62" s="522"/>
      <c r="G62" s="522"/>
      <c r="H62" s="522" t="s">
        <v>238</v>
      </c>
      <c r="I62" s="522"/>
      <c r="J62" s="522"/>
      <c r="K62" s="522"/>
      <c r="L62" s="522"/>
      <c r="M62" s="523"/>
    </row>
    <row r="63" spans="1:19" ht="18" x14ac:dyDescent="0.25">
      <c r="A63" s="696"/>
      <c r="B63" s="697"/>
      <c r="C63" s="697"/>
      <c r="D63" s="698"/>
      <c r="E63" s="524" t="s">
        <v>111</v>
      </c>
      <c r="F63" s="525"/>
      <c r="G63" s="525"/>
      <c r="H63" s="525" t="s">
        <v>238</v>
      </c>
      <c r="I63" s="525"/>
      <c r="J63" s="525"/>
      <c r="K63" s="525"/>
      <c r="L63" s="525"/>
      <c r="M63" s="526"/>
    </row>
    <row r="64" spans="1:19" ht="34.15" customHeight="1" x14ac:dyDescent="0.25">
      <c r="A64" s="696"/>
      <c r="B64" s="697"/>
      <c r="C64" s="697"/>
      <c r="D64" s="698"/>
      <c r="E64" s="524" t="s">
        <v>112</v>
      </c>
      <c r="F64" s="525"/>
      <c r="G64" s="525"/>
      <c r="H64" s="525" t="s">
        <v>239</v>
      </c>
      <c r="I64" s="525"/>
      <c r="J64" s="525"/>
      <c r="K64" s="525"/>
      <c r="L64" s="525"/>
      <c r="M64" s="526"/>
    </row>
    <row r="65" spans="1:19" ht="18" x14ac:dyDescent="0.25">
      <c r="A65" s="700"/>
      <c r="B65" s="701"/>
      <c r="C65" s="701"/>
      <c r="D65" s="702"/>
      <c r="E65" s="518" t="s">
        <v>114</v>
      </c>
      <c r="F65" s="519"/>
      <c r="G65" s="519"/>
      <c r="H65" s="519" t="s">
        <v>49</v>
      </c>
      <c r="I65" s="519"/>
      <c r="J65" s="519"/>
      <c r="K65" s="519"/>
      <c r="L65" s="519"/>
      <c r="M65" s="520"/>
    </row>
    <row r="66" spans="1:19" ht="18.75" thickBot="1" x14ac:dyDescent="0.3">
      <c r="A66" s="235"/>
      <c r="B66" s="236"/>
      <c r="C66" s="236"/>
      <c r="D66" s="236"/>
      <c r="E66" s="236"/>
      <c r="F66" s="236"/>
      <c r="G66" s="236"/>
      <c r="H66" s="236"/>
      <c r="I66" s="236"/>
      <c r="J66" s="236"/>
      <c r="K66" s="236"/>
      <c r="L66" s="236"/>
      <c r="M66" s="237"/>
    </row>
    <row r="67" spans="1:19" ht="18.75" thickBot="1" x14ac:dyDescent="0.3">
      <c r="A67" s="264" t="s">
        <v>124</v>
      </c>
      <c r="B67" s="508" t="s">
        <v>125</v>
      </c>
      <c r="C67" s="508"/>
      <c r="D67" s="254"/>
      <c r="E67" s="254"/>
      <c r="F67" s="254"/>
      <c r="G67" s="254"/>
      <c r="H67" s="254"/>
      <c r="I67" s="254"/>
      <c r="J67" s="254"/>
      <c r="K67" s="254"/>
      <c r="L67" s="254"/>
      <c r="M67" s="255"/>
    </row>
    <row r="68" spans="1:19" ht="18.75" thickBot="1" x14ac:dyDescent="0.3">
      <c r="A68" s="235"/>
      <c r="B68" s="236"/>
      <c r="C68" s="236"/>
      <c r="D68" s="236"/>
      <c r="E68" s="236"/>
      <c r="F68" s="236"/>
      <c r="G68" s="236"/>
      <c r="H68" s="236"/>
      <c r="I68" s="236"/>
      <c r="J68" s="236"/>
      <c r="K68" s="236"/>
      <c r="L68" s="236"/>
      <c r="M68" s="237"/>
      <c r="O68" s="685" t="s">
        <v>230</v>
      </c>
      <c r="P68" s="686"/>
      <c r="Q68" s="686"/>
      <c r="R68" s="687"/>
    </row>
    <row r="69" spans="1:19" ht="36.75" thickBot="1" x14ac:dyDescent="0.3">
      <c r="A69" s="509" t="s">
        <v>117</v>
      </c>
      <c r="B69" s="510"/>
      <c r="C69" s="510"/>
      <c r="D69" s="511" t="s">
        <v>114</v>
      </c>
      <c r="E69" s="512"/>
      <c r="F69" s="512"/>
      <c r="G69" s="512"/>
      <c r="H69" s="512"/>
      <c r="I69" s="512" t="s">
        <v>118</v>
      </c>
      <c r="J69" s="512"/>
      <c r="K69" s="512" t="s">
        <v>119</v>
      </c>
      <c r="L69" s="512"/>
      <c r="M69" s="239" t="s">
        <v>120</v>
      </c>
      <c r="N69" s="219" t="s">
        <v>120</v>
      </c>
      <c r="O69" s="294" t="s">
        <v>225</v>
      </c>
      <c r="P69" s="295" t="s">
        <v>226</v>
      </c>
      <c r="Q69" s="285" t="s">
        <v>268</v>
      </c>
      <c r="R69" s="296" t="s">
        <v>29</v>
      </c>
    </row>
    <row r="70" spans="1:19" ht="18.75" thickBot="1" x14ac:dyDescent="0.3">
      <c r="A70" s="509" t="s">
        <v>148</v>
      </c>
      <c r="B70" s="510"/>
      <c r="C70" s="510"/>
      <c r="D70" s="511" t="s">
        <v>33</v>
      </c>
      <c r="E70" s="512"/>
      <c r="F70" s="512"/>
      <c r="G70" s="512"/>
      <c r="H70" s="512"/>
      <c r="I70" s="516">
        <f>+M78</f>
        <v>67217</v>
      </c>
      <c r="J70" s="599"/>
      <c r="K70" s="600" t="s">
        <v>221</v>
      </c>
      <c r="L70" s="600"/>
      <c r="M70" s="305">
        <f>+ROUND(I70*K70,0)</f>
        <v>3361</v>
      </c>
      <c r="N70" s="220" t="e">
        <f>+#REF!</f>
        <v>#REF!</v>
      </c>
      <c r="O70" s="291"/>
      <c r="P70" s="292"/>
      <c r="Q70" s="293">
        <f>+M70</f>
        <v>3361</v>
      </c>
      <c r="R70" s="283">
        <f>+O70+P70+Q70</f>
        <v>3361</v>
      </c>
    </row>
    <row r="71" spans="1:19" ht="18.75" thickBot="1" x14ac:dyDescent="0.3">
      <c r="A71" s="504"/>
      <c r="B71" s="505"/>
      <c r="C71" s="505"/>
      <c r="D71" s="506"/>
      <c r="E71" s="506"/>
      <c r="F71" s="506"/>
      <c r="G71" s="506"/>
      <c r="H71" s="506"/>
      <c r="I71" s="506"/>
      <c r="J71" s="256" t="s">
        <v>123</v>
      </c>
      <c r="K71" s="508" t="s">
        <v>125</v>
      </c>
      <c r="L71" s="508"/>
      <c r="M71" s="257">
        <f>+M70</f>
        <v>3361</v>
      </c>
      <c r="N71" s="129" t="e">
        <f>+#REF!</f>
        <v>#REF!</v>
      </c>
      <c r="O71" s="223"/>
      <c r="P71" s="216"/>
      <c r="Q71" s="216"/>
      <c r="R71" s="224">
        <f t="shared" ref="R71:R78" si="6">+O71+P71+Q71</f>
        <v>0</v>
      </c>
    </row>
    <row r="72" spans="1:19" ht="18.75" thickBot="1" x14ac:dyDescent="0.3">
      <c r="A72" s="240"/>
      <c r="B72" s="241"/>
      <c r="C72" s="241"/>
      <c r="D72" s="242"/>
      <c r="E72" s="242"/>
      <c r="F72" s="242"/>
      <c r="G72" s="242"/>
      <c r="H72" s="242"/>
      <c r="I72" s="242"/>
      <c r="J72" s="229"/>
      <c r="K72" s="243"/>
      <c r="L72" s="243"/>
      <c r="M72" s="230"/>
      <c r="N72" s="129"/>
      <c r="O72" s="223"/>
      <c r="P72" s="216"/>
      <c r="Q72" s="216"/>
      <c r="R72" s="224"/>
    </row>
    <row r="73" spans="1:19" ht="18.75" thickBot="1" x14ac:dyDescent="0.3">
      <c r="A73" s="264" t="s">
        <v>129</v>
      </c>
      <c r="B73" s="508" t="s">
        <v>130</v>
      </c>
      <c r="C73" s="508"/>
      <c r="D73" s="254"/>
      <c r="E73" s="254"/>
      <c r="F73" s="254"/>
      <c r="G73" s="254"/>
      <c r="H73" s="254"/>
      <c r="I73" s="254"/>
      <c r="J73" s="254"/>
      <c r="K73" s="254"/>
      <c r="L73" s="254"/>
      <c r="M73" s="262"/>
      <c r="N73" s="130" t="e">
        <f>+#REF!</f>
        <v>#REF!</v>
      </c>
      <c r="O73" s="223"/>
      <c r="P73" s="216"/>
      <c r="Q73" s="216"/>
      <c r="R73" s="224">
        <f t="shared" si="6"/>
        <v>0</v>
      </c>
    </row>
    <row r="74" spans="1:19" ht="18" x14ac:dyDescent="0.25">
      <c r="A74" s="235"/>
      <c r="B74" s="236"/>
      <c r="C74" s="236"/>
      <c r="D74" s="236"/>
      <c r="E74" s="236"/>
      <c r="F74" s="236"/>
      <c r="G74" s="236"/>
      <c r="H74" s="236"/>
      <c r="I74" s="236"/>
      <c r="J74" s="236"/>
      <c r="K74" s="236"/>
      <c r="L74" s="236"/>
      <c r="M74" s="238"/>
      <c r="N74" s="130" t="e">
        <f>+#REF!</f>
        <v>#REF!</v>
      </c>
      <c r="O74" s="223"/>
      <c r="P74" s="216"/>
      <c r="Q74" s="216"/>
      <c r="R74" s="224">
        <f t="shared" si="6"/>
        <v>0</v>
      </c>
    </row>
    <row r="75" spans="1:19" ht="18.75" thickBot="1" x14ac:dyDescent="0.3">
      <c r="A75" s="509" t="s">
        <v>117</v>
      </c>
      <c r="B75" s="510"/>
      <c r="C75" s="510"/>
      <c r="D75" s="511" t="s">
        <v>114</v>
      </c>
      <c r="E75" s="512"/>
      <c r="F75" s="512"/>
      <c r="G75" s="512"/>
      <c r="H75" s="512"/>
      <c r="I75" s="512" t="s">
        <v>118</v>
      </c>
      <c r="J75" s="512"/>
      <c r="K75" s="512" t="s">
        <v>119</v>
      </c>
      <c r="L75" s="512"/>
      <c r="M75" s="239" t="s">
        <v>120</v>
      </c>
      <c r="N75" s="219" t="e">
        <f>+#REF!</f>
        <v>#REF!</v>
      </c>
      <c r="O75" s="223"/>
      <c r="P75" s="216"/>
      <c r="Q75" s="216"/>
      <c r="R75" s="224">
        <f t="shared" si="6"/>
        <v>0</v>
      </c>
    </row>
    <row r="76" spans="1:19" ht="18.75" thickBot="1" x14ac:dyDescent="0.3">
      <c r="A76" s="509" t="s">
        <v>136</v>
      </c>
      <c r="B76" s="510"/>
      <c r="C76" s="510"/>
      <c r="D76" s="511" t="s">
        <v>137</v>
      </c>
      <c r="E76" s="512"/>
      <c r="F76" s="512"/>
      <c r="G76" s="512"/>
      <c r="H76" s="512"/>
      <c r="I76" s="516">
        <f>+listados!L20</f>
        <v>11689.877500000001</v>
      </c>
      <c r="J76" s="516"/>
      <c r="K76" s="680" t="s">
        <v>284</v>
      </c>
      <c r="L76" s="680"/>
      <c r="M76" s="305">
        <f t="shared" ref="M76:M77" si="7">+ROUND(I76*K76,0)</f>
        <v>26887</v>
      </c>
      <c r="N76" s="220" t="e">
        <f>+#REF!</f>
        <v>#REF!</v>
      </c>
      <c r="O76" s="223"/>
      <c r="P76" s="216"/>
      <c r="Q76" s="217">
        <f>+M76</f>
        <v>26887</v>
      </c>
      <c r="R76" s="224">
        <f t="shared" si="6"/>
        <v>26887</v>
      </c>
    </row>
    <row r="77" spans="1:19" ht="18.75" thickBot="1" x14ac:dyDescent="0.3">
      <c r="A77" s="509" t="s">
        <v>132</v>
      </c>
      <c r="B77" s="510"/>
      <c r="C77" s="510"/>
      <c r="D77" s="511" t="s">
        <v>137</v>
      </c>
      <c r="E77" s="512"/>
      <c r="F77" s="512"/>
      <c r="G77" s="512"/>
      <c r="H77" s="512"/>
      <c r="I77" s="516">
        <f>+listados!L21</f>
        <v>17534.814999999999</v>
      </c>
      <c r="J77" s="599"/>
      <c r="K77" s="600" t="s">
        <v>284</v>
      </c>
      <c r="L77" s="600"/>
      <c r="M77" s="305">
        <f t="shared" si="7"/>
        <v>40330</v>
      </c>
      <c r="N77" s="220" t="e">
        <f>+#REF!</f>
        <v>#REF!</v>
      </c>
      <c r="O77" s="223"/>
      <c r="P77" s="216"/>
      <c r="Q77" s="217">
        <f>+M77</f>
        <v>40330</v>
      </c>
      <c r="R77" s="224">
        <f t="shared" si="6"/>
        <v>40330</v>
      </c>
    </row>
    <row r="78" spans="1:19" ht="18.75" thickBot="1" x14ac:dyDescent="0.3">
      <c r="A78" s="504"/>
      <c r="B78" s="505"/>
      <c r="C78" s="505"/>
      <c r="D78" s="506"/>
      <c r="E78" s="506"/>
      <c r="F78" s="506"/>
      <c r="G78" s="506"/>
      <c r="H78" s="506"/>
      <c r="I78" s="506"/>
      <c r="J78" s="256" t="s">
        <v>123</v>
      </c>
      <c r="K78" s="508" t="s">
        <v>130</v>
      </c>
      <c r="L78" s="508"/>
      <c r="M78" s="257">
        <f>SUM(M76:M77)</f>
        <v>67217</v>
      </c>
      <c r="N78" s="129" t="e">
        <f>+#REF!</f>
        <v>#REF!</v>
      </c>
      <c r="O78" s="223"/>
      <c r="P78" s="216"/>
      <c r="Q78" s="216"/>
      <c r="R78" s="224">
        <f t="shared" si="6"/>
        <v>0</v>
      </c>
    </row>
    <row r="79" spans="1:19" ht="18.75" thickBot="1" x14ac:dyDescent="0.3">
      <c r="A79" s="240"/>
      <c r="B79" s="241"/>
      <c r="C79" s="241"/>
      <c r="D79" s="242"/>
      <c r="E79" s="242"/>
      <c r="F79" s="242"/>
      <c r="G79" s="242"/>
      <c r="H79" s="242"/>
      <c r="I79" s="242"/>
      <c r="J79" s="229"/>
      <c r="K79" s="243"/>
      <c r="L79" s="243"/>
      <c r="M79" s="230"/>
      <c r="N79" s="129"/>
      <c r="O79" s="269"/>
      <c r="P79" s="270"/>
      <c r="Q79" s="270"/>
      <c r="R79" s="271"/>
    </row>
    <row r="80" spans="1:19" ht="18" customHeight="1" thickBot="1" x14ac:dyDescent="0.3">
      <c r="A80" s="231"/>
      <c r="B80" s="232"/>
      <c r="C80" s="232"/>
      <c r="D80" s="232"/>
      <c r="E80" s="232"/>
      <c r="F80" s="232"/>
      <c r="G80" s="513" t="s">
        <v>133</v>
      </c>
      <c r="H80" s="514"/>
      <c r="I80" s="514"/>
      <c r="J80" s="514"/>
      <c r="K80" s="514"/>
      <c r="L80" s="515"/>
      <c r="M80" s="350">
        <f>+ROUND((M78+M71+M63),0)</f>
        <v>70578</v>
      </c>
      <c r="N80" s="351" t="s">
        <v>222</v>
      </c>
      <c r="O80" s="200">
        <f>ROUND(SUM(O62:O78),0)</f>
        <v>0</v>
      </c>
      <c r="P80" s="200">
        <f>ROUND(SUM(P62:P78),0)</f>
        <v>0</v>
      </c>
      <c r="Q80" s="200">
        <f>ROUND(SUM(Q70:Q78),4)</f>
        <v>70578</v>
      </c>
      <c r="R80" s="349">
        <f>ROUND(SUM(R70:R78),0)</f>
        <v>70578</v>
      </c>
      <c r="S80" s="134">
        <f>+O80+P80+Q80+R80</f>
        <v>141156</v>
      </c>
    </row>
    <row r="81" spans="1:18" x14ac:dyDescent="0.25">
      <c r="A81" s="234"/>
      <c r="B81" s="234"/>
      <c r="C81" s="234"/>
      <c r="D81" s="234"/>
      <c r="E81" s="234"/>
      <c r="F81" s="234"/>
      <c r="G81" s="234"/>
      <c r="H81" s="234"/>
      <c r="I81" s="234"/>
      <c r="J81" s="234"/>
      <c r="K81" s="234"/>
      <c r="L81" s="234"/>
      <c r="M81" s="234"/>
      <c r="R81" s="212"/>
    </row>
    <row r="82" spans="1:18" ht="16.5" thickBot="1" x14ac:dyDescent="0.3">
      <c r="A82" s="234"/>
      <c r="B82" s="234"/>
      <c r="C82" s="234"/>
      <c r="D82" s="234"/>
      <c r="E82" s="234"/>
      <c r="F82" s="234"/>
      <c r="G82" s="234"/>
      <c r="H82" s="234"/>
      <c r="I82" s="234"/>
      <c r="J82" s="234"/>
      <c r="K82" s="234"/>
      <c r="L82" s="234"/>
      <c r="M82" s="234"/>
    </row>
    <row r="83" spans="1:18" ht="51" customHeight="1" x14ac:dyDescent="0.25">
      <c r="A83" s="571"/>
      <c r="B83" s="567"/>
      <c r="C83" s="567"/>
      <c r="D83" s="568"/>
      <c r="E83" s="522" t="s">
        <v>110</v>
      </c>
      <c r="F83" s="522"/>
      <c r="G83" s="522"/>
      <c r="H83" s="522" t="s">
        <v>240</v>
      </c>
      <c r="I83" s="522"/>
      <c r="J83" s="522"/>
      <c r="K83" s="522"/>
      <c r="L83" s="522"/>
      <c r="M83" s="523"/>
    </row>
    <row r="84" spans="1:18" ht="18" x14ac:dyDescent="0.25">
      <c r="A84" s="696"/>
      <c r="B84" s="697"/>
      <c r="C84" s="697"/>
      <c r="D84" s="698"/>
      <c r="E84" s="525" t="s">
        <v>111</v>
      </c>
      <c r="F84" s="525"/>
      <c r="G84" s="525"/>
      <c r="H84" s="525" t="s">
        <v>240</v>
      </c>
      <c r="I84" s="525"/>
      <c r="J84" s="525"/>
      <c r="K84" s="525"/>
      <c r="L84" s="525"/>
      <c r="M84" s="526"/>
    </row>
    <row r="85" spans="1:18" ht="18" x14ac:dyDescent="0.25">
      <c r="A85" s="696"/>
      <c r="B85" s="697"/>
      <c r="C85" s="697"/>
      <c r="D85" s="698"/>
      <c r="E85" s="525" t="s">
        <v>112</v>
      </c>
      <c r="F85" s="525"/>
      <c r="G85" s="525"/>
      <c r="H85" s="525" t="s">
        <v>241</v>
      </c>
      <c r="I85" s="525"/>
      <c r="J85" s="525"/>
      <c r="K85" s="525"/>
      <c r="L85" s="525"/>
      <c r="M85" s="526"/>
    </row>
    <row r="86" spans="1:18" ht="33" customHeight="1" thickBot="1" x14ac:dyDescent="0.3">
      <c r="A86" s="688"/>
      <c r="B86" s="689"/>
      <c r="C86" s="689"/>
      <c r="D86" s="699"/>
      <c r="E86" s="582" t="s">
        <v>114</v>
      </c>
      <c r="F86" s="582"/>
      <c r="G86" s="582"/>
      <c r="H86" s="582" t="s">
        <v>47</v>
      </c>
      <c r="I86" s="582"/>
      <c r="J86" s="582"/>
      <c r="K86" s="582"/>
      <c r="L86" s="582"/>
      <c r="M86" s="583"/>
    </row>
    <row r="87" spans="1:18" ht="18.75" thickBot="1" x14ac:dyDescent="0.3">
      <c r="A87" s="235"/>
      <c r="B87" s="236"/>
      <c r="C87" s="236"/>
      <c r="D87" s="236"/>
      <c r="E87" s="236"/>
      <c r="F87" s="236"/>
      <c r="G87" s="236"/>
      <c r="H87" s="236"/>
      <c r="I87" s="236"/>
      <c r="J87" s="236"/>
      <c r="K87" s="236"/>
      <c r="L87" s="236"/>
      <c r="M87" s="237"/>
    </row>
    <row r="88" spans="1:18" ht="18.75" thickBot="1" x14ac:dyDescent="0.3">
      <c r="A88" s="264" t="s">
        <v>115</v>
      </c>
      <c r="B88" s="508" t="s">
        <v>116</v>
      </c>
      <c r="C88" s="508"/>
      <c r="D88" s="254"/>
      <c r="E88" s="254"/>
      <c r="F88" s="254"/>
      <c r="G88" s="254"/>
      <c r="H88" s="254"/>
      <c r="I88" s="254"/>
      <c r="J88" s="254"/>
      <c r="K88" s="254"/>
      <c r="L88" s="254"/>
      <c r="M88" s="255"/>
    </row>
    <row r="89" spans="1:18" ht="18.75" thickBot="1" x14ac:dyDescent="0.3">
      <c r="A89" s="235"/>
      <c r="B89" s="236"/>
      <c r="C89" s="236"/>
      <c r="D89" s="236"/>
      <c r="E89" s="236"/>
      <c r="F89" s="236"/>
      <c r="G89" s="236"/>
      <c r="H89" s="236"/>
      <c r="I89" s="236"/>
      <c r="J89" s="236"/>
      <c r="K89" s="236"/>
      <c r="L89" s="236"/>
      <c r="M89" s="237"/>
      <c r="O89" s="685" t="s">
        <v>230</v>
      </c>
      <c r="P89" s="686"/>
      <c r="Q89" s="686"/>
      <c r="R89" s="687"/>
    </row>
    <row r="90" spans="1:18" ht="36.75" thickBot="1" x14ac:dyDescent="0.3">
      <c r="A90" s="578" t="s">
        <v>117</v>
      </c>
      <c r="B90" s="579"/>
      <c r="C90" s="579"/>
      <c r="D90" s="593" t="s">
        <v>114</v>
      </c>
      <c r="E90" s="594"/>
      <c r="F90" s="594"/>
      <c r="G90" s="594"/>
      <c r="H90" s="594"/>
      <c r="I90" s="594" t="s">
        <v>118</v>
      </c>
      <c r="J90" s="594"/>
      <c r="K90" s="594" t="s">
        <v>119</v>
      </c>
      <c r="L90" s="594"/>
      <c r="M90" s="307" t="s">
        <v>120</v>
      </c>
      <c r="N90" s="219" t="str">
        <f>+M90</f>
        <v>Vr. Parcial</v>
      </c>
      <c r="O90" s="284" t="s">
        <v>225</v>
      </c>
      <c r="P90" s="285" t="s">
        <v>226</v>
      </c>
      <c r="Q90" s="285" t="s">
        <v>268</v>
      </c>
      <c r="R90" s="286" t="s">
        <v>29</v>
      </c>
    </row>
    <row r="91" spans="1:18" ht="18.75" thickBot="1" x14ac:dyDescent="0.3">
      <c r="A91" s="576" t="s">
        <v>142</v>
      </c>
      <c r="B91" s="577"/>
      <c r="C91" s="577"/>
      <c r="D91" s="595" t="s">
        <v>49</v>
      </c>
      <c r="E91" s="596"/>
      <c r="F91" s="596"/>
      <c r="G91" s="596"/>
      <c r="H91" s="596"/>
      <c r="I91" s="597">
        <f>+listados!D8</f>
        <v>62523</v>
      </c>
      <c r="J91" s="597"/>
      <c r="K91" s="598">
        <v>0.06</v>
      </c>
      <c r="L91" s="598"/>
      <c r="M91" s="305">
        <f t="shared" ref="M91:M94" si="8">+ROUND(I91*K91,0)</f>
        <v>3751</v>
      </c>
      <c r="N91" s="220" t="e">
        <f>+#REF!</f>
        <v>#REF!</v>
      </c>
      <c r="O91" s="291"/>
      <c r="P91" s="292"/>
      <c r="Q91" s="293">
        <f>+M91</f>
        <v>3751</v>
      </c>
      <c r="R91" s="283">
        <f t="shared" ref="R91:R108" si="9">+O91+P91+Q91</f>
        <v>3751</v>
      </c>
    </row>
    <row r="92" spans="1:18" ht="18.75" thickBot="1" x14ac:dyDescent="0.3">
      <c r="A92" s="509" t="s">
        <v>143</v>
      </c>
      <c r="B92" s="510"/>
      <c r="C92" s="510"/>
      <c r="D92" s="511" t="s">
        <v>97</v>
      </c>
      <c r="E92" s="512"/>
      <c r="F92" s="512"/>
      <c r="G92" s="512"/>
      <c r="H92" s="512"/>
      <c r="I92" s="516">
        <f>+listados!D6</f>
        <v>30940</v>
      </c>
      <c r="J92" s="516"/>
      <c r="K92" s="517">
        <v>1</v>
      </c>
      <c r="L92" s="517"/>
      <c r="M92" s="305">
        <f t="shared" si="8"/>
        <v>30940</v>
      </c>
      <c r="N92" s="220" t="e">
        <f>+#REF!</f>
        <v>#REF!</v>
      </c>
      <c r="O92" s="223"/>
      <c r="P92" s="216"/>
      <c r="Q92" s="217">
        <f>+M92</f>
        <v>30940</v>
      </c>
      <c r="R92" s="224">
        <f t="shared" si="9"/>
        <v>30940</v>
      </c>
    </row>
    <row r="93" spans="1:18" ht="18.75" thickBot="1" x14ac:dyDescent="0.3">
      <c r="A93" s="509" t="s">
        <v>144</v>
      </c>
      <c r="B93" s="510"/>
      <c r="C93" s="510"/>
      <c r="D93" s="511" t="s">
        <v>62</v>
      </c>
      <c r="E93" s="512"/>
      <c r="F93" s="512"/>
      <c r="G93" s="512"/>
      <c r="H93" s="512"/>
      <c r="I93" s="516">
        <f>+listados!D7/50</f>
        <v>570</v>
      </c>
      <c r="J93" s="516"/>
      <c r="K93" s="517">
        <v>6.5</v>
      </c>
      <c r="L93" s="517"/>
      <c r="M93" s="305">
        <f t="shared" si="8"/>
        <v>3705</v>
      </c>
      <c r="N93" s="220" t="e">
        <f>+#REF!</f>
        <v>#REF!</v>
      </c>
      <c r="O93" s="223"/>
      <c r="P93" s="216"/>
      <c r="Q93" s="217">
        <f>+M93</f>
        <v>3705</v>
      </c>
      <c r="R93" s="224">
        <f t="shared" si="9"/>
        <v>3705</v>
      </c>
    </row>
    <row r="94" spans="1:18" ht="17.45" customHeight="1" thickBot="1" x14ac:dyDescent="0.3">
      <c r="A94" s="584" t="s">
        <v>121</v>
      </c>
      <c r="B94" s="585"/>
      <c r="C94" s="585"/>
      <c r="D94" s="586" t="s">
        <v>122</v>
      </c>
      <c r="E94" s="587"/>
      <c r="F94" s="587"/>
      <c r="G94" s="587"/>
      <c r="H94" s="587"/>
      <c r="I94" s="516" t="str">
        <f>+I9</f>
        <v>3,65</v>
      </c>
      <c r="J94" s="516"/>
      <c r="K94" s="588">
        <v>2</v>
      </c>
      <c r="L94" s="588"/>
      <c r="M94" s="305">
        <f t="shared" si="8"/>
        <v>7</v>
      </c>
      <c r="N94" s="220" t="e">
        <f>+#REF!</f>
        <v>#REF!</v>
      </c>
      <c r="O94" s="223"/>
      <c r="P94" s="216"/>
      <c r="Q94" s="217">
        <f>+M94</f>
        <v>7</v>
      </c>
      <c r="R94" s="224">
        <f t="shared" si="9"/>
        <v>7</v>
      </c>
    </row>
    <row r="95" spans="1:18" ht="18.75" thickBot="1" x14ac:dyDescent="0.3">
      <c r="A95" s="504"/>
      <c r="B95" s="505"/>
      <c r="C95" s="505"/>
      <c r="D95" s="506"/>
      <c r="E95" s="506"/>
      <c r="F95" s="506"/>
      <c r="G95" s="506"/>
      <c r="H95" s="506"/>
      <c r="I95" s="506"/>
      <c r="J95" s="301" t="s">
        <v>123</v>
      </c>
      <c r="K95" s="507" t="s">
        <v>116</v>
      </c>
      <c r="L95" s="507"/>
      <c r="M95" s="233">
        <f>SUM(M91:M94)</f>
        <v>38403</v>
      </c>
      <c r="N95" s="129" t="e">
        <f>+#REF!</f>
        <v>#REF!</v>
      </c>
      <c r="O95" s="223"/>
      <c r="P95" s="216"/>
      <c r="Q95" s="217"/>
      <c r="R95" s="224">
        <f t="shared" si="9"/>
        <v>0</v>
      </c>
    </row>
    <row r="96" spans="1:18" ht="18.75" thickBot="1" x14ac:dyDescent="0.3">
      <c r="A96" s="240"/>
      <c r="B96" s="241"/>
      <c r="C96" s="241"/>
      <c r="D96" s="242"/>
      <c r="E96" s="242"/>
      <c r="F96" s="242"/>
      <c r="G96" s="242"/>
      <c r="H96" s="242"/>
      <c r="I96" s="242"/>
      <c r="J96" s="229"/>
      <c r="K96" s="243"/>
      <c r="L96" s="243"/>
      <c r="M96" s="230"/>
      <c r="N96" s="129"/>
      <c r="O96" s="223"/>
      <c r="P96" s="216"/>
      <c r="Q96" s="217"/>
      <c r="R96" s="224">
        <f t="shared" si="9"/>
        <v>0</v>
      </c>
    </row>
    <row r="97" spans="1:19" ht="18.75" thickBot="1" x14ac:dyDescent="0.3">
      <c r="A97" s="264" t="s">
        <v>124</v>
      </c>
      <c r="B97" s="508" t="s">
        <v>125</v>
      </c>
      <c r="C97" s="508"/>
      <c r="D97" s="254"/>
      <c r="E97" s="254"/>
      <c r="F97" s="254"/>
      <c r="G97" s="254"/>
      <c r="H97" s="254"/>
      <c r="I97" s="254"/>
      <c r="J97" s="254"/>
      <c r="K97" s="254"/>
      <c r="L97" s="254"/>
      <c r="M97" s="255"/>
      <c r="N97" s="129"/>
      <c r="O97" s="223"/>
      <c r="P97" s="216"/>
      <c r="Q97" s="217"/>
      <c r="R97" s="224">
        <f t="shared" si="9"/>
        <v>0</v>
      </c>
    </row>
    <row r="98" spans="1:19" ht="18" x14ac:dyDescent="0.25">
      <c r="A98" s="235"/>
      <c r="B98" s="236"/>
      <c r="C98" s="236"/>
      <c r="D98" s="236"/>
      <c r="E98" s="236"/>
      <c r="F98" s="236"/>
      <c r="G98" s="236"/>
      <c r="H98" s="236"/>
      <c r="I98" s="236"/>
      <c r="J98" s="236"/>
      <c r="K98" s="236"/>
      <c r="L98" s="236"/>
      <c r="M98" s="237"/>
      <c r="N98" s="129"/>
      <c r="O98" s="223"/>
      <c r="P98" s="216"/>
      <c r="Q98" s="217"/>
      <c r="R98" s="224">
        <f t="shared" si="9"/>
        <v>0</v>
      </c>
    </row>
    <row r="99" spans="1:19" ht="18.75" thickBot="1" x14ac:dyDescent="0.3">
      <c r="A99" s="509" t="s">
        <v>117</v>
      </c>
      <c r="B99" s="510"/>
      <c r="C99" s="510"/>
      <c r="D99" s="511" t="s">
        <v>114</v>
      </c>
      <c r="E99" s="512"/>
      <c r="F99" s="512"/>
      <c r="G99" s="512"/>
      <c r="H99" s="512"/>
      <c r="I99" s="512" t="s">
        <v>118</v>
      </c>
      <c r="J99" s="512"/>
      <c r="K99" s="512" t="s">
        <v>119</v>
      </c>
      <c r="L99" s="512"/>
      <c r="M99" s="239" t="s">
        <v>120</v>
      </c>
      <c r="N99" s="129"/>
      <c r="O99" s="223"/>
      <c r="P99" s="216"/>
      <c r="Q99" s="217"/>
      <c r="R99" s="224">
        <f t="shared" si="9"/>
        <v>0</v>
      </c>
    </row>
    <row r="100" spans="1:19" ht="18.75" thickBot="1" x14ac:dyDescent="0.3">
      <c r="A100" s="509" t="s">
        <v>148</v>
      </c>
      <c r="B100" s="510"/>
      <c r="C100" s="510"/>
      <c r="D100" s="511" t="s">
        <v>33</v>
      </c>
      <c r="E100" s="512"/>
      <c r="F100" s="512"/>
      <c r="G100" s="512"/>
      <c r="H100" s="512"/>
      <c r="I100" s="516">
        <f>+M108</f>
        <v>17535</v>
      </c>
      <c r="J100" s="599"/>
      <c r="K100" s="600" t="s">
        <v>221</v>
      </c>
      <c r="L100" s="600"/>
      <c r="M100" s="305">
        <f>+ROUND(I100*K100,0)</f>
        <v>877</v>
      </c>
      <c r="N100" s="129"/>
      <c r="O100" s="223"/>
      <c r="P100" s="216"/>
      <c r="Q100" s="217">
        <f>+M100</f>
        <v>877</v>
      </c>
      <c r="R100" s="224">
        <f t="shared" si="9"/>
        <v>877</v>
      </c>
    </row>
    <row r="101" spans="1:19" ht="18.75" thickBot="1" x14ac:dyDescent="0.3">
      <c r="A101" s="504"/>
      <c r="B101" s="505"/>
      <c r="C101" s="505"/>
      <c r="D101" s="506"/>
      <c r="E101" s="506"/>
      <c r="F101" s="506"/>
      <c r="G101" s="506"/>
      <c r="H101" s="506"/>
      <c r="I101" s="506"/>
      <c r="J101" s="256" t="s">
        <v>123</v>
      </c>
      <c r="K101" s="508" t="s">
        <v>125</v>
      </c>
      <c r="L101" s="508"/>
      <c r="M101" s="257">
        <f>+M100</f>
        <v>877</v>
      </c>
      <c r="N101" s="129"/>
      <c r="O101" s="223"/>
      <c r="P101" s="216"/>
      <c r="Q101" s="217"/>
      <c r="R101" s="224">
        <f t="shared" si="9"/>
        <v>0</v>
      </c>
    </row>
    <row r="102" spans="1:19" ht="18.75" thickBot="1" x14ac:dyDescent="0.3">
      <c r="A102" s="240"/>
      <c r="B102" s="241"/>
      <c r="C102" s="241"/>
      <c r="D102" s="242"/>
      <c r="E102" s="242"/>
      <c r="F102" s="242"/>
      <c r="G102" s="242"/>
      <c r="H102" s="242"/>
      <c r="I102" s="242"/>
      <c r="J102" s="229"/>
      <c r="K102" s="243"/>
      <c r="L102" s="243"/>
      <c r="M102" s="230"/>
      <c r="N102" s="129"/>
      <c r="O102" s="223"/>
      <c r="P102" s="216"/>
      <c r="Q102" s="217"/>
      <c r="R102" s="224">
        <f t="shared" si="9"/>
        <v>0</v>
      </c>
    </row>
    <row r="103" spans="1:19" ht="17.45" customHeight="1" thickBot="1" x14ac:dyDescent="0.3">
      <c r="A103" s="264" t="s">
        <v>129</v>
      </c>
      <c r="B103" s="508" t="s">
        <v>130</v>
      </c>
      <c r="C103" s="508"/>
      <c r="D103" s="254"/>
      <c r="E103" s="254"/>
      <c r="F103" s="254"/>
      <c r="G103" s="254"/>
      <c r="H103" s="254"/>
      <c r="I103" s="254"/>
      <c r="J103" s="254"/>
      <c r="K103" s="254"/>
      <c r="L103" s="254"/>
      <c r="M103" s="255"/>
      <c r="N103" s="130"/>
      <c r="O103" s="223"/>
      <c r="P103" s="216"/>
      <c r="Q103" s="217"/>
      <c r="R103" s="224">
        <f t="shared" si="9"/>
        <v>0</v>
      </c>
    </row>
    <row r="104" spans="1:19" ht="18.75" thickBot="1" x14ac:dyDescent="0.3">
      <c r="A104" s="273"/>
      <c r="B104" s="274"/>
      <c r="C104" s="274"/>
      <c r="D104" s="274"/>
      <c r="E104" s="274"/>
      <c r="F104" s="274"/>
      <c r="G104" s="274"/>
      <c r="H104" s="274"/>
      <c r="I104" s="274"/>
      <c r="J104" s="274"/>
      <c r="K104" s="274"/>
      <c r="L104" s="274"/>
      <c r="M104" s="275"/>
      <c r="N104" s="130"/>
      <c r="O104" s="223"/>
      <c r="P104" s="216"/>
      <c r="Q104" s="217"/>
      <c r="R104" s="224">
        <f t="shared" si="9"/>
        <v>0</v>
      </c>
    </row>
    <row r="105" spans="1:19" ht="18.75" thickBot="1" x14ac:dyDescent="0.3">
      <c r="A105" s="578" t="s">
        <v>117</v>
      </c>
      <c r="B105" s="579"/>
      <c r="C105" s="579"/>
      <c r="D105" s="593" t="s">
        <v>114</v>
      </c>
      <c r="E105" s="594"/>
      <c r="F105" s="594"/>
      <c r="G105" s="594"/>
      <c r="H105" s="594"/>
      <c r="I105" s="594" t="s">
        <v>118</v>
      </c>
      <c r="J105" s="594"/>
      <c r="K105" s="594" t="s">
        <v>119</v>
      </c>
      <c r="L105" s="594"/>
      <c r="M105" s="307" t="s">
        <v>120</v>
      </c>
      <c r="N105" s="219" t="e">
        <f>+#REF!</f>
        <v>#REF!</v>
      </c>
      <c r="O105" s="223"/>
      <c r="P105" s="216"/>
      <c r="Q105" s="217"/>
      <c r="R105" s="224">
        <f t="shared" si="9"/>
        <v>0</v>
      </c>
    </row>
    <row r="106" spans="1:19" ht="18.75" thickBot="1" x14ac:dyDescent="0.3">
      <c r="A106" s="576" t="s">
        <v>131</v>
      </c>
      <c r="B106" s="577"/>
      <c r="C106" s="577"/>
      <c r="D106" s="595" t="s">
        <v>103</v>
      </c>
      <c r="E106" s="596"/>
      <c r="F106" s="596"/>
      <c r="G106" s="596"/>
      <c r="H106" s="596"/>
      <c r="I106" s="597">
        <f>+listados!L20</f>
        <v>11689.877500000001</v>
      </c>
      <c r="J106" s="597"/>
      <c r="K106" s="598">
        <v>0.6</v>
      </c>
      <c r="L106" s="598"/>
      <c r="M106" s="305">
        <f t="shared" ref="M106:M107" si="10">+ROUND(I106*K106,0)</f>
        <v>7014</v>
      </c>
      <c r="N106" s="220" t="e">
        <f>+#REF!</f>
        <v>#REF!</v>
      </c>
      <c r="O106" s="223"/>
      <c r="P106" s="216"/>
      <c r="Q106" s="217">
        <f>+M106</f>
        <v>7014</v>
      </c>
      <c r="R106" s="224">
        <f t="shared" si="9"/>
        <v>7014</v>
      </c>
    </row>
    <row r="107" spans="1:19" ht="18.75" thickBot="1" x14ac:dyDescent="0.3">
      <c r="A107" s="584" t="s">
        <v>132</v>
      </c>
      <c r="B107" s="585"/>
      <c r="C107" s="585"/>
      <c r="D107" s="586" t="s">
        <v>103</v>
      </c>
      <c r="E107" s="587"/>
      <c r="F107" s="587"/>
      <c r="G107" s="587"/>
      <c r="H107" s="587"/>
      <c r="I107" s="601">
        <f>+listados!L21</f>
        <v>17534.814999999999</v>
      </c>
      <c r="J107" s="601"/>
      <c r="K107" s="588">
        <v>0.6</v>
      </c>
      <c r="L107" s="588"/>
      <c r="M107" s="305">
        <f t="shared" si="10"/>
        <v>10521</v>
      </c>
      <c r="N107" s="220" t="e">
        <f>+#REF!</f>
        <v>#REF!</v>
      </c>
      <c r="O107" s="223"/>
      <c r="P107" s="216"/>
      <c r="Q107" s="217">
        <f>+M107</f>
        <v>10521</v>
      </c>
      <c r="R107" s="224">
        <f t="shared" si="9"/>
        <v>10521</v>
      </c>
    </row>
    <row r="108" spans="1:19" ht="17.45" customHeight="1" thickBot="1" x14ac:dyDescent="0.3">
      <c r="A108" s="504"/>
      <c r="B108" s="505"/>
      <c r="C108" s="505"/>
      <c r="D108" s="506"/>
      <c r="E108" s="506"/>
      <c r="F108" s="506"/>
      <c r="G108" s="506"/>
      <c r="H108" s="506"/>
      <c r="I108" s="506"/>
      <c r="J108" s="301" t="s">
        <v>123</v>
      </c>
      <c r="K108" s="507" t="s">
        <v>130</v>
      </c>
      <c r="L108" s="507"/>
      <c r="M108" s="233">
        <f>SUM(M106:M107)</f>
        <v>17535</v>
      </c>
      <c r="N108" s="129" t="e">
        <f>+#REF!</f>
        <v>#REF!</v>
      </c>
      <c r="O108" s="223"/>
      <c r="P108" s="216"/>
      <c r="Q108" s="217"/>
      <c r="R108" s="224">
        <f t="shared" si="9"/>
        <v>0</v>
      </c>
    </row>
    <row r="109" spans="1:19" ht="17.45" customHeight="1" thickBot="1" x14ac:dyDescent="0.3">
      <c r="A109" s="240"/>
      <c r="B109" s="241"/>
      <c r="C109" s="241"/>
      <c r="D109" s="242"/>
      <c r="E109" s="242"/>
      <c r="F109" s="242"/>
      <c r="G109" s="242"/>
      <c r="H109" s="242"/>
      <c r="I109" s="242"/>
      <c r="J109" s="229"/>
      <c r="K109" s="243"/>
      <c r="L109" s="243"/>
      <c r="M109" s="230"/>
      <c r="N109" s="129"/>
      <c r="O109" s="269"/>
      <c r="P109" s="270"/>
      <c r="Q109" s="272"/>
      <c r="R109" s="271"/>
    </row>
    <row r="110" spans="1:19" ht="17.45" customHeight="1" thickBot="1" x14ac:dyDescent="0.3">
      <c r="A110" s="231"/>
      <c r="B110" s="232"/>
      <c r="C110" s="232"/>
      <c r="D110" s="232"/>
      <c r="E110" s="232"/>
      <c r="F110" s="232"/>
      <c r="G110" s="180"/>
      <c r="H110" s="268"/>
      <c r="I110" s="513" t="s">
        <v>133</v>
      </c>
      <c r="J110" s="514"/>
      <c r="K110" s="514"/>
      <c r="L110" s="514"/>
      <c r="M110" s="263">
        <f>+ROUND((M108+M95+M101),0)</f>
        <v>56815</v>
      </c>
      <c r="N110" s="129" t="e">
        <f>+#REF!</f>
        <v>#REF!</v>
      </c>
      <c r="O110" s="348">
        <f>ROUND(SUM(O91:O108),0)</f>
        <v>0</v>
      </c>
      <c r="P110" s="200">
        <f>ROUND(SUM(P91:P108),0)</f>
        <v>0</v>
      </c>
      <c r="Q110" s="200">
        <f>ROUND(SUM(Q91:Q108),4)</f>
        <v>56815</v>
      </c>
      <c r="R110" s="349">
        <f>ROUND(SUM(R91:R108),0)</f>
        <v>56815</v>
      </c>
      <c r="S110" s="134">
        <f>+O110+P110+Q110+R110</f>
        <v>113630</v>
      </c>
    </row>
    <row r="111" spans="1:19" x14ac:dyDescent="0.25">
      <c r="A111" s="234"/>
      <c r="B111" s="234"/>
      <c r="C111" s="234"/>
      <c r="D111" s="234"/>
      <c r="E111" s="234"/>
      <c r="F111" s="234"/>
      <c r="G111" s="234"/>
      <c r="H111" s="234"/>
      <c r="I111" s="234"/>
      <c r="J111" s="234"/>
      <c r="K111" s="234"/>
      <c r="L111" s="234"/>
      <c r="M111" s="234"/>
      <c r="R111" s="212"/>
    </row>
    <row r="112" spans="1:19" ht="16.5" thickBot="1" x14ac:dyDescent="0.3">
      <c r="A112" s="234"/>
      <c r="B112" s="234"/>
      <c r="C112" s="234"/>
      <c r="D112" s="234"/>
      <c r="E112" s="234"/>
      <c r="F112" s="234"/>
      <c r="G112" s="234"/>
      <c r="H112" s="234"/>
      <c r="I112" s="234"/>
      <c r="J112" s="234"/>
      <c r="K112" s="234"/>
      <c r="L112" s="234"/>
      <c r="M112" s="234"/>
    </row>
    <row r="113" spans="1:18" ht="18" x14ac:dyDescent="0.25">
      <c r="A113" s="571"/>
      <c r="B113" s="567"/>
      <c r="C113" s="567"/>
      <c r="D113" s="568"/>
      <c r="E113" s="522" t="s">
        <v>110</v>
      </c>
      <c r="F113" s="522"/>
      <c r="G113" s="522"/>
      <c r="H113" s="522" t="s">
        <v>242</v>
      </c>
      <c r="I113" s="522"/>
      <c r="J113" s="522"/>
      <c r="K113" s="522"/>
      <c r="L113" s="522"/>
      <c r="M113" s="523"/>
    </row>
    <row r="114" spans="1:18" ht="34.9" customHeight="1" x14ac:dyDescent="0.25">
      <c r="A114" s="696"/>
      <c r="B114" s="697"/>
      <c r="C114" s="697"/>
      <c r="D114" s="698"/>
      <c r="E114" s="525" t="s">
        <v>111</v>
      </c>
      <c r="F114" s="525"/>
      <c r="G114" s="525"/>
      <c r="H114" s="525" t="s">
        <v>242</v>
      </c>
      <c r="I114" s="525"/>
      <c r="J114" s="525"/>
      <c r="K114" s="525"/>
      <c r="L114" s="525"/>
      <c r="M114" s="526"/>
    </row>
    <row r="115" spans="1:18" ht="51" customHeight="1" x14ac:dyDescent="0.25">
      <c r="A115" s="696"/>
      <c r="B115" s="697"/>
      <c r="C115" s="697"/>
      <c r="D115" s="698"/>
      <c r="E115" s="525" t="s">
        <v>112</v>
      </c>
      <c r="F115" s="525"/>
      <c r="G115" s="525"/>
      <c r="H115" s="525" t="s">
        <v>255</v>
      </c>
      <c r="I115" s="525"/>
      <c r="J115" s="525"/>
      <c r="K115" s="525"/>
      <c r="L115" s="525"/>
      <c r="M115" s="526"/>
    </row>
    <row r="116" spans="1:18" ht="17.45" customHeight="1" thickBot="1" x14ac:dyDescent="0.3">
      <c r="A116" s="688"/>
      <c r="B116" s="689"/>
      <c r="C116" s="689"/>
      <c r="D116" s="699"/>
      <c r="E116" s="582" t="s">
        <v>114</v>
      </c>
      <c r="F116" s="582"/>
      <c r="G116" s="582"/>
      <c r="H116" s="582" t="s">
        <v>49</v>
      </c>
      <c r="I116" s="582"/>
      <c r="J116" s="582"/>
      <c r="K116" s="582"/>
      <c r="L116" s="582"/>
      <c r="M116" s="583"/>
    </row>
    <row r="117" spans="1:18" ht="18.75" thickBot="1" x14ac:dyDescent="0.3">
      <c r="A117" s="235"/>
      <c r="B117" s="236"/>
      <c r="C117" s="236"/>
      <c r="D117" s="236"/>
      <c r="E117" s="236"/>
      <c r="F117" s="236"/>
      <c r="G117" s="236"/>
      <c r="H117" s="236"/>
      <c r="I117" s="236"/>
      <c r="J117" s="236"/>
      <c r="K117" s="236"/>
      <c r="L117" s="236"/>
      <c r="M117" s="237"/>
    </row>
    <row r="118" spans="1:18" ht="18.75" thickBot="1" x14ac:dyDescent="0.3">
      <c r="A118" s="264" t="s">
        <v>115</v>
      </c>
      <c r="B118" s="508" t="s">
        <v>116</v>
      </c>
      <c r="C118" s="508"/>
      <c r="D118" s="254"/>
      <c r="E118" s="254"/>
      <c r="F118" s="254"/>
      <c r="G118" s="254"/>
      <c r="H118" s="254"/>
      <c r="I118" s="254"/>
      <c r="J118" s="254"/>
      <c r="K118" s="254"/>
      <c r="L118" s="254"/>
      <c r="M118" s="255"/>
    </row>
    <row r="119" spans="1:18" ht="18.75" thickBot="1" x14ac:dyDescent="0.3">
      <c r="A119" s="235"/>
      <c r="B119" s="236"/>
      <c r="C119" s="236"/>
      <c r="D119" s="236"/>
      <c r="E119" s="236"/>
      <c r="F119" s="236"/>
      <c r="G119" s="236"/>
      <c r="H119" s="236"/>
      <c r="I119" s="236"/>
      <c r="J119" s="236"/>
      <c r="K119" s="236"/>
      <c r="L119" s="236"/>
      <c r="M119" s="237"/>
      <c r="O119" s="685" t="s">
        <v>230</v>
      </c>
      <c r="P119" s="686"/>
      <c r="Q119" s="686"/>
      <c r="R119" s="687"/>
    </row>
    <row r="120" spans="1:18" ht="18.75" thickBot="1" x14ac:dyDescent="0.3">
      <c r="A120" s="578" t="s">
        <v>117</v>
      </c>
      <c r="B120" s="579"/>
      <c r="C120" s="579"/>
      <c r="D120" s="569" t="s">
        <v>114</v>
      </c>
      <c r="E120" s="514"/>
      <c r="F120" s="514"/>
      <c r="G120" s="514"/>
      <c r="H120" s="561"/>
      <c r="I120" s="569" t="s">
        <v>118</v>
      </c>
      <c r="J120" s="561"/>
      <c r="K120" s="569" t="s">
        <v>119</v>
      </c>
      <c r="L120" s="561"/>
      <c r="M120" s="300" t="s">
        <v>120</v>
      </c>
      <c r="N120" s="219" t="e">
        <f>+#REF!</f>
        <v>#REF!</v>
      </c>
      <c r="O120" s="284" t="s">
        <v>225</v>
      </c>
      <c r="P120" s="285" t="s">
        <v>226</v>
      </c>
      <c r="Q120" s="285" t="s">
        <v>268</v>
      </c>
      <c r="R120" s="286" t="s">
        <v>29</v>
      </c>
    </row>
    <row r="121" spans="1:18" ht="81.599999999999994" customHeight="1" thickBot="1" x14ac:dyDescent="0.3">
      <c r="A121" s="580" t="s">
        <v>135</v>
      </c>
      <c r="B121" s="581"/>
      <c r="C121" s="581"/>
      <c r="D121" s="650" t="s">
        <v>49</v>
      </c>
      <c r="E121" s="651"/>
      <c r="F121" s="651"/>
      <c r="G121" s="651"/>
      <c r="H121" s="652"/>
      <c r="I121" s="648">
        <f>+listados!D4</f>
        <v>72987</v>
      </c>
      <c r="J121" s="649"/>
      <c r="K121" s="646" t="s">
        <v>153</v>
      </c>
      <c r="L121" s="647"/>
      <c r="M121" s="305">
        <f>+ROUND(I121*K121,0)</f>
        <v>94883</v>
      </c>
      <c r="N121" s="159" t="e">
        <f>+#REF!</f>
        <v>#REF!</v>
      </c>
      <c r="O121" s="287"/>
      <c r="P121" s="288"/>
      <c r="Q121" s="289">
        <f>+M121</f>
        <v>94883</v>
      </c>
      <c r="R121" s="290">
        <f t="shared" ref="R121:R141" si="11">+O121+P121+Q121</f>
        <v>94883</v>
      </c>
    </row>
    <row r="122" spans="1:18" ht="18.75" thickBot="1" x14ac:dyDescent="0.3">
      <c r="A122" s="504"/>
      <c r="B122" s="505"/>
      <c r="C122" s="505"/>
      <c r="D122" s="506"/>
      <c r="E122" s="506"/>
      <c r="F122" s="506"/>
      <c r="G122" s="506"/>
      <c r="H122" s="506"/>
      <c r="I122" s="506"/>
      <c r="J122" s="301" t="s">
        <v>123</v>
      </c>
      <c r="K122" s="507" t="s">
        <v>116</v>
      </c>
      <c r="L122" s="507"/>
      <c r="M122" s="233">
        <f>SUM(M121)</f>
        <v>94883</v>
      </c>
      <c r="N122" s="129" t="e">
        <f>+#REF!</f>
        <v>#REF!</v>
      </c>
      <c r="O122" s="223"/>
      <c r="P122" s="216"/>
      <c r="Q122" s="216"/>
      <c r="R122" s="224">
        <f t="shared" si="11"/>
        <v>0</v>
      </c>
    </row>
    <row r="123" spans="1:18" ht="18.75" thickBot="1" x14ac:dyDescent="0.3">
      <c r="A123" s="240"/>
      <c r="B123" s="241"/>
      <c r="C123" s="241"/>
      <c r="D123" s="242"/>
      <c r="E123" s="242"/>
      <c r="F123" s="242"/>
      <c r="G123" s="242"/>
      <c r="H123" s="242"/>
      <c r="I123" s="242"/>
      <c r="J123" s="229"/>
      <c r="K123" s="243"/>
      <c r="L123" s="243"/>
      <c r="M123" s="230"/>
      <c r="N123" s="129"/>
      <c r="O123" s="223"/>
      <c r="P123" s="216"/>
      <c r="Q123" s="216"/>
      <c r="R123" s="224"/>
    </row>
    <row r="124" spans="1:18" ht="18.75" thickBot="1" x14ac:dyDescent="0.3">
      <c r="A124" s="264" t="s">
        <v>124</v>
      </c>
      <c r="B124" s="508" t="s">
        <v>125</v>
      </c>
      <c r="C124" s="508"/>
      <c r="D124" s="254"/>
      <c r="E124" s="254"/>
      <c r="F124" s="254"/>
      <c r="G124" s="254"/>
      <c r="H124" s="254"/>
      <c r="I124" s="254"/>
      <c r="J124" s="254"/>
      <c r="K124" s="254"/>
      <c r="L124" s="254"/>
      <c r="M124" s="262"/>
      <c r="N124" s="130"/>
      <c r="O124" s="223"/>
      <c r="P124" s="216"/>
      <c r="Q124" s="216"/>
      <c r="R124" s="224">
        <f t="shared" si="11"/>
        <v>0</v>
      </c>
    </row>
    <row r="125" spans="1:18" ht="18.75" thickBot="1" x14ac:dyDescent="0.3">
      <c r="A125" s="235"/>
      <c r="B125" s="236"/>
      <c r="C125" s="236"/>
      <c r="D125" s="236"/>
      <c r="E125" s="236"/>
      <c r="F125" s="236"/>
      <c r="G125" s="236"/>
      <c r="H125" s="236"/>
      <c r="I125" s="236"/>
      <c r="J125" s="236"/>
      <c r="K125" s="236"/>
      <c r="L125" s="236"/>
      <c r="M125" s="238"/>
      <c r="N125" s="130"/>
      <c r="O125" s="223"/>
      <c r="P125" s="216"/>
      <c r="Q125" s="216"/>
      <c r="R125" s="224">
        <f t="shared" si="11"/>
        <v>0</v>
      </c>
    </row>
    <row r="126" spans="1:18" ht="18.75" thickBot="1" x14ac:dyDescent="0.3">
      <c r="A126" s="578" t="s">
        <v>117</v>
      </c>
      <c r="B126" s="579"/>
      <c r="C126" s="579"/>
      <c r="D126" s="569" t="s">
        <v>114</v>
      </c>
      <c r="E126" s="514"/>
      <c r="F126" s="514"/>
      <c r="G126" s="514"/>
      <c r="H126" s="561"/>
      <c r="I126" s="635" t="s">
        <v>118</v>
      </c>
      <c r="J126" s="636"/>
      <c r="K126" s="635" t="s">
        <v>119</v>
      </c>
      <c r="L126" s="636"/>
      <c r="M126" s="308" t="s">
        <v>120</v>
      </c>
      <c r="N126" s="219" t="e">
        <f>+#REF!</f>
        <v>#REF!</v>
      </c>
      <c r="O126" s="223"/>
      <c r="P126" s="216"/>
      <c r="Q126" s="216"/>
      <c r="R126" s="224">
        <f t="shared" si="11"/>
        <v>0</v>
      </c>
    </row>
    <row r="127" spans="1:18" ht="18.75" thickBot="1" x14ac:dyDescent="0.3">
      <c r="A127" s="576" t="s">
        <v>126</v>
      </c>
      <c r="B127" s="577"/>
      <c r="C127" s="577"/>
      <c r="D127" s="657" t="s">
        <v>15</v>
      </c>
      <c r="E127" s="658"/>
      <c r="F127" s="658"/>
      <c r="G127" s="658"/>
      <c r="H127" s="659"/>
      <c r="I127" s="655">
        <f>+listados!D27/8</f>
        <v>59375</v>
      </c>
      <c r="J127" s="656"/>
      <c r="K127" s="653" t="s">
        <v>151</v>
      </c>
      <c r="L127" s="654"/>
      <c r="M127" s="305">
        <f t="shared" ref="M127:M129" si="12">+ROUND(I127*K127,0)</f>
        <v>2969</v>
      </c>
      <c r="N127" s="220" t="e">
        <f>+#REF!</f>
        <v>#REF!</v>
      </c>
      <c r="O127" s="223"/>
      <c r="P127" s="217">
        <f>+M127</f>
        <v>2969</v>
      </c>
      <c r="Q127" s="217"/>
      <c r="R127" s="224">
        <f t="shared" si="11"/>
        <v>2969</v>
      </c>
    </row>
    <row r="128" spans="1:18" ht="18.75" thickBot="1" x14ac:dyDescent="0.3">
      <c r="A128" s="509" t="s">
        <v>127</v>
      </c>
      <c r="B128" s="510"/>
      <c r="C128" s="510"/>
      <c r="D128" s="615" t="s">
        <v>15</v>
      </c>
      <c r="E128" s="616"/>
      <c r="F128" s="616"/>
      <c r="G128" s="616"/>
      <c r="H128" s="617"/>
      <c r="I128" s="662">
        <f>+listados!D24</f>
        <v>175525</v>
      </c>
      <c r="J128" s="663"/>
      <c r="K128" s="660" t="s">
        <v>152</v>
      </c>
      <c r="L128" s="661"/>
      <c r="M128" s="305">
        <f t="shared" si="12"/>
        <v>12287</v>
      </c>
      <c r="N128" s="220" t="e">
        <f>+#REF!</f>
        <v>#REF!</v>
      </c>
      <c r="O128" s="223"/>
      <c r="P128" s="217">
        <f>+M128</f>
        <v>12287</v>
      </c>
      <c r="Q128" s="216"/>
      <c r="R128" s="224">
        <f t="shared" si="11"/>
        <v>12287</v>
      </c>
    </row>
    <row r="129" spans="1:19" ht="18.75" thickBot="1" x14ac:dyDescent="0.3">
      <c r="A129" s="584" t="s">
        <v>128</v>
      </c>
      <c r="B129" s="585"/>
      <c r="C129" s="585"/>
      <c r="D129" s="562" t="s">
        <v>15</v>
      </c>
      <c r="E129" s="559"/>
      <c r="F129" s="559"/>
      <c r="G129" s="559"/>
      <c r="H129" s="560"/>
      <c r="I129" s="640">
        <f>+listados!D26</f>
        <v>124950</v>
      </c>
      <c r="J129" s="641"/>
      <c r="K129" s="620" t="s">
        <v>152</v>
      </c>
      <c r="L129" s="621"/>
      <c r="M129" s="305">
        <f t="shared" si="12"/>
        <v>8747</v>
      </c>
      <c r="N129" s="220" t="e">
        <f>+#REF!</f>
        <v>#REF!</v>
      </c>
      <c r="O129" s="223"/>
      <c r="P129" s="216"/>
      <c r="Q129" s="217">
        <f>+M129</f>
        <v>8747</v>
      </c>
      <c r="R129" s="224">
        <f t="shared" si="11"/>
        <v>8747</v>
      </c>
    </row>
    <row r="130" spans="1:19" ht="18.75" thickBot="1" x14ac:dyDescent="0.3">
      <c r="A130" s="504"/>
      <c r="B130" s="505"/>
      <c r="C130" s="505"/>
      <c r="D130" s="506"/>
      <c r="E130" s="506"/>
      <c r="F130" s="506"/>
      <c r="G130" s="506"/>
      <c r="H130" s="506"/>
      <c r="I130" s="506"/>
      <c r="J130" s="301" t="s">
        <v>123</v>
      </c>
      <c r="K130" s="507" t="s">
        <v>125</v>
      </c>
      <c r="L130" s="507"/>
      <c r="M130" s="233">
        <f>SUM(M127:M129)</f>
        <v>24003</v>
      </c>
      <c r="N130" s="129" t="e">
        <f>+#REF!</f>
        <v>#REF!</v>
      </c>
      <c r="O130" s="223"/>
      <c r="P130" s="216"/>
      <c r="Q130" s="216"/>
      <c r="R130" s="224">
        <f t="shared" si="11"/>
        <v>0</v>
      </c>
    </row>
    <row r="131" spans="1:19" ht="18.75" thickBot="1" x14ac:dyDescent="0.3">
      <c r="A131" s="240"/>
      <c r="B131" s="241"/>
      <c r="C131" s="241"/>
      <c r="D131" s="242"/>
      <c r="E131" s="242"/>
      <c r="F131" s="242"/>
      <c r="G131" s="242"/>
      <c r="H131" s="242"/>
      <c r="I131" s="242"/>
      <c r="J131" s="229"/>
      <c r="K131" s="243"/>
      <c r="L131" s="243"/>
      <c r="M131" s="230"/>
      <c r="N131" s="129"/>
      <c r="O131" s="223"/>
      <c r="P131" s="216"/>
      <c r="Q131" s="216"/>
      <c r="R131" s="224"/>
    </row>
    <row r="132" spans="1:19" ht="18.75" thickBot="1" x14ac:dyDescent="0.3">
      <c r="A132" s="264" t="s">
        <v>129</v>
      </c>
      <c r="B132" s="508" t="s">
        <v>130</v>
      </c>
      <c r="C132" s="508"/>
      <c r="D132" s="254"/>
      <c r="E132" s="254"/>
      <c r="F132" s="254"/>
      <c r="G132" s="254"/>
      <c r="H132" s="254"/>
      <c r="I132" s="254"/>
      <c r="J132" s="254"/>
      <c r="K132" s="254"/>
      <c r="L132" s="254"/>
      <c r="M132" s="262"/>
      <c r="N132" s="130"/>
      <c r="O132" s="223"/>
      <c r="P132" s="216"/>
      <c r="Q132" s="216"/>
      <c r="R132" s="224">
        <f t="shared" si="11"/>
        <v>0</v>
      </c>
    </row>
    <row r="133" spans="1:19" ht="18" x14ac:dyDescent="0.2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4"/>
      <c r="M133" s="157"/>
      <c r="N133" s="130"/>
      <c r="O133" s="223"/>
      <c r="P133" s="216"/>
      <c r="Q133" s="216"/>
      <c r="R133" s="224">
        <f t="shared" si="11"/>
        <v>0</v>
      </c>
    </row>
    <row r="134" spans="1:19" ht="18.75" thickBot="1" x14ac:dyDescent="0.3">
      <c r="A134" s="591" t="s">
        <v>117</v>
      </c>
      <c r="B134" s="592"/>
      <c r="C134" s="592"/>
      <c r="D134" s="669" t="s">
        <v>114</v>
      </c>
      <c r="E134" s="670"/>
      <c r="F134" s="670"/>
      <c r="G134" s="670"/>
      <c r="H134" s="671"/>
      <c r="I134" s="674" t="s">
        <v>118</v>
      </c>
      <c r="J134" s="675"/>
      <c r="K134" s="672" t="s">
        <v>119</v>
      </c>
      <c r="L134" s="673"/>
      <c r="M134" s="158" t="s">
        <v>120</v>
      </c>
      <c r="N134" s="219" t="e">
        <f>+#REF!</f>
        <v>#REF!</v>
      </c>
      <c r="O134" s="223"/>
      <c r="P134" s="216"/>
      <c r="Q134" s="216"/>
      <c r="R134" s="224">
        <f t="shared" si="11"/>
        <v>0</v>
      </c>
    </row>
    <row r="135" spans="1:19" ht="36" customHeight="1" thickBot="1" x14ac:dyDescent="0.3">
      <c r="A135" s="591" t="s">
        <v>136</v>
      </c>
      <c r="B135" s="592"/>
      <c r="C135" s="592"/>
      <c r="D135" s="669" t="s">
        <v>15</v>
      </c>
      <c r="E135" s="670"/>
      <c r="F135" s="670"/>
      <c r="G135" s="670"/>
      <c r="H135" s="671"/>
      <c r="I135" s="667">
        <f>+listados!L20</f>
        <v>11689.877500000001</v>
      </c>
      <c r="J135" s="668"/>
      <c r="K135" s="665" t="s">
        <v>285</v>
      </c>
      <c r="L135" s="666"/>
      <c r="M135" s="305">
        <f>+ROUND(I135*K135,0)</f>
        <v>4676</v>
      </c>
      <c r="N135" s="220" t="e">
        <f>+#REF!</f>
        <v>#REF!</v>
      </c>
      <c r="O135" s="223"/>
      <c r="P135" s="216"/>
      <c r="Q135" s="217">
        <f>+M135</f>
        <v>4676</v>
      </c>
      <c r="R135" s="224">
        <f t="shared" si="11"/>
        <v>4676</v>
      </c>
    </row>
    <row r="136" spans="1:19" ht="18.75" thickBot="1" x14ac:dyDescent="0.3">
      <c r="A136" s="589"/>
      <c r="B136" s="590"/>
      <c r="C136" s="590"/>
      <c r="D136" s="664"/>
      <c r="E136" s="664"/>
      <c r="F136" s="664"/>
      <c r="G136" s="664"/>
      <c r="H136" s="664"/>
      <c r="I136" s="664"/>
      <c r="J136" s="344" t="s">
        <v>123</v>
      </c>
      <c r="K136" s="527" t="s">
        <v>130</v>
      </c>
      <c r="L136" s="527"/>
      <c r="M136" s="276">
        <f>SUM(M135)</f>
        <v>4676</v>
      </c>
      <c r="N136" s="129" t="e">
        <f>+#REF!</f>
        <v>#REF!</v>
      </c>
      <c r="O136" s="223"/>
      <c r="P136" s="216"/>
      <c r="Q136" s="216"/>
      <c r="R136" s="224">
        <f t="shared" si="11"/>
        <v>0</v>
      </c>
    </row>
    <row r="137" spans="1:19" ht="18.75" thickBot="1" x14ac:dyDescent="0.3">
      <c r="A137" s="198"/>
      <c r="B137" s="199"/>
      <c r="C137" s="199"/>
      <c r="D137" s="345"/>
      <c r="E137" s="345"/>
      <c r="F137" s="345"/>
      <c r="G137" s="345"/>
      <c r="H137" s="345"/>
      <c r="I137" s="345"/>
      <c r="J137" s="346"/>
      <c r="K137" s="148"/>
      <c r="L137" s="148"/>
      <c r="M137" s="156"/>
      <c r="N137" s="129"/>
      <c r="O137" s="223"/>
      <c r="P137" s="216"/>
      <c r="Q137" s="216"/>
      <c r="R137" s="224">
        <f t="shared" si="11"/>
        <v>0</v>
      </c>
    </row>
    <row r="138" spans="1:19" ht="18.75" thickBot="1" x14ac:dyDescent="0.3">
      <c r="A138" s="277" t="s">
        <v>138</v>
      </c>
      <c r="B138" s="527" t="s">
        <v>139</v>
      </c>
      <c r="C138" s="527"/>
      <c r="D138" s="347"/>
      <c r="E138" s="347"/>
      <c r="F138" s="347"/>
      <c r="G138" s="347"/>
      <c r="H138" s="347"/>
      <c r="I138" s="347"/>
      <c r="J138" s="347"/>
      <c r="K138" s="278"/>
      <c r="L138" s="278"/>
      <c r="M138" s="279"/>
      <c r="N138" s="130"/>
      <c r="O138" s="223"/>
      <c r="P138" s="216"/>
      <c r="Q138" s="216"/>
      <c r="R138" s="224">
        <f t="shared" si="11"/>
        <v>0</v>
      </c>
    </row>
    <row r="139" spans="1:19" ht="18.75" thickBot="1" x14ac:dyDescent="0.3">
      <c r="A139" s="153"/>
      <c r="B139" s="154"/>
      <c r="C139" s="154"/>
      <c r="D139" s="343"/>
      <c r="E139" s="343"/>
      <c r="F139" s="343"/>
      <c r="G139" s="343"/>
      <c r="H139" s="343"/>
      <c r="I139" s="343"/>
      <c r="J139" s="343"/>
      <c r="K139" s="154"/>
      <c r="L139" s="154"/>
      <c r="M139" s="157"/>
      <c r="N139" s="130"/>
      <c r="O139" s="223"/>
      <c r="P139" s="216"/>
      <c r="Q139" s="216"/>
      <c r="R139" s="224">
        <f t="shared" si="11"/>
        <v>0</v>
      </c>
    </row>
    <row r="140" spans="1:19" ht="18.75" thickBot="1" x14ac:dyDescent="0.3">
      <c r="A140" s="528" t="s">
        <v>117</v>
      </c>
      <c r="B140" s="529"/>
      <c r="C140" s="529"/>
      <c r="D140" s="530" t="s">
        <v>114</v>
      </c>
      <c r="E140" s="531"/>
      <c r="F140" s="531"/>
      <c r="G140" s="531"/>
      <c r="H140" s="532"/>
      <c r="I140" s="533" t="s">
        <v>118</v>
      </c>
      <c r="J140" s="534"/>
      <c r="K140" s="535" t="s">
        <v>119</v>
      </c>
      <c r="L140" s="536"/>
      <c r="M140" s="309" t="s">
        <v>120</v>
      </c>
      <c r="N140" s="219" t="e">
        <f>+#REF!</f>
        <v>#REF!</v>
      </c>
      <c r="O140" s="223"/>
      <c r="P140" s="216"/>
      <c r="Q140" s="216"/>
      <c r="R140" s="224">
        <f t="shared" si="11"/>
        <v>0</v>
      </c>
    </row>
    <row r="141" spans="1:19" ht="18.75" thickBot="1" x14ac:dyDescent="0.3">
      <c r="A141" s="537" t="s">
        <v>286</v>
      </c>
      <c r="B141" s="538"/>
      <c r="C141" s="538"/>
      <c r="D141" s="539" t="s">
        <v>140</v>
      </c>
      <c r="E141" s="540"/>
      <c r="F141" s="540"/>
      <c r="G141" s="540"/>
      <c r="H141" s="541"/>
      <c r="I141" s="542">
        <v>10464</v>
      </c>
      <c r="J141" s="543"/>
      <c r="K141" s="544" t="s">
        <v>153</v>
      </c>
      <c r="L141" s="545"/>
      <c r="M141" s="305">
        <f>+ROUND(I141*K141,0)</f>
        <v>13603</v>
      </c>
      <c r="N141" s="159" t="e">
        <f>+#REF!</f>
        <v>#REF!</v>
      </c>
      <c r="O141" s="223"/>
      <c r="P141" s="217">
        <f>+M141</f>
        <v>13603</v>
      </c>
      <c r="Q141" s="217"/>
      <c r="R141" s="224">
        <f t="shared" si="11"/>
        <v>13603</v>
      </c>
    </row>
    <row r="142" spans="1:19" ht="18.75" thickBot="1" x14ac:dyDescent="0.3">
      <c r="A142" s="504"/>
      <c r="B142" s="505"/>
      <c r="C142" s="505"/>
      <c r="D142" s="506"/>
      <c r="E142" s="506"/>
      <c r="F142" s="506"/>
      <c r="G142" s="506"/>
      <c r="H142" s="506"/>
      <c r="I142" s="506"/>
      <c r="J142" s="301" t="s">
        <v>123</v>
      </c>
      <c r="K142" s="507" t="s">
        <v>139</v>
      </c>
      <c r="L142" s="507"/>
      <c r="M142" s="233">
        <f>SUM(M141)</f>
        <v>13603</v>
      </c>
      <c r="N142" s="129" t="e">
        <f>+#REF!</f>
        <v>#REF!</v>
      </c>
      <c r="S142" s="134">
        <f>+O144+P144+Q144+R144</f>
        <v>274330</v>
      </c>
    </row>
    <row r="143" spans="1:19" ht="18.75" thickBot="1" x14ac:dyDescent="0.3">
      <c r="A143" s="240"/>
      <c r="B143" s="241"/>
      <c r="C143" s="241"/>
      <c r="D143" s="242"/>
      <c r="E143" s="242"/>
      <c r="F143" s="242"/>
      <c r="G143" s="242"/>
      <c r="H143" s="242"/>
      <c r="I143" s="242"/>
      <c r="J143" s="229"/>
      <c r="K143" s="243"/>
      <c r="L143" s="243"/>
      <c r="M143" s="230"/>
      <c r="N143" s="129"/>
      <c r="O143" s="280"/>
      <c r="P143" s="280"/>
      <c r="Q143" s="280"/>
      <c r="R143" s="280"/>
    </row>
    <row r="144" spans="1:19" ht="18.75" thickBot="1" x14ac:dyDescent="0.3">
      <c r="A144" s="231"/>
      <c r="B144" s="232"/>
      <c r="C144" s="232"/>
      <c r="D144" s="232"/>
      <c r="E144" s="232"/>
      <c r="F144" s="232"/>
      <c r="G144" s="513" t="s">
        <v>133</v>
      </c>
      <c r="H144" s="514"/>
      <c r="I144" s="514"/>
      <c r="J144" s="514"/>
      <c r="K144" s="514"/>
      <c r="L144" s="514"/>
      <c r="M144" s="263">
        <f>+ROUND((M142+M136+M130+M122),0)</f>
        <v>137165</v>
      </c>
      <c r="N144" s="129" t="e">
        <f>+#REF!</f>
        <v>#REF!</v>
      </c>
      <c r="O144" s="200">
        <f>ROUND(SUM(O121:O141),0)</f>
        <v>0</v>
      </c>
      <c r="P144" s="200">
        <f>ROUND(SUM(P121:P142),4)</f>
        <v>28859</v>
      </c>
      <c r="Q144" s="200">
        <f>ROUND(SUM(Q121:Q142),4)</f>
        <v>108306</v>
      </c>
      <c r="R144" s="200">
        <f>ROUND(SUM(R121:R141),0)</f>
        <v>137165</v>
      </c>
    </row>
    <row r="145" spans="1:19" x14ac:dyDescent="0.25">
      <c r="A145" s="234"/>
      <c r="B145" s="234"/>
      <c r="C145" s="234"/>
      <c r="D145" s="234"/>
      <c r="E145" s="234"/>
      <c r="F145" s="234"/>
      <c r="G145" s="234"/>
      <c r="H145" s="234"/>
      <c r="I145" s="234"/>
      <c r="J145" s="234"/>
      <c r="K145" s="234"/>
      <c r="L145" s="234"/>
      <c r="M145" s="234"/>
    </row>
    <row r="146" spans="1:19" ht="16.5" thickBot="1" x14ac:dyDescent="0.3">
      <c r="A146" s="234"/>
      <c r="B146" s="234"/>
      <c r="C146" s="234"/>
      <c r="D146" s="234"/>
      <c r="E146" s="234"/>
      <c r="F146" s="234"/>
      <c r="G146" s="234"/>
      <c r="H146" s="234"/>
      <c r="I146" s="234"/>
      <c r="J146" s="234"/>
      <c r="K146" s="234"/>
      <c r="L146" s="234"/>
      <c r="M146" s="234"/>
    </row>
    <row r="147" spans="1:19" ht="17.45" customHeight="1" x14ac:dyDescent="0.25">
      <c r="A147" s="609"/>
      <c r="B147" s="610"/>
      <c r="C147" s="610"/>
      <c r="D147" s="611"/>
      <c r="E147" s="521" t="s">
        <v>110</v>
      </c>
      <c r="F147" s="522"/>
      <c r="G147" s="522"/>
      <c r="H147" s="522" t="s">
        <v>243</v>
      </c>
      <c r="I147" s="522"/>
      <c r="J147" s="522"/>
      <c r="K147" s="522"/>
      <c r="L147" s="522"/>
      <c r="M147" s="523"/>
    </row>
    <row r="148" spans="1:19" ht="17.45" customHeight="1" x14ac:dyDescent="0.25">
      <c r="A148" s="602"/>
      <c r="B148" s="603"/>
      <c r="C148" s="603"/>
      <c r="D148" s="604"/>
      <c r="E148" s="524" t="s">
        <v>111</v>
      </c>
      <c r="F148" s="525"/>
      <c r="G148" s="525"/>
      <c r="H148" s="525" t="s">
        <v>243</v>
      </c>
      <c r="I148" s="525"/>
      <c r="J148" s="525"/>
      <c r="K148" s="525"/>
      <c r="L148" s="525"/>
      <c r="M148" s="526"/>
    </row>
    <row r="149" spans="1:19" ht="31.15" customHeight="1" x14ac:dyDescent="0.25">
      <c r="A149" s="602"/>
      <c r="B149" s="603"/>
      <c r="C149" s="603"/>
      <c r="D149" s="604"/>
      <c r="E149" s="524" t="s">
        <v>112</v>
      </c>
      <c r="F149" s="525"/>
      <c r="G149" s="525"/>
      <c r="H149" s="525" t="s">
        <v>256</v>
      </c>
      <c r="I149" s="525"/>
      <c r="J149" s="525"/>
      <c r="K149" s="525"/>
      <c r="L149" s="525"/>
      <c r="M149" s="526"/>
    </row>
    <row r="150" spans="1:19" ht="18" customHeight="1" thickBot="1" x14ac:dyDescent="0.3">
      <c r="A150" s="605"/>
      <c r="B150" s="606"/>
      <c r="C150" s="606"/>
      <c r="D150" s="607"/>
      <c r="E150" s="608" t="s">
        <v>114</v>
      </c>
      <c r="F150" s="582"/>
      <c r="G150" s="582"/>
      <c r="H150" s="582" t="s">
        <v>75</v>
      </c>
      <c r="I150" s="582"/>
      <c r="J150" s="582"/>
      <c r="K150" s="582"/>
      <c r="L150" s="582"/>
      <c r="M150" s="583"/>
    </row>
    <row r="151" spans="1:19" ht="18.75" thickBot="1" x14ac:dyDescent="0.3">
      <c r="A151" s="235"/>
      <c r="B151" s="236"/>
      <c r="C151" s="236"/>
      <c r="D151" s="236"/>
      <c r="E151" s="236"/>
      <c r="F151" s="236"/>
      <c r="G151" s="236"/>
      <c r="H151" s="236"/>
      <c r="I151" s="236"/>
      <c r="J151" s="236"/>
      <c r="K151" s="236"/>
      <c r="L151" s="236"/>
      <c r="M151" s="237"/>
    </row>
    <row r="152" spans="1:19" ht="18.75" thickBot="1" x14ac:dyDescent="0.3">
      <c r="A152" s="264" t="s">
        <v>115</v>
      </c>
      <c r="B152" s="508" t="s">
        <v>116</v>
      </c>
      <c r="C152" s="508"/>
      <c r="D152" s="254"/>
      <c r="E152" s="254"/>
      <c r="F152" s="254"/>
      <c r="G152" s="254"/>
      <c r="H152" s="254"/>
      <c r="I152" s="254"/>
      <c r="J152" s="254"/>
      <c r="K152" s="254"/>
      <c r="L152" s="254"/>
      <c r="M152" s="255"/>
    </row>
    <row r="153" spans="1:19" ht="18.75" thickBot="1" x14ac:dyDescent="0.3">
      <c r="A153" s="235"/>
      <c r="B153" s="236"/>
      <c r="C153" s="236"/>
      <c r="D153" s="236"/>
      <c r="E153" s="236"/>
      <c r="F153" s="236"/>
      <c r="G153" s="236"/>
      <c r="H153" s="236"/>
      <c r="I153" s="236"/>
      <c r="J153" s="236"/>
      <c r="K153" s="236"/>
      <c r="L153" s="236"/>
      <c r="M153" s="237"/>
      <c r="O153" s="685" t="s">
        <v>230</v>
      </c>
      <c r="P153" s="686"/>
      <c r="Q153" s="686"/>
      <c r="R153" s="687"/>
    </row>
    <row r="154" spans="1:19" ht="31.9" customHeight="1" thickBot="1" x14ac:dyDescent="0.3">
      <c r="A154" s="626" t="s">
        <v>117</v>
      </c>
      <c r="B154" s="508"/>
      <c r="C154" s="627"/>
      <c r="D154" s="569" t="s">
        <v>114</v>
      </c>
      <c r="E154" s="514"/>
      <c r="F154" s="514"/>
      <c r="G154" s="514"/>
      <c r="H154" s="561"/>
      <c r="I154" s="569" t="s">
        <v>118</v>
      </c>
      <c r="J154" s="561"/>
      <c r="K154" s="569" t="s">
        <v>119</v>
      </c>
      <c r="L154" s="561"/>
      <c r="M154" s="300" t="s">
        <v>120</v>
      </c>
      <c r="N154" s="160" t="s">
        <v>120</v>
      </c>
      <c r="O154" s="284" t="s">
        <v>225</v>
      </c>
      <c r="P154" s="285" t="s">
        <v>226</v>
      </c>
      <c r="Q154" s="285" t="s">
        <v>268</v>
      </c>
      <c r="R154" s="286" t="s">
        <v>29</v>
      </c>
    </row>
    <row r="155" spans="1:19" ht="17.45" customHeight="1" thickBot="1" x14ac:dyDescent="0.3">
      <c r="A155" s="628" t="s">
        <v>146</v>
      </c>
      <c r="B155" s="629"/>
      <c r="C155" s="630"/>
      <c r="D155" s="570" t="s">
        <v>49</v>
      </c>
      <c r="E155" s="556"/>
      <c r="F155" s="556"/>
      <c r="G155" s="556"/>
      <c r="H155" s="557"/>
      <c r="I155" s="631">
        <f>+listados!D8</f>
        <v>62523</v>
      </c>
      <c r="J155" s="632"/>
      <c r="K155" s="633" t="s">
        <v>151</v>
      </c>
      <c r="L155" s="634"/>
      <c r="M155" s="305">
        <f t="shared" ref="M155:M156" si="13">+ROUND(I155*K155,0)</f>
        <v>3126</v>
      </c>
      <c r="N155" s="220" t="e">
        <f>+#REF!</f>
        <v>#REF!</v>
      </c>
      <c r="O155" s="281"/>
      <c r="P155" s="282"/>
      <c r="Q155" s="282">
        <f>+M155</f>
        <v>3126</v>
      </c>
      <c r="R155" s="283">
        <f t="shared" ref="R155:R172" si="14">+O155+P155+Q155</f>
        <v>3126</v>
      </c>
    </row>
    <row r="156" spans="1:19" ht="18" customHeight="1" thickBot="1" x14ac:dyDescent="0.3">
      <c r="A156" s="612" t="s">
        <v>250</v>
      </c>
      <c r="B156" s="613"/>
      <c r="C156" s="614"/>
      <c r="D156" s="615" t="s">
        <v>75</v>
      </c>
      <c r="E156" s="616"/>
      <c r="F156" s="616"/>
      <c r="G156" s="616"/>
      <c r="H156" s="617"/>
      <c r="I156" s="618">
        <f>+listados!D9*87</f>
        <v>44109</v>
      </c>
      <c r="J156" s="619"/>
      <c r="K156" s="620" t="s">
        <v>154</v>
      </c>
      <c r="L156" s="621"/>
      <c r="M156" s="305">
        <f t="shared" si="13"/>
        <v>45432</v>
      </c>
      <c r="N156" s="220" t="e">
        <f>+#REF!</f>
        <v>#REF!</v>
      </c>
      <c r="O156" s="225">
        <f>+M156</f>
        <v>45432</v>
      </c>
      <c r="P156" s="214"/>
      <c r="Q156" s="214"/>
      <c r="R156" s="224">
        <f t="shared" si="14"/>
        <v>45432</v>
      </c>
      <c r="S156" s="134"/>
    </row>
    <row r="157" spans="1:19" ht="18.75" thickBot="1" x14ac:dyDescent="0.3">
      <c r="A157" s="622"/>
      <c r="B157" s="623"/>
      <c r="C157" s="623"/>
      <c r="D157" s="624"/>
      <c r="E157" s="624"/>
      <c r="F157" s="624"/>
      <c r="G157" s="624"/>
      <c r="H157" s="624"/>
      <c r="I157" s="625"/>
      <c r="J157" s="256" t="s">
        <v>123</v>
      </c>
      <c r="K157" s="508" t="s">
        <v>116</v>
      </c>
      <c r="L157" s="508"/>
      <c r="M157" s="257">
        <f>SUM(M155:M156)</f>
        <v>48558</v>
      </c>
      <c r="N157" s="129" t="e">
        <f>+#REF!</f>
        <v>#REF!</v>
      </c>
      <c r="O157" s="225"/>
      <c r="P157" s="214"/>
      <c r="Q157" s="214"/>
      <c r="R157" s="224">
        <f t="shared" si="14"/>
        <v>0</v>
      </c>
    </row>
    <row r="158" spans="1:19" ht="18.75" thickBot="1" x14ac:dyDescent="0.3">
      <c r="A158" s="240"/>
      <c r="B158" s="241"/>
      <c r="C158" s="241"/>
      <c r="D158" s="242"/>
      <c r="E158" s="242"/>
      <c r="F158" s="242"/>
      <c r="G158" s="242"/>
      <c r="H158" s="242"/>
      <c r="I158" s="242"/>
      <c r="J158" s="229"/>
      <c r="K158" s="243"/>
      <c r="L158" s="243"/>
      <c r="M158" s="230"/>
      <c r="N158" s="129"/>
      <c r="O158" s="225"/>
      <c r="P158" s="214"/>
      <c r="Q158" s="214"/>
      <c r="R158" s="224"/>
    </row>
    <row r="159" spans="1:19" ht="18.75" thickBot="1" x14ac:dyDescent="0.3">
      <c r="A159" s="264" t="s">
        <v>124</v>
      </c>
      <c r="B159" s="508" t="s">
        <v>125</v>
      </c>
      <c r="C159" s="508"/>
      <c r="D159" s="254"/>
      <c r="E159" s="254"/>
      <c r="F159" s="254"/>
      <c r="G159" s="254"/>
      <c r="H159" s="254"/>
      <c r="I159" s="254"/>
      <c r="J159" s="254"/>
      <c r="K159" s="254"/>
      <c r="L159" s="254"/>
      <c r="M159" s="262"/>
      <c r="N159" s="130"/>
      <c r="O159" s="225"/>
      <c r="P159" s="214"/>
      <c r="Q159" s="214"/>
      <c r="R159" s="224">
        <f t="shared" si="14"/>
        <v>0</v>
      </c>
    </row>
    <row r="160" spans="1:19" ht="18.75" thickBot="1" x14ac:dyDescent="0.3">
      <c r="A160" s="235"/>
      <c r="B160" s="236"/>
      <c r="C160" s="236"/>
      <c r="D160" s="236"/>
      <c r="E160" s="236"/>
      <c r="F160" s="236"/>
      <c r="G160" s="236"/>
      <c r="H160" s="236"/>
      <c r="I160" s="236"/>
      <c r="J160" s="236"/>
      <c r="K160" s="236"/>
      <c r="L160" s="236"/>
      <c r="M160" s="238"/>
      <c r="N160" s="130"/>
      <c r="O160" s="225"/>
      <c r="P160" s="214"/>
      <c r="Q160" s="214"/>
      <c r="R160" s="224">
        <f t="shared" si="14"/>
        <v>0</v>
      </c>
    </row>
    <row r="161" spans="1:19" ht="18" customHeight="1" thickBot="1" x14ac:dyDescent="0.3">
      <c r="A161" s="626" t="s">
        <v>117</v>
      </c>
      <c r="B161" s="508"/>
      <c r="C161" s="627"/>
      <c r="D161" s="569" t="s">
        <v>114</v>
      </c>
      <c r="E161" s="514"/>
      <c r="F161" s="514"/>
      <c r="G161" s="514"/>
      <c r="H161" s="561"/>
      <c r="I161" s="635" t="s">
        <v>118</v>
      </c>
      <c r="J161" s="636"/>
      <c r="K161" s="635" t="s">
        <v>119</v>
      </c>
      <c r="L161" s="636"/>
      <c r="M161" s="308" t="s">
        <v>120</v>
      </c>
      <c r="N161" s="219" t="e">
        <f>+#REF!</f>
        <v>#REF!</v>
      </c>
      <c r="O161" s="225"/>
      <c r="P161" s="214"/>
      <c r="Q161" s="214"/>
      <c r="R161" s="224">
        <f t="shared" si="14"/>
        <v>0</v>
      </c>
    </row>
    <row r="162" spans="1:19" ht="33" customHeight="1" thickBot="1" x14ac:dyDescent="0.3">
      <c r="A162" s="628" t="s">
        <v>147</v>
      </c>
      <c r="B162" s="629"/>
      <c r="C162" s="630"/>
      <c r="D162" s="570" t="s">
        <v>15</v>
      </c>
      <c r="E162" s="556"/>
      <c r="F162" s="556"/>
      <c r="G162" s="556"/>
      <c r="H162" s="557"/>
      <c r="I162" s="631">
        <v>12500</v>
      </c>
      <c r="J162" s="632"/>
      <c r="K162" s="633" t="s">
        <v>155</v>
      </c>
      <c r="L162" s="634"/>
      <c r="M162" s="305">
        <f t="shared" ref="M162:M163" si="15">+ROUND(I162*K162,0)</f>
        <v>375</v>
      </c>
      <c r="N162" s="220" t="e">
        <f>+#REF!</f>
        <v>#REF!</v>
      </c>
      <c r="O162" s="225"/>
      <c r="P162" s="214"/>
      <c r="Q162" s="214">
        <f>+M162</f>
        <v>375</v>
      </c>
      <c r="R162" s="224">
        <f t="shared" si="14"/>
        <v>375</v>
      </c>
    </row>
    <row r="163" spans="1:19" ht="18" customHeight="1" thickBot="1" x14ac:dyDescent="0.3">
      <c r="A163" s="612" t="s">
        <v>148</v>
      </c>
      <c r="B163" s="613"/>
      <c r="C163" s="614"/>
      <c r="D163" s="615" t="s">
        <v>33</v>
      </c>
      <c r="E163" s="616"/>
      <c r="F163" s="616"/>
      <c r="G163" s="616"/>
      <c r="H163" s="617"/>
      <c r="I163" s="618">
        <f>+M171</f>
        <v>32732</v>
      </c>
      <c r="J163" s="619"/>
      <c r="K163" s="620" t="s">
        <v>221</v>
      </c>
      <c r="L163" s="621"/>
      <c r="M163" s="305">
        <f t="shared" si="15"/>
        <v>1637</v>
      </c>
      <c r="N163" s="220" t="e">
        <f>+#REF!</f>
        <v>#REF!</v>
      </c>
      <c r="O163" s="225"/>
      <c r="P163" s="214"/>
      <c r="Q163" s="214">
        <f>+M163</f>
        <v>1637</v>
      </c>
      <c r="R163" s="224">
        <f t="shared" si="14"/>
        <v>1637</v>
      </c>
    </row>
    <row r="164" spans="1:19" ht="18.75" thickBot="1" x14ac:dyDescent="0.3">
      <c r="A164" s="622"/>
      <c r="B164" s="623"/>
      <c r="C164" s="623"/>
      <c r="D164" s="624"/>
      <c r="E164" s="624"/>
      <c r="F164" s="624"/>
      <c r="G164" s="624"/>
      <c r="H164" s="624"/>
      <c r="I164" s="625"/>
      <c r="J164" s="256" t="s">
        <v>123</v>
      </c>
      <c r="K164" s="508" t="s">
        <v>125</v>
      </c>
      <c r="L164" s="508"/>
      <c r="M164" s="257">
        <f>SUM(M162:M163)</f>
        <v>2012</v>
      </c>
      <c r="N164" s="129" t="e">
        <f>+#REF!</f>
        <v>#REF!</v>
      </c>
      <c r="O164" s="225"/>
      <c r="P164" s="214"/>
      <c r="Q164" s="214"/>
      <c r="R164" s="224">
        <f t="shared" si="14"/>
        <v>0</v>
      </c>
    </row>
    <row r="165" spans="1:19" ht="18.75" thickBot="1" x14ac:dyDescent="0.3">
      <c r="A165" s="240"/>
      <c r="B165" s="241"/>
      <c r="C165" s="241"/>
      <c r="D165" s="242"/>
      <c r="E165" s="242"/>
      <c r="F165" s="242"/>
      <c r="G165" s="242"/>
      <c r="H165" s="242"/>
      <c r="I165" s="242"/>
      <c r="J165" s="229"/>
      <c r="K165" s="243"/>
      <c r="L165" s="243"/>
      <c r="M165" s="230"/>
      <c r="N165" s="129"/>
      <c r="O165" s="225"/>
      <c r="P165" s="214"/>
      <c r="Q165" s="214"/>
      <c r="R165" s="224"/>
    </row>
    <row r="166" spans="1:19" ht="18" customHeight="1" thickBot="1" x14ac:dyDescent="0.3">
      <c r="A166" s="264" t="s">
        <v>129</v>
      </c>
      <c r="B166" s="508" t="s">
        <v>130</v>
      </c>
      <c r="C166" s="508"/>
      <c r="D166" s="254"/>
      <c r="E166" s="254"/>
      <c r="F166" s="254"/>
      <c r="G166" s="254"/>
      <c r="H166" s="254"/>
      <c r="I166" s="254"/>
      <c r="J166" s="254"/>
      <c r="K166" s="254"/>
      <c r="L166" s="254"/>
      <c r="M166" s="262"/>
      <c r="N166" s="130"/>
      <c r="O166" s="225"/>
      <c r="P166" s="214"/>
      <c r="Q166" s="214"/>
      <c r="R166" s="224">
        <f t="shared" si="14"/>
        <v>0</v>
      </c>
    </row>
    <row r="167" spans="1:19" ht="18.75" thickBot="1" x14ac:dyDescent="0.3">
      <c r="A167" s="235"/>
      <c r="B167" s="236"/>
      <c r="C167" s="236"/>
      <c r="D167" s="236"/>
      <c r="E167" s="236"/>
      <c r="F167" s="236"/>
      <c r="G167" s="236"/>
      <c r="H167" s="236"/>
      <c r="I167" s="236"/>
      <c r="J167" s="236"/>
      <c r="K167" s="236"/>
      <c r="L167" s="236"/>
      <c r="M167" s="238"/>
      <c r="N167" s="130"/>
      <c r="O167" s="225"/>
      <c r="P167" s="214"/>
      <c r="Q167" s="214"/>
      <c r="R167" s="224">
        <f t="shared" si="14"/>
        <v>0</v>
      </c>
    </row>
    <row r="168" spans="1:19" ht="18" customHeight="1" thickBot="1" x14ac:dyDescent="0.3">
      <c r="A168" s="626" t="s">
        <v>117</v>
      </c>
      <c r="B168" s="508"/>
      <c r="C168" s="627"/>
      <c r="D168" s="569" t="s">
        <v>114</v>
      </c>
      <c r="E168" s="514"/>
      <c r="F168" s="514"/>
      <c r="G168" s="514"/>
      <c r="H168" s="561"/>
      <c r="I168" s="635" t="s">
        <v>118</v>
      </c>
      <c r="J168" s="636"/>
      <c r="K168" s="635" t="s">
        <v>119</v>
      </c>
      <c r="L168" s="636"/>
      <c r="M168" s="308" t="s">
        <v>120</v>
      </c>
      <c r="N168" s="219" t="e">
        <f>+#REF!</f>
        <v>#REF!</v>
      </c>
      <c r="O168" s="225"/>
      <c r="P168" s="214"/>
      <c r="Q168" s="214"/>
      <c r="R168" s="224">
        <f t="shared" si="14"/>
        <v>0</v>
      </c>
    </row>
    <row r="169" spans="1:19" ht="17.45" customHeight="1" thickBot="1" x14ac:dyDescent="0.3">
      <c r="A169" s="628" t="s">
        <v>272</v>
      </c>
      <c r="B169" s="629"/>
      <c r="C169" s="630"/>
      <c r="D169" s="570" t="s">
        <v>137</v>
      </c>
      <c r="E169" s="556"/>
      <c r="F169" s="556"/>
      <c r="G169" s="556"/>
      <c r="H169" s="557"/>
      <c r="I169" s="631">
        <f>+listados!K20</f>
        <v>93519.02</v>
      </c>
      <c r="J169" s="632"/>
      <c r="K169" s="633" t="s">
        <v>220</v>
      </c>
      <c r="L169" s="634"/>
      <c r="M169" s="305">
        <f t="shared" ref="M169:M170" si="16">+ROUND(I169*K169,0)</f>
        <v>18704</v>
      </c>
      <c r="N169" s="220" t="e">
        <f>+#REF!</f>
        <v>#REF!</v>
      </c>
      <c r="O169" s="225"/>
      <c r="P169" s="214"/>
      <c r="Q169" s="214">
        <f>+M169</f>
        <v>18704</v>
      </c>
      <c r="R169" s="224">
        <f t="shared" si="14"/>
        <v>18704</v>
      </c>
    </row>
    <row r="170" spans="1:19" ht="18" customHeight="1" thickBot="1" x14ac:dyDescent="0.3">
      <c r="A170" s="637" t="s">
        <v>132</v>
      </c>
      <c r="B170" s="638"/>
      <c r="C170" s="639"/>
      <c r="D170" s="562" t="s">
        <v>137</v>
      </c>
      <c r="E170" s="559"/>
      <c r="F170" s="559"/>
      <c r="G170" s="559"/>
      <c r="H170" s="560"/>
      <c r="I170" s="640">
        <f>+listados!K21</f>
        <v>140278.51999999999</v>
      </c>
      <c r="J170" s="641"/>
      <c r="K170" s="620" t="s">
        <v>156</v>
      </c>
      <c r="L170" s="621"/>
      <c r="M170" s="305">
        <f t="shared" si="16"/>
        <v>14028</v>
      </c>
      <c r="N170" s="220" t="e">
        <f>+#REF!</f>
        <v>#REF!</v>
      </c>
      <c r="O170" s="225"/>
      <c r="P170" s="214"/>
      <c r="Q170" s="214">
        <f>+M170</f>
        <v>14028</v>
      </c>
      <c r="R170" s="224">
        <f t="shared" si="14"/>
        <v>14028</v>
      </c>
    </row>
    <row r="171" spans="1:19" ht="18" customHeight="1" thickBot="1" x14ac:dyDescent="0.3">
      <c r="A171" s="642"/>
      <c r="B171" s="643"/>
      <c r="C171" s="643"/>
      <c r="D171" s="644"/>
      <c r="E171" s="644"/>
      <c r="F171" s="644"/>
      <c r="G171" s="644"/>
      <c r="H171" s="644"/>
      <c r="I171" s="645"/>
      <c r="J171" s="301" t="s">
        <v>123</v>
      </c>
      <c r="K171" s="508" t="s">
        <v>130</v>
      </c>
      <c r="L171" s="508"/>
      <c r="M171" s="233">
        <f>SUM(M169:M170)</f>
        <v>32732</v>
      </c>
      <c r="N171" s="129" t="e">
        <f>+#REF!</f>
        <v>#REF!</v>
      </c>
      <c r="O171" s="225"/>
      <c r="P171" s="214"/>
      <c r="Q171" s="214"/>
      <c r="R171" s="224">
        <f t="shared" si="14"/>
        <v>0</v>
      </c>
    </row>
    <row r="172" spans="1:19" ht="18.75" thickBot="1" x14ac:dyDescent="0.3">
      <c r="A172" s="240"/>
      <c r="B172" s="241"/>
      <c r="C172" s="241"/>
      <c r="D172" s="242"/>
      <c r="E172" s="242"/>
      <c r="F172" s="242"/>
      <c r="G172" s="242"/>
      <c r="H172" s="242"/>
      <c r="I172" s="242"/>
      <c r="J172" s="229"/>
      <c r="K172" s="243"/>
      <c r="L172" s="243"/>
      <c r="M172" s="230"/>
      <c r="N172" s="129"/>
      <c r="O172" s="226"/>
      <c r="P172" s="218"/>
      <c r="Q172" s="218"/>
      <c r="R172" s="224">
        <f t="shared" si="14"/>
        <v>0</v>
      </c>
    </row>
    <row r="173" spans="1:19" ht="18" customHeight="1" thickBot="1" x14ac:dyDescent="0.3">
      <c r="A173" s="231"/>
      <c r="B173" s="232"/>
      <c r="C173" s="232"/>
      <c r="D173" s="232"/>
      <c r="E173" s="232"/>
      <c r="F173" s="232"/>
      <c r="G173" s="626" t="s">
        <v>133</v>
      </c>
      <c r="H173" s="508"/>
      <c r="I173" s="508"/>
      <c r="J173" s="508"/>
      <c r="K173" s="627"/>
      <c r="M173" s="263">
        <f>+ROUND((M171+M164+M157),0)</f>
        <v>83302</v>
      </c>
      <c r="N173" s="129" t="e">
        <f>+#REF!</f>
        <v>#REF!</v>
      </c>
      <c r="O173" s="200">
        <f>ROUND(SUM(O155:O171),4)</f>
        <v>45432</v>
      </c>
      <c r="P173" s="200">
        <f>ROUND(SUM(P155:P171),0)</f>
        <v>0</v>
      </c>
      <c r="Q173" s="200">
        <f>ROUND(SUM(Q155:Q171),4)</f>
        <v>37870</v>
      </c>
      <c r="R173" s="200">
        <f>SUM(R155:R172)</f>
        <v>83302</v>
      </c>
      <c r="S173" s="134">
        <f>+O173+P173+Q173+R173</f>
        <v>166604</v>
      </c>
    </row>
    <row r="174" spans="1:19" x14ac:dyDescent="0.25">
      <c r="A174" s="234"/>
      <c r="B174" s="234"/>
      <c r="C174" s="234"/>
      <c r="D174" s="234"/>
      <c r="E174" s="234"/>
      <c r="F174" s="234"/>
      <c r="G174" s="234"/>
      <c r="H174" s="234"/>
      <c r="I174" s="234"/>
      <c r="J174" s="234"/>
      <c r="K174" s="234"/>
      <c r="L174" s="234"/>
      <c r="M174" s="234"/>
      <c r="O174" s="212"/>
      <c r="P174" s="212"/>
      <c r="Q174" s="212"/>
      <c r="R174" s="212"/>
    </row>
    <row r="175" spans="1:19" x14ac:dyDescent="0.25">
      <c r="A175" s="234"/>
      <c r="B175" s="234"/>
      <c r="C175" s="234"/>
      <c r="D175" s="234"/>
      <c r="E175" s="234"/>
      <c r="F175" s="234"/>
      <c r="G175" s="234"/>
      <c r="H175" s="234"/>
      <c r="I175" s="234"/>
      <c r="J175" s="234"/>
      <c r="K175" s="234"/>
      <c r="L175" s="234"/>
      <c r="M175" s="234"/>
      <c r="O175" s="212"/>
      <c r="P175" s="212"/>
      <c r="Q175" s="212"/>
      <c r="R175" s="212"/>
    </row>
    <row r="176" spans="1:19" x14ac:dyDescent="0.25">
      <c r="A176" s="234"/>
      <c r="B176" s="234"/>
      <c r="C176" s="234"/>
      <c r="D176" s="234"/>
      <c r="E176" s="234"/>
      <c r="F176" s="234"/>
      <c r="G176" s="234"/>
      <c r="H176" s="234"/>
      <c r="I176" s="234"/>
      <c r="J176" s="234"/>
      <c r="K176" s="234"/>
      <c r="L176" s="234"/>
      <c r="M176" s="234"/>
    </row>
    <row r="180" spans="13:13" x14ac:dyDescent="0.25">
      <c r="M180">
        <v>74396847</v>
      </c>
    </row>
    <row r="181" spans="13:13" x14ac:dyDescent="0.25">
      <c r="M181">
        <v>24136755</v>
      </c>
    </row>
    <row r="182" spans="13:13" x14ac:dyDescent="0.25">
      <c r="M182">
        <f>SUM(M180:M181)</f>
        <v>98533602</v>
      </c>
    </row>
  </sheetData>
  <mergeCells count="368">
    <mergeCell ref="O35:R35"/>
    <mergeCell ref="A29:D32"/>
    <mergeCell ref="A52:C52"/>
    <mergeCell ref="D52:E52"/>
    <mergeCell ref="F52:I52"/>
    <mergeCell ref="K52:L52"/>
    <mergeCell ref="G60:K60"/>
    <mergeCell ref="A50:C50"/>
    <mergeCell ref="D50:H50"/>
    <mergeCell ref="I50:J50"/>
    <mergeCell ref="K50:L50"/>
    <mergeCell ref="A51:C51"/>
    <mergeCell ref="D51:H51"/>
    <mergeCell ref="I51:J51"/>
    <mergeCell ref="K51:L51"/>
    <mergeCell ref="A45:C45"/>
    <mergeCell ref="D45:E45"/>
    <mergeCell ref="F45:I45"/>
    <mergeCell ref="K45:L45"/>
    <mergeCell ref="B47:C47"/>
    <mergeCell ref="A49:C49"/>
    <mergeCell ref="D49:H49"/>
    <mergeCell ref="I49:J49"/>
    <mergeCell ref="K49:L49"/>
    <mergeCell ref="A43:C43"/>
    <mergeCell ref="D43:H43"/>
    <mergeCell ref="I43:J43"/>
    <mergeCell ref="K43:L43"/>
    <mergeCell ref="A44:C44"/>
    <mergeCell ref="D44:H44"/>
    <mergeCell ref="I44:J44"/>
    <mergeCell ref="K44:L44"/>
    <mergeCell ref="B40:C40"/>
    <mergeCell ref="A42:C42"/>
    <mergeCell ref="D42:H42"/>
    <mergeCell ref="I42:J42"/>
    <mergeCell ref="K42:L42"/>
    <mergeCell ref="D37:H37"/>
    <mergeCell ref="I37:J37"/>
    <mergeCell ref="K37:L37"/>
    <mergeCell ref="A38:C38"/>
    <mergeCell ref="D38:E38"/>
    <mergeCell ref="F38:I38"/>
    <mergeCell ref="K38:L38"/>
    <mergeCell ref="E32:G32"/>
    <mergeCell ref="H32:M32"/>
    <mergeCell ref="B34:C34"/>
    <mergeCell ref="A36:C36"/>
    <mergeCell ref="D36:H36"/>
    <mergeCell ref="I36:J36"/>
    <mergeCell ref="K36:L36"/>
    <mergeCell ref="H29:M29"/>
    <mergeCell ref="E30:G30"/>
    <mergeCell ref="H30:M30"/>
    <mergeCell ref="E31:G31"/>
    <mergeCell ref="H31:M31"/>
    <mergeCell ref="O153:R153"/>
    <mergeCell ref="A113:D116"/>
    <mergeCell ref="A83:D86"/>
    <mergeCell ref="A62:D65"/>
    <mergeCell ref="O89:R89"/>
    <mergeCell ref="O119:R119"/>
    <mergeCell ref="I110:L110"/>
    <mergeCell ref="B67:C67"/>
    <mergeCell ref="A69:C69"/>
    <mergeCell ref="D69:H69"/>
    <mergeCell ref="I69:J69"/>
    <mergeCell ref="K69:L69"/>
    <mergeCell ref="A70:C70"/>
    <mergeCell ref="D70:H70"/>
    <mergeCell ref="I70:J70"/>
    <mergeCell ref="K70:L70"/>
    <mergeCell ref="E64:G64"/>
    <mergeCell ref="H64:M64"/>
    <mergeCell ref="A37:C37"/>
    <mergeCell ref="I1:M1"/>
    <mergeCell ref="I2:M2"/>
    <mergeCell ref="I3:M3"/>
    <mergeCell ref="I4:M4"/>
    <mergeCell ref="B12:H12"/>
    <mergeCell ref="K23:L23"/>
    <mergeCell ref="K24:L24"/>
    <mergeCell ref="O7:R7"/>
    <mergeCell ref="O68:R68"/>
    <mergeCell ref="J25:L25"/>
    <mergeCell ref="J27:L27"/>
    <mergeCell ref="K8:L8"/>
    <mergeCell ref="K9:L9"/>
    <mergeCell ref="K10:L10"/>
    <mergeCell ref="K14:L14"/>
    <mergeCell ref="K15:L15"/>
    <mergeCell ref="K16:L16"/>
    <mergeCell ref="I8:J8"/>
    <mergeCell ref="I9:J9"/>
    <mergeCell ref="I14:J14"/>
    <mergeCell ref="I15:J15"/>
    <mergeCell ref="I16:J16"/>
    <mergeCell ref="I17:J17"/>
    <mergeCell ref="I22:J22"/>
    <mergeCell ref="I23:J23"/>
    <mergeCell ref="I24:J24"/>
    <mergeCell ref="A78:C78"/>
    <mergeCell ref="D78:E78"/>
    <mergeCell ref="F78:I78"/>
    <mergeCell ref="K78:L78"/>
    <mergeCell ref="A76:C76"/>
    <mergeCell ref="D76:H76"/>
    <mergeCell ref="I76:J76"/>
    <mergeCell ref="K76:L76"/>
    <mergeCell ref="A77:C77"/>
    <mergeCell ref="D77:H77"/>
    <mergeCell ref="I77:J77"/>
    <mergeCell ref="K77:L77"/>
    <mergeCell ref="A71:C71"/>
    <mergeCell ref="D71:E71"/>
    <mergeCell ref="F71:I71"/>
    <mergeCell ref="K71:L71"/>
    <mergeCell ref="B73:C73"/>
    <mergeCell ref="A75:C75"/>
    <mergeCell ref="D75:H75"/>
    <mergeCell ref="I75:J75"/>
    <mergeCell ref="K75:L75"/>
    <mergeCell ref="E29:G29"/>
    <mergeCell ref="I129:J129"/>
    <mergeCell ref="D129:H129"/>
    <mergeCell ref="K128:L128"/>
    <mergeCell ref="I128:J128"/>
    <mergeCell ref="K142:L142"/>
    <mergeCell ref="F142:I142"/>
    <mergeCell ref="D142:E142"/>
    <mergeCell ref="K141:L141"/>
    <mergeCell ref="I141:J141"/>
    <mergeCell ref="D141:H141"/>
    <mergeCell ref="K140:L140"/>
    <mergeCell ref="I140:J140"/>
    <mergeCell ref="D140:H140"/>
    <mergeCell ref="K136:L136"/>
    <mergeCell ref="F136:I136"/>
    <mergeCell ref="D136:E136"/>
    <mergeCell ref="K135:L135"/>
    <mergeCell ref="I135:J135"/>
    <mergeCell ref="D135:H135"/>
    <mergeCell ref="K134:L134"/>
    <mergeCell ref="I134:J134"/>
    <mergeCell ref="D134:H134"/>
    <mergeCell ref="G173:K173"/>
    <mergeCell ref="A170:C170"/>
    <mergeCell ref="D170:H170"/>
    <mergeCell ref="I170:J170"/>
    <mergeCell ref="K170:L170"/>
    <mergeCell ref="A171:C171"/>
    <mergeCell ref="D171:E171"/>
    <mergeCell ref="F171:I171"/>
    <mergeCell ref="K171:L171"/>
    <mergeCell ref="B166:C166"/>
    <mergeCell ref="A168:C168"/>
    <mergeCell ref="D168:H168"/>
    <mergeCell ref="I168:J168"/>
    <mergeCell ref="K168:L168"/>
    <mergeCell ref="A169:C169"/>
    <mergeCell ref="D169:H169"/>
    <mergeCell ref="I169:J169"/>
    <mergeCell ref="K169:L169"/>
    <mergeCell ref="A163:C163"/>
    <mergeCell ref="D163:H163"/>
    <mergeCell ref="I163:J163"/>
    <mergeCell ref="K163:L163"/>
    <mergeCell ref="A164:C164"/>
    <mergeCell ref="D164:E164"/>
    <mergeCell ref="F164:I164"/>
    <mergeCell ref="K164:L164"/>
    <mergeCell ref="B159:C159"/>
    <mergeCell ref="D161:H161"/>
    <mergeCell ref="I161:J161"/>
    <mergeCell ref="A162:C162"/>
    <mergeCell ref="D162:H162"/>
    <mergeCell ref="I162:J162"/>
    <mergeCell ref="K162:L162"/>
    <mergeCell ref="A161:C161"/>
    <mergeCell ref="K161:L161"/>
    <mergeCell ref="A156:C156"/>
    <mergeCell ref="D156:H156"/>
    <mergeCell ref="I156:J156"/>
    <mergeCell ref="K156:L156"/>
    <mergeCell ref="A157:C157"/>
    <mergeCell ref="D157:E157"/>
    <mergeCell ref="F157:I157"/>
    <mergeCell ref="K157:L157"/>
    <mergeCell ref="B152:C152"/>
    <mergeCell ref="A154:C154"/>
    <mergeCell ref="D154:H154"/>
    <mergeCell ref="I154:J154"/>
    <mergeCell ref="K154:L154"/>
    <mergeCell ref="A155:C155"/>
    <mergeCell ref="D155:H155"/>
    <mergeCell ref="I155:J155"/>
    <mergeCell ref="K155:L155"/>
    <mergeCell ref="A107:C107"/>
    <mergeCell ref="D107:H107"/>
    <mergeCell ref="I107:J107"/>
    <mergeCell ref="K107:L107"/>
    <mergeCell ref="A149:D149"/>
    <mergeCell ref="E149:G149"/>
    <mergeCell ref="H149:M149"/>
    <mergeCell ref="A150:D150"/>
    <mergeCell ref="E150:G150"/>
    <mergeCell ref="H150:M150"/>
    <mergeCell ref="A147:D147"/>
    <mergeCell ref="E147:G147"/>
    <mergeCell ref="H147:M147"/>
    <mergeCell ref="A148:D148"/>
    <mergeCell ref="E148:G148"/>
    <mergeCell ref="H148:M148"/>
    <mergeCell ref="K120:L120"/>
    <mergeCell ref="I120:J120"/>
    <mergeCell ref="D120:H120"/>
    <mergeCell ref="K126:L126"/>
    <mergeCell ref="I126:J126"/>
    <mergeCell ref="D126:H126"/>
    <mergeCell ref="K122:L122"/>
    <mergeCell ref="F122:I122"/>
    <mergeCell ref="B103:C103"/>
    <mergeCell ref="A105:C105"/>
    <mergeCell ref="D105:H105"/>
    <mergeCell ref="I105:J105"/>
    <mergeCell ref="K105:L105"/>
    <mergeCell ref="A106:C106"/>
    <mergeCell ref="D106:H106"/>
    <mergeCell ref="I106:J106"/>
    <mergeCell ref="K106:L106"/>
    <mergeCell ref="G144:L144"/>
    <mergeCell ref="H115:M115"/>
    <mergeCell ref="H116:M116"/>
    <mergeCell ref="E113:G113"/>
    <mergeCell ref="H113:M113"/>
    <mergeCell ref="E114:G114"/>
    <mergeCell ref="H114:M114"/>
    <mergeCell ref="A142:C142"/>
    <mergeCell ref="A108:C108"/>
    <mergeCell ref="D108:E108"/>
    <mergeCell ref="F108:I108"/>
    <mergeCell ref="K108:L108"/>
    <mergeCell ref="D122:E122"/>
    <mergeCell ref="K121:L121"/>
    <mergeCell ref="I121:J121"/>
    <mergeCell ref="D121:H121"/>
    <mergeCell ref="D128:H128"/>
    <mergeCell ref="K127:L127"/>
    <mergeCell ref="I127:J127"/>
    <mergeCell ref="D127:H127"/>
    <mergeCell ref="K130:L130"/>
    <mergeCell ref="F130:I130"/>
    <mergeCell ref="D130:E130"/>
    <mergeCell ref="K129:L129"/>
    <mergeCell ref="B88:C88"/>
    <mergeCell ref="A90:C90"/>
    <mergeCell ref="D90:H90"/>
    <mergeCell ref="I90:J90"/>
    <mergeCell ref="K90:L90"/>
    <mergeCell ref="A91:C91"/>
    <mergeCell ref="D91:H91"/>
    <mergeCell ref="I91:J91"/>
    <mergeCell ref="K91:L91"/>
    <mergeCell ref="D94:H94"/>
    <mergeCell ref="I94:J94"/>
    <mergeCell ref="K94:L94"/>
    <mergeCell ref="A95:C95"/>
    <mergeCell ref="D95:E95"/>
    <mergeCell ref="F95:I95"/>
    <mergeCell ref="K95:L95"/>
    <mergeCell ref="A141:C141"/>
    <mergeCell ref="A136:C136"/>
    <mergeCell ref="B138:C138"/>
    <mergeCell ref="A140:C140"/>
    <mergeCell ref="B132:C132"/>
    <mergeCell ref="A134:C134"/>
    <mergeCell ref="A135:C135"/>
    <mergeCell ref="A129:C129"/>
    <mergeCell ref="A130:C130"/>
    <mergeCell ref="A100:C100"/>
    <mergeCell ref="D100:H100"/>
    <mergeCell ref="I100:J100"/>
    <mergeCell ref="K100:L100"/>
    <mergeCell ref="A101:C101"/>
    <mergeCell ref="D101:E101"/>
    <mergeCell ref="F101:I101"/>
    <mergeCell ref="K101:L101"/>
    <mergeCell ref="K22:L22"/>
    <mergeCell ref="A17:C17"/>
    <mergeCell ref="K17:L17"/>
    <mergeCell ref="A15:C15"/>
    <mergeCell ref="A16:C16"/>
    <mergeCell ref="A127:C127"/>
    <mergeCell ref="A128:C128"/>
    <mergeCell ref="A122:C122"/>
    <mergeCell ref="B124:C124"/>
    <mergeCell ref="A126:C126"/>
    <mergeCell ref="B118:C118"/>
    <mergeCell ref="A120:C120"/>
    <mergeCell ref="A121:C121"/>
    <mergeCell ref="E115:G115"/>
    <mergeCell ref="E116:G116"/>
    <mergeCell ref="E85:G85"/>
    <mergeCell ref="H85:M85"/>
    <mergeCell ref="E86:G86"/>
    <mergeCell ref="H86:M86"/>
    <mergeCell ref="E83:G83"/>
    <mergeCell ref="H83:M83"/>
    <mergeCell ref="E84:G84"/>
    <mergeCell ref="H84:M84"/>
    <mergeCell ref="A92:C92"/>
    <mergeCell ref="B6:H6"/>
    <mergeCell ref="A1:E4"/>
    <mergeCell ref="F1:H1"/>
    <mergeCell ref="F2:H2"/>
    <mergeCell ref="F3:H3"/>
    <mergeCell ref="F4:H4"/>
    <mergeCell ref="A25:D25"/>
    <mergeCell ref="E25:F25"/>
    <mergeCell ref="A23:C23"/>
    <mergeCell ref="A24:C24"/>
    <mergeCell ref="A22:C22"/>
    <mergeCell ref="D24:H24"/>
    <mergeCell ref="D15:H15"/>
    <mergeCell ref="D16:H16"/>
    <mergeCell ref="D17:H17"/>
    <mergeCell ref="D14:H14"/>
    <mergeCell ref="D22:H22"/>
    <mergeCell ref="D23:H23"/>
    <mergeCell ref="B20:H20"/>
    <mergeCell ref="A14:C14"/>
    <mergeCell ref="A9:C9"/>
    <mergeCell ref="D9:H9"/>
    <mergeCell ref="A8:C8"/>
    <mergeCell ref="D8:H8"/>
    <mergeCell ref="B54:C54"/>
    <mergeCell ref="A56:C56"/>
    <mergeCell ref="D56:H56"/>
    <mergeCell ref="I56:J56"/>
    <mergeCell ref="K56:L56"/>
    <mergeCell ref="A57:C57"/>
    <mergeCell ref="D57:H57"/>
    <mergeCell ref="I57:J57"/>
    <mergeCell ref="K57:L57"/>
    <mergeCell ref="A58:C58"/>
    <mergeCell ref="D58:E58"/>
    <mergeCell ref="F58:I58"/>
    <mergeCell ref="K58:L58"/>
    <mergeCell ref="B97:C97"/>
    <mergeCell ref="A99:C99"/>
    <mergeCell ref="D99:H99"/>
    <mergeCell ref="I99:J99"/>
    <mergeCell ref="K99:L99"/>
    <mergeCell ref="G80:L80"/>
    <mergeCell ref="D92:H92"/>
    <mergeCell ref="I92:J92"/>
    <mergeCell ref="K92:L92"/>
    <mergeCell ref="A93:C93"/>
    <mergeCell ref="D93:H93"/>
    <mergeCell ref="I93:J93"/>
    <mergeCell ref="K93:L93"/>
    <mergeCell ref="E65:G65"/>
    <mergeCell ref="H65:M65"/>
    <mergeCell ref="E62:G62"/>
    <mergeCell ref="H62:M62"/>
    <mergeCell ref="E63:G63"/>
    <mergeCell ref="H63:M63"/>
    <mergeCell ref="A94:C94"/>
  </mergeCells>
  <phoneticPr fontId="12" type="noConversion"/>
  <pageMargins left="0.7" right="0.7" top="0.75" bottom="0.75" header="0.3" footer="0.3"/>
  <pageSetup scale="32" orientation="portrait" r:id="rId1"/>
  <rowBreaks count="1" manualBreakCount="1">
    <brk id="60" max="1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CD789-0F18-4334-94CE-AD1A9C36218C}">
  <sheetPr>
    <tabColor rgb="FF92D050"/>
  </sheetPr>
  <dimension ref="B1:N38"/>
  <sheetViews>
    <sheetView topLeftCell="A25" workbookViewId="0">
      <selection activeCell="E12" sqref="E12"/>
    </sheetView>
  </sheetViews>
  <sheetFormatPr baseColWidth="10" defaultRowHeight="15" x14ac:dyDescent="0.25"/>
  <cols>
    <col min="2" max="2" width="53.85546875" customWidth="1"/>
    <col min="3" max="3" width="13.28515625" style="8" bestFit="1" customWidth="1"/>
    <col min="4" max="4" width="20.5703125" style="3" customWidth="1"/>
    <col min="5" max="5" width="16.42578125" customWidth="1"/>
    <col min="6" max="6" width="11.85546875" bestFit="1" customWidth="1"/>
    <col min="7" max="7" width="14.7109375" customWidth="1"/>
    <col min="8" max="8" width="45.28515625" customWidth="1"/>
    <col min="9" max="10" width="20.42578125" style="3" customWidth="1"/>
    <col min="11" max="11" width="30.28515625" customWidth="1"/>
    <col min="12" max="12" width="12.140625" bestFit="1" customWidth="1"/>
  </cols>
  <sheetData>
    <row r="1" spans="2:13" x14ac:dyDescent="0.25">
      <c r="B1" s="39" t="s">
        <v>53</v>
      </c>
      <c r="C1" s="6"/>
      <c r="D1" s="7"/>
      <c r="E1" t="s">
        <v>94</v>
      </c>
    </row>
    <row r="2" spans="2:13" ht="15.75" x14ac:dyDescent="0.25">
      <c r="B2" s="39" t="s">
        <v>6</v>
      </c>
      <c r="C2" s="39" t="s">
        <v>8</v>
      </c>
      <c r="D2" s="41" t="s">
        <v>10</v>
      </c>
      <c r="E2" s="44" t="s">
        <v>58</v>
      </c>
      <c r="F2" s="9" t="s">
        <v>59</v>
      </c>
      <c r="G2" s="10" t="s">
        <v>57</v>
      </c>
      <c r="H2" s="10" t="s">
        <v>60</v>
      </c>
      <c r="I2" s="24" t="s">
        <v>61</v>
      </c>
      <c r="J2" s="249"/>
    </row>
    <row r="3" spans="2:13" s="20" customFormat="1" ht="30" x14ac:dyDescent="0.25">
      <c r="B3" s="42" t="s">
        <v>19</v>
      </c>
      <c r="C3" s="40" t="s">
        <v>67</v>
      </c>
      <c r="D3" s="51">
        <v>78937</v>
      </c>
      <c r="E3" s="45">
        <v>284</v>
      </c>
      <c r="F3" s="15" t="s">
        <v>78</v>
      </c>
      <c r="G3" s="14" t="s">
        <v>67</v>
      </c>
      <c r="H3" s="19" t="s">
        <v>79</v>
      </c>
      <c r="I3" s="25">
        <v>52402.097562848641</v>
      </c>
      <c r="J3" s="250"/>
    </row>
    <row r="4" spans="2:13" ht="30" x14ac:dyDescent="0.25">
      <c r="B4" s="42" t="s">
        <v>35</v>
      </c>
      <c r="C4" s="40" t="s">
        <v>67</v>
      </c>
      <c r="D4" s="51">
        <v>72987</v>
      </c>
      <c r="E4" s="45">
        <v>217</v>
      </c>
      <c r="F4" s="11" t="s">
        <v>76</v>
      </c>
      <c r="G4" s="12" t="s">
        <v>67</v>
      </c>
      <c r="H4" s="13" t="s">
        <v>77</v>
      </c>
      <c r="I4" s="25">
        <v>66262.886704604258</v>
      </c>
      <c r="J4" s="250"/>
    </row>
    <row r="5" spans="2:13" ht="30" x14ac:dyDescent="0.25">
      <c r="B5" s="42" t="s">
        <v>95</v>
      </c>
      <c r="C5" s="40" t="s">
        <v>67</v>
      </c>
      <c r="D5" s="43"/>
      <c r="E5" s="45">
        <v>416</v>
      </c>
      <c r="F5" s="15" t="s">
        <v>80</v>
      </c>
      <c r="G5" s="22" t="s">
        <v>67</v>
      </c>
      <c r="H5" s="19" t="s">
        <v>81</v>
      </c>
      <c r="I5" s="25">
        <v>52515.36209174883</v>
      </c>
      <c r="J5" s="250"/>
    </row>
    <row r="6" spans="2:13" ht="30" x14ac:dyDescent="0.25">
      <c r="B6" s="42" t="s">
        <v>34</v>
      </c>
      <c r="C6" s="40" t="s">
        <v>11</v>
      </c>
      <c r="D6" s="50">
        <v>30940</v>
      </c>
      <c r="E6" s="45">
        <v>72</v>
      </c>
      <c r="F6" s="11" t="s">
        <v>71</v>
      </c>
      <c r="G6" s="23" t="s">
        <v>63</v>
      </c>
      <c r="H6" s="19" t="s">
        <v>72</v>
      </c>
      <c r="I6" s="25">
        <v>31225.282856740818</v>
      </c>
      <c r="J6" s="250"/>
      <c r="K6" s="3"/>
    </row>
    <row r="7" spans="2:13" x14ac:dyDescent="0.25">
      <c r="B7" s="42" t="s">
        <v>23</v>
      </c>
      <c r="C7" s="40" t="s">
        <v>12</v>
      </c>
      <c r="D7" s="50">
        <v>28500</v>
      </c>
      <c r="E7" s="45">
        <v>103</v>
      </c>
      <c r="F7" s="15" t="s">
        <v>73</v>
      </c>
      <c r="G7" s="22" t="s">
        <v>62</v>
      </c>
      <c r="H7" s="19" t="s">
        <v>74</v>
      </c>
      <c r="I7" s="25">
        <v>645.73229703858942</v>
      </c>
      <c r="J7" s="250"/>
      <c r="K7" s="3">
        <f>+I7*50</f>
        <v>32286.614851929473</v>
      </c>
    </row>
    <row r="8" spans="2:13" x14ac:dyDescent="0.25">
      <c r="B8" s="42" t="s">
        <v>27</v>
      </c>
      <c r="C8" s="40" t="s">
        <v>67</v>
      </c>
      <c r="D8" s="51">
        <v>62523</v>
      </c>
      <c r="E8" s="45">
        <v>56</v>
      </c>
      <c r="F8" s="11" t="s">
        <v>69</v>
      </c>
      <c r="G8" s="12" t="s">
        <v>67</v>
      </c>
      <c r="H8" s="19" t="s">
        <v>70</v>
      </c>
      <c r="I8" s="25">
        <v>60769.781213354778</v>
      </c>
      <c r="J8" s="250"/>
      <c r="K8" s="3"/>
    </row>
    <row r="9" spans="2:13" ht="30" x14ac:dyDescent="0.25">
      <c r="B9" s="42" t="s">
        <v>31</v>
      </c>
      <c r="C9" s="40" t="s">
        <v>11</v>
      </c>
      <c r="D9" s="50">
        <v>507</v>
      </c>
      <c r="E9" s="45">
        <v>16</v>
      </c>
      <c r="F9" s="11" t="s">
        <v>64</v>
      </c>
      <c r="G9" s="12" t="s">
        <v>65</v>
      </c>
      <c r="H9" s="13" t="s">
        <v>66</v>
      </c>
      <c r="I9" s="25">
        <v>70464.729210531426</v>
      </c>
      <c r="J9" s="250"/>
      <c r="K9">
        <f>+I9/54</f>
        <v>1304.902392787619</v>
      </c>
    </row>
    <row r="10" spans="2:13" x14ac:dyDescent="0.25">
      <c r="F10" s="27" t="s">
        <v>98</v>
      </c>
      <c r="G10" s="26" t="s">
        <v>97</v>
      </c>
      <c r="H10" t="s">
        <v>96</v>
      </c>
      <c r="I10" s="3">
        <v>700</v>
      </c>
    </row>
    <row r="12" spans="2:13" x14ac:dyDescent="0.25">
      <c r="D12" s="3">
        <f>+D7/50</f>
        <v>570</v>
      </c>
    </row>
    <row r="14" spans="2:13" ht="18.75" x14ac:dyDescent="0.3">
      <c r="B14" s="38" t="s">
        <v>54</v>
      </c>
      <c r="C14" s="6"/>
      <c r="D14" s="5"/>
      <c r="I14" s="718" t="s">
        <v>108</v>
      </c>
      <c r="J14" s="718"/>
      <c r="K14" s="718"/>
    </row>
    <row r="15" spans="2:13" ht="60" x14ac:dyDescent="0.25">
      <c r="B15" s="39" t="s">
        <v>6</v>
      </c>
      <c r="C15" s="39" t="s">
        <v>8</v>
      </c>
      <c r="D15" s="41" t="s">
        <v>10</v>
      </c>
      <c r="E15" s="46" t="s">
        <v>100</v>
      </c>
      <c r="F15" s="46" t="s">
        <v>101</v>
      </c>
      <c r="G15" s="46" t="s">
        <v>102</v>
      </c>
      <c r="H15" s="34"/>
      <c r="I15" s="184" t="s">
        <v>106</v>
      </c>
      <c r="J15" s="184" t="s">
        <v>266</v>
      </c>
      <c r="K15" s="185">
        <v>95545</v>
      </c>
      <c r="L15" s="56"/>
      <c r="M15" s="34"/>
    </row>
    <row r="16" spans="2:13" x14ac:dyDescent="0.25">
      <c r="B16" s="42" t="s">
        <v>36</v>
      </c>
      <c r="C16" s="40" t="s">
        <v>65</v>
      </c>
      <c r="D16" s="50">
        <v>26500</v>
      </c>
      <c r="E16" s="47">
        <v>29961.691616766468</v>
      </c>
      <c r="F16" s="48">
        <v>10007</v>
      </c>
      <c r="G16" s="47">
        <v>25959</v>
      </c>
      <c r="H16" s="35"/>
      <c r="I16" s="186" t="s">
        <v>107</v>
      </c>
      <c r="J16" s="184" t="s">
        <v>266</v>
      </c>
      <c r="K16" s="187">
        <v>164047</v>
      </c>
      <c r="L16" s="57"/>
      <c r="M16" s="36"/>
    </row>
    <row r="17" spans="2:14" x14ac:dyDescent="0.25">
      <c r="B17" s="42" t="s">
        <v>24</v>
      </c>
      <c r="C17" s="40" t="s">
        <v>14</v>
      </c>
      <c r="D17" s="51">
        <v>21000</v>
      </c>
      <c r="E17" s="49"/>
      <c r="F17" s="49" t="e">
        <f>+#REF!</f>
        <v>#REF!</v>
      </c>
      <c r="G17" s="49">
        <v>15576</v>
      </c>
      <c r="H17" s="33"/>
      <c r="I17" s="37"/>
      <c r="J17" s="37"/>
      <c r="K17" s="33"/>
      <c r="L17" s="33"/>
      <c r="M17" s="33"/>
    </row>
    <row r="18" spans="2:14" ht="18.75" x14ac:dyDescent="0.3">
      <c r="B18" s="42" t="s">
        <v>28</v>
      </c>
      <c r="C18" s="40" t="s">
        <v>26</v>
      </c>
      <c r="D18" s="43">
        <v>1623500</v>
      </c>
      <c r="E18" s="3"/>
      <c r="F18" s="3"/>
      <c r="G18" s="3"/>
      <c r="I18" s="719" t="s">
        <v>273</v>
      </c>
      <c r="J18" s="720"/>
      <c r="K18" s="721"/>
    </row>
    <row r="19" spans="2:14" ht="39.6" customHeight="1" x14ac:dyDescent="0.3">
      <c r="B19" s="20"/>
      <c r="D19" s="334"/>
      <c r="E19" s="3"/>
      <c r="F19" s="3"/>
      <c r="G19" s="3"/>
      <c r="I19" s="719" t="s">
        <v>274</v>
      </c>
      <c r="J19" s="720"/>
      <c r="K19" s="721"/>
    </row>
    <row r="20" spans="2:14" x14ac:dyDescent="0.25">
      <c r="E20" s="3"/>
      <c r="F20" s="3"/>
      <c r="G20" s="3"/>
      <c r="I20" s="46" t="s">
        <v>106</v>
      </c>
      <c r="J20" s="46" t="s">
        <v>266</v>
      </c>
      <c r="K20" s="177">
        <v>93519.02</v>
      </c>
      <c r="L20" s="3">
        <f>+K20/8</f>
        <v>11689.877500000001</v>
      </c>
      <c r="N20">
        <v>11689.88</v>
      </c>
    </row>
    <row r="21" spans="2:14" x14ac:dyDescent="0.25">
      <c r="I21" s="178" t="s">
        <v>107</v>
      </c>
      <c r="J21" s="46" t="s">
        <v>137</v>
      </c>
      <c r="K21" s="179">
        <v>140278.51999999999</v>
      </c>
      <c r="L21" s="3">
        <f>+K21/8</f>
        <v>17534.814999999999</v>
      </c>
      <c r="N21">
        <v>17534.810000000001</v>
      </c>
    </row>
    <row r="22" spans="2:14" x14ac:dyDescent="0.25">
      <c r="B22" s="4" t="s">
        <v>55</v>
      </c>
      <c r="C22" s="6"/>
      <c r="D22" s="5"/>
      <c r="L22" s="3"/>
    </row>
    <row r="23" spans="2:14" ht="15.75" x14ac:dyDescent="0.25">
      <c r="B23" s="4" t="s">
        <v>6</v>
      </c>
      <c r="C23" s="6" t="s">
        <v>8</v>
      </c>
      <c r="D23" s="5" t="s">
        <v>10</v>
      </c>
      <c r="E23" s="17" t="s">
        <v>58</v>
      </c>
      <c r="F23" s="16" t="s">
        <v>59</v>
      </c>
      <c r="G23" s="16" t="s">
        <v>57</v>
      </c>
      <c r="H23" s="16" t="s">
        <v>60</v>
      </c>
      <c r="I23" s="18" t="s">
        <v>61</v>
      </c>
      <c r="J23" s="251"/>
      <c r="K23" s="55" t="s">
        <v>99</v>
      </c>
      <c r="L23" s="3"/>
    </row>
    <row r="24" spans="2:14" ht="30" x14ac:dyDescent="0.25">
      <c r="B24" s="20" t="s">
        <v>20</v>
      </c>
      <c r="C24" s="8" t="s">
        <v>15</v>
      </c>
      <c r="D24" s="52">
        <v>175525</v>
      </c>
      <c r="E24" s="12">
        <v>91</v>
      </c>
      <c r="F24" s="28" t="s">
        <v>85</v>
      </c>
      <c r="G24" s="28" t="s">
        <v>82</v>
      </c>
      <c r="H24" s="29" t="s">
        <v>86</v>
      </c>
      <c r="I24" s="25">
        <v>372085.84337349387</v>
      </c>
      <c r="J24" s="250"/>
      <c r="K24" s="21">
        <v>170683</v>
      </c>
    </row>
    <row r="25" spans="2:14" ht="30" x14ac:dyDescent="0.25">
      <c r="B25" s="20" t="s">
        <v>18</v>
      </c>
      <c r="C25" s="8" t="s">
        <v>15</v>
      </c>
      <c r="D25" s="52">
        <v>130900</v>
      </c>
      <c r="E25" s="12">
        <v>112</v>
      </c>
      <c r="F25" s="28" t="s">
        <v>87</v>
      </c>
      <c r="G25" s="28" t="s">
        <v>82</v>
      </c>
      <c r="H25" s="30" t="s">
        <v>88</v>
      </c>
      <c r="I25" s="25">
        <v>257359.375</v>
      </c>
      <c r="J25" s="250"/>
      <c r="K25" s="21">
        <v>95000</v>
      </c>
    </row>
    <row r="26" spans="2:14" x14ac:dyDescent="0.25">
      <c r="B26" s="20" t="s">
        <v>21</v>
      </c>
      <c r="C26" s="8" t="s">
        <v>15</v>
      </c>
      <c r="D26" s="52">
        <v>124950</v>
      </c>
      <c r="E26" s="12">
        <v>128</v>
      </c>
      <c r="F26" s="28" t="s">
        <v>89</v>
      </c>
      <c r="G26" s="28" t="s">
        <v>82</v>
      </c>
      <c r="H26" s="30" t="s">
        <v>90</v>
      </c>
      <c r="I26" s="25">
        <v>260460.09036144576</v>
      </c>
      <c r="J26" s="250"/>
      <c r="K26" s="21">
        <v>100000</v>
      </c>
    </row>
    <row r="27" spans="2:14" x14ac:dyDescent="0.25">
      <c r="B27" s="20" t="s">
        <v>32</v>
      </c>
      <c r="C27" s="8" t="s">
        <v>30</v>
      </c>
      <c r="D27" s="52">
        <v>475000</v>
      </c>
      <c r="E27" s="12">
        <v>25</v>
      </c>
      <c r="F27" s="28" t="s">
        <v>83</v>
      </c>
      <c r="G27" s="28" t="s">
        <v>82</v>
      </c>
      <c r="H27" s="30" t="s">
        <v>84</v>
      </c>
      <c r="I27" s="25">
        <v>182942.20632530117</v>
      </c>
      <c r="J27" s="250"/>
      <c r="K27" s="21">
        <v>81667</v>
      </c>
    </row>
    <row r="28" spans="2:14" x14ac:dyDescent="0.25">
      <c r="B28" t="s">
        <v>109</v>
      </c>
      <c r="C28" s="8" t="s">
        <v>15</v>
      </c>
      <c r="E28" s="3"/>
      <c r="K28" s="59">
        <v>8333.33</v>
      </c>
    </row>
    <row r="30" spans="2:14" x14ac:dyDescent="0.25">
      <c r="B30" s="4" t="s">
        <v>56</v>
      </c>
      <c r="C30" s="6"/>
      <c r="D30" s="5"/>
    </row>
    <row r="31" spans="2:14" ht="15.75" x14ac:dyDescent="0.25">
      <c r="B31" s="4" t="s">
        <v>6</v>
      </c>
      <c r="C31" s="6" t="s">
        <v>8</v>
      </c>
      <c r="D31" s="5" t="s">
        <v>10</v>
      </c>
      <c r="E31" s="17" t="s">
        <v>58</v>
      </c>
      <c r="F31" s="16" t="s">
        <v>59</v>
      </c>
      <c r="G31" s="16" t="s">
        <v>57</v>
      </c>
      <c r="H31" s="16" t="s">
        <v>60</v>
      </c>
      <c r="I31" s="53" t="s">
        <v>61</v>
      </c>
      <c r="J31" s="252"/>
    </row>
    <row r="32" spans="2:14" ht="15.75" x14ac:dyDescent="0.25">
      <c r="B32" t="s">
        <v>22</v>
      </c>
      <c r="C32" s="8" t="s">
        <v>16</v>
      </c>
      <c r="D32" s="60">
        <v>175000</v>
      </c>
      <c r="E32" s="14">
        <v>18</v>
      </c>
      <c r="F32" s="31" t="s">
        <v>92</v>
      </c>
      <c r="G32" s="31" t="s">
        <v>91</v>
      </c>
      <c r="H32" s="32" t="s">
        <v>93</v>
      </c>
      <c r="I32" s="54">
        <v>1157.976912096284</v>
      </c>
      <c r="J32" s="253"/>
    </row>
    <row r="33" spans="2:10" x14ac:dyDescent="0.25">
      <c r="B33" t="s">
        <v>19</v>
      </c>
      <c r="C33" s="8" t="s">
        <v>16</v>
      </c>
      <c r="D33" s="60">
        <v>175000</v>
      </c>
      <c r="H33">
        <v>13</v>
      </c>
      <c r="I33" s="3" t="s">
        <v>67</v>
      </c>
    </row>
    <row r="34" spans="2:10" x14ac:dyDescent="0.25">
      <c r="B34" t="s">
        <v>37</v>
      </c>
      <c r="C34" s="8" t="s">
        <v>16</v>
      </c>
      <c r="D34" s="60">
        <v>175000</v>
      </c>
      <c r="H34">
        <v>10</v>
      </c>
      <c r="I34" s="3" t="s">
        <v>105</v>
      </c>
    </row>
    <row r="35" spans="2:10" ht="15.75" x14ac:dyDescent="0.25">
      <c r="B35" t="s">
        <v>25</v>
      </c>
      <c r="C35" s="8" t="s">
        <v>16</v>
      </c>
      <c r="D35" s="60">
        <v>175000</v>
      </c>
      <c r="I35" s="54">
        <f>+I32*H33*H34</f>
        <v>150536.99857251692</v>
      </c>
      <c r="J35" s="253"/>
    </row>
    <row r="36" spans="2:10" x14ac:dyDescent="0.25">
      <c r="B36" t="s">
        <v>27</v>
      </c>
      <c r="C36" s="8" t="s">
        <v>16</v>
      </c>
      <c r="D36" s="60">
        <v>175000</v>
      </c>
    </row>
    <row r="38" spans="2:10" x14ac:dyDescent="0.25">
      <c r="E38" t="s">
        <v>104</v>
      </c>
    </row>
  </sheetData>
  <mergeCells count="3">
    <mergeCell ref="I14:K14"/>
    <mergeCell ref="I18:K18"/>
    <mergeCell ref="I19:K1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52869-7718-4BF8-9595-512833C88055}">
  <sheetPr>
    <tabColor rgb="FF92D050"/>
  </sheetPr>
  <dimension ref="K14:N35"/>
  <sheetViews>
    <sheetView topLeftCell="A12" zoomScale="82" zoomScaleNormal="82" workbookViewId="0">
      <selection activeCell="M65" sqref="M65"/>
    </sheetView>
  </sheetViews>
  <sheetFormatPr baseColWidth="10" defaultRowHeight="15" x14ac:dyDescent="0.25"/>
  <cols>
    <col min="10" max="10" width="22.42578125" customWidth="1"/>
    <col min="13" max="13" width="22.85546875" customWidth="1"/>
    <col min="14" max="14" width="11.7109375" bestFit="1" customWidth="1"/>
  </cols>
  <sheetData>
    <row r="14" spans="11:14" x14ac:dyDescent="0.25">
      <c r="M14" s="338"/>
    </row>
    <row r="15" spans="11:14" x14ac:dyDescent="0.25">
      <c r="M15" s="338"/>
    </row>
    <row r="16" spans="11:14" x14ac:dyDescent="0.25">
      <c r="K16" s="722" t="s">
        <v>295</v>
      </c>
      <c r="L16" s="722"/>
      <c r="M16" s="722"/>
      <c r="N16" s="722"/>
    </row>
    <row r="17" spans="11:14" x14ac:dyDescent="0.25">
      <c r="K17" s="341" t="s">
        <v>294</v>
      </c>
      <c r="L17" s="341" t="s">
        <v>171</v>
      </c>
      <c r="M17" s="340" t="s">
        <v>116</v>
      </c>
      <c r="N17" s="341" t="s">
        <v>276</v>
      </c>
    </row>
    <row r="18" spans="11:14" x14ac:dyDescent="0.25">
      <c r="K18" s="40" t="s">
        <v>277</v>
      </c>
      <c r="L18" s="40" t="s">
        <v>287</v>
      </c>
      <c r="M18" s="339" t="s">
        <v>68</v>
      </c>
      <c r="N18" s="342">
        <v>3.65</v>
      </c>
    </row>
    <row r="19" spans="11:14" x14ac:dyDescent="0.25">
      <c r="K19" s="40" t="s">
        <v>289</v>
      </c>
      <c r="L19" s="40" t="s">
        <v>288</v>
      </c>
      <c r="M19" s="339" t="s">
        <v>290</v>
      </c>
      <c r="N19" s="342">
        <v>10464</v>
      </c>
    </row>
    <row r="20" spans="11:14" ht="30" x14ac:dyDescent="0.25">
      <c r="K20" s="40" t="s">
        <v>293</v>
      </c>
      <c r="L20" s="40" t="s">
        <v>291</v>
      </c>
      <c r="M20" s="339" t="s">
        <v>292</v>
      </c>
      <c r="N20" s="342">
        <v>12500</v>
      </c>
    </row>
    <row r="21" spans="11:14" x14ac:dyDescent="0.25">
      <c r="M21" s="338"/>
    </row>
    <row r="22" spans="11:14" x14ac:dyDescent="0.25">
      <c r="M22" s="338"/>
    </row>
    <row r="23" spans="11:14" x14ac:dyDescent="0.25">
      <c r="M23" s="338"/>
    </row>
    <row r="24" spans="11:14" x14ac:dyDescent="0.25">
      <c r="M24" s="338"/>
    </row>
    <row r="35" spans="11:11" x14ac:dyDescent="0.25">
      <c r="K35">
        <f>11689.88+17534.82</f>
        <v>29224.699999999997</v>
      </c>
    </row>
  </sheetData>
  <mergeCells count="1">
    <mergeCell ref="K16:N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presupuesto</vt:lpstr>
      <vt:lpstr>ADMINISTRATIVOS</vt:lpstr>
      <vt:lpstr>CRONOGRAMA</vt:lpstr>
      <vt:lpstr>apu presupuesto</vt:lpstr>
      <vt:lpstr>listados</vt:lpstr>
      <vt:lpstr>APU GOBER 050 RES</vt:lpstr>
      <vt:lpstr>'apu presupuesto'!Área_de_impresión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HERNÁNDEZ</dc:creator>
  <cp:lastModifiedBy>NATHALIA CUEVAS BARRERA</cp:lastModifiedBy>
  <cp:lastPrinted>2025-04-01T21:12:42Z</cp:lastPrinted>
  <dcterms:created xsi:type="dcterms:W3CDTF">2024-05-29T16:22:42Z</dcterms:created>
  <dcterms:modified xsi:type="dcterms:W3CDTF">2025-05-13T14:28:39Z</dcterms:modified>
</cp:coreProperties>
</file>