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nny.torres\Downloads\"/>
    </mc:Choice>
  </mc:AlternateContent>
  <xr:revisionPtr revIDLastSave="0" documentId="13_ncr:1_{BADDF9A5-C79F-43FD-A526-E963C5EAFCCA}" xr6:coauthVersionLast="47" xr6:coauthVersionMax="47" xr10:uidLastSave="{00000000-0000-0000-0000-000000000000}"/>
  <bookViews>
    <workbookView xWindow="-120" yWindow="-120" windowWidth="29040" windowHeight="15720" firstSheet="3" activeTab="3" xr2:uid="{95C39092-491C-4738-B914-2EE9BFB7221D}"/>
  </bookViews>
  <sheets>
    <sheet name="presupuesto" sheetId="1" state="hidden" r:id="rId1"/>
    <sheet name="interven" sheetId="2" state="hidden" r:id="rId2"/>
    <sheet name="presupuesto (2)" sheetId="3" state="hidden" r:id="rId3"/>
    <sheet name="Anali de cotizaciones" sheetId="4" r:id="rId4"/>
    <sheet name="presupuesto final" sheetId="5" r:id="rId5"/>
  </sheets>
  <definedNames>
    <definedName name="_xlnm.Print_Area" localSheetId="3">'Anali de cotizaciones'!$A$1:$S$77</definedName>
    <definedName name="_xlnm.Print_Area" localSheetId="0">presupuesto!$A$1:$T$77</definedName>
    <definedName name="_xlnm.Print_Area" localSheetId="2">'presupuesto (2)'!$A$1:$U$77</definedName>
    <definedName name="_xlnm.Print_Area" localSheetId="4">'presupuesto final'!$A$1:$S$77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2" i="4" l="1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5" i="4"/>
  <c r="U6" i="4"/>
  <c r="U7" i="4"/>
  <c r="U8" i="4"/>
  <c r="U9" i="4"/>
  <c r="U10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5" i="4"/>
  <c r="Q80" i="4"/>
  <c r="N80" i="4"/>
  <c r="J79" i="4"/>
  <c r="E79" i="4"/>
  <c r="J75" i="5"/>
  <c r="R74" i="5"/>
  <c r="S74" i="5" s="1"/>
  <c r="Q74" i="5"/>
  <c r="O74" i="5"/>
  <c r="P74" i="5" s="1"/>
  <c r="L74" i="5"/>
  <c r="K74" i="5"/>
  <c r="F74" i="5"/>
  <c r="G74" i="5" s="1"/>
  <c r="S73" i="5"/>
  <c r="R73" i="5"/>
  <c r="Q73" i="5"/>
  <c r="O73" i="5"/>
  <c r="P73" i="5" s="1"/>
  <c r="L73" i="5"/>
  <c r="K73" i="5"/>
  <c r="F73" i="5"/>
  <c r="G73" i="5" s="1"/>
  <c r="Q72" i="5"/>
  <c r="R72" i="5" s="1"/>
  <c r="S72" i="5" s="1"/>
  <c r="P72" i="5"/>
  <c r="O72" i="5"/>
  <c r="K72" i="5"/>
  <c r="L72" i="5" s="1"/>
  <c r="G72" i="5"/>
  <c r="F72" i="5"/>
  <c r="Q71" i="5"/>
  <c r="R71" i="5" s="1"/>
  <c r="S71" i="5" s="1"/>
  <c r="P71" i="5"/>
  <c r="O71" i="5"/>
  <c r="K71" i="5"/>
  <c r="L71" i="5" s="1"/>
  <c r="G71" i="5"/>
  <c r="F71" i="5"/>
  <c r="N70" i="5"/>
  <c r="Q70" i="5" s="1"/>
  <c r="J70" i="5"/>
  <c r="Q69" i="5"/>
  <c r="R69" i="5" s="1"/>
  <c r="S69" i="5" s="1"/>
  <c r="P69" i="5"/>
  <c r="O69" i="5"/>
  <c r="K69" i="5"/>
  <c r="L69" i="5" s="1"/>
  <c r="J69" i="5"/>
  <c r="E69" i="5"/>
  <c r="F69" i="5" s="1"/>
  <c r="G69" i="5" s="1"/>
  <c r="P68" i="5"/>
  <c r="O68" i="5"/>
  <c r="J68" i="5"/>
  <c r="K68" i="5" s="1"/>
  <c r="L68" i="5" s="1"/>
  <c r="E68" i="5"/>
  <c r="F68" i="5" s="1"/>
  <c r="G68" i="5" s="1"/>
  <c r="Q67" i="5"/>
  <c r="N67" i="5"/>
  <c r="J67" i="5" s="1"/>
  <c r="O66" i="5"/>
  <c r="P66" i="5" s="1"/>
  <c r="L66" i="5"/>
  <c r="K66" i="5"/>
  <c r="J66" i="5"/>
  <c r="F66" i="5"/>
  <c r="G66" i="5" s="1"/>
  <c r="E66" i="5"/>
  <c r="Q66" i="5" s="1"/>
  <c r="R66" i="5" s="1"/>
  <c r="S66" i="5" s="1"/>
  <c r="P65" i="5"/>
  <c r="O65" i="5"/>
  <c r="K65" i="5"/>
  <c r="L65" i="5" s="1"/>
  <c r="J65" i="5"/>
  <c r="E65" i="5"/>
  <c r="F65" i="5" s="1"/>
  <c r="G65" i="5" s="1"/>
  <c r="J64" i="5"/>
  <c r="N64" i="5" s="1"/>
  <c r="Q64" i="5" s="1"/>
  <c r="S63" i="5"/>
  <c r="O63" i="5"/>
  <c r="P63" i="5" s="1"/>
  <c r="L63" i="5"/>
  <c r="K63" i="5"/>
  <c r="F63" i="5"/>
  <c r="G63" i="5" s="1"/>
  <c r="E63" i="5"/>
  <c r="Q63" i="5" s="1"/>
  <c r="R63" i="5" s="1"/>
  <c r="Q62" i="5"/>
  <c r="R62" i="5" s="1"/>
  <c r="S62" i="5" s="1"/>
  <c r="P62" i="5"/>
  <c r="O62" i="5"/>
  <c r="K62" i="5"/>
  <c r="L62" i="5" s="1"/>
  <c r="J62" i="5"/>
  <c r="E62" i="5"/>
  <c r="F62" i="5" s="1"/>
  <c r="G62" i="5" s="1"/>
  <c r="P61" i="5"/>
  <c r="O61" i="5"/>
  <c r="J61" i="5"/>
  <c r="K61" i="5" s="1"/>
  <c r="L61" i="5" s="1"/>
  <c r="E61" i="5"/>
  <c r="F61" i="5" s="1"/>
  <c r="G61" i="5" s="1"/>
  <c r="S60" i="5"/>
  <c r="O60" i="5"/>
  <c r="P60" i="5" s="1"/>
  <c r="L60" i="5"/>
  <c r="J60" i="5"/>
  <c r="K60" i="5" s="1"/>
  <c r="G60" i="5"/>
  <c r="F60" i="5"/>
  <c r="E60" i="5"/>
  <c r="Q60" i="5" s="1"/>
  <c r="R60" i="5" s="1"/>
  <c r="Q59" i="5"/>
  <c r="R59" i="5" s="1"/>
  <c r="S59" i="5" s="1"/>
  <c r="O59" i="5"/>
  <c r="P59" i="5" s="1"/>
  <c r="L59" i="5"/>
  <c r="K59" i="5"/>
  <c r="J59" i="5"/>
  <c r="E59" i="5"/>
  <c r="F59" i="5" s="1"/>
  <c r="G59" i="5" s="1"/>
  <c r="P58" i="5"/>
  <c r="O58" i="5"/>
  <c r="K58" i="5"/>
  <c r="L58" i="5" s="1"/>
  <c r="J58" i="5"/>
  <c r="E58" i="5"/>
  <c r="F58" i="5" s="1"/>
  <c r="G58" i="5" s="1"/>
  <c r="P57" i="5"/>
  <c r="O57" i="5"/>
  <c r="J57" i="5"/>
  <c r="K57" i="5" s="1"/>
  <c r="L57" i="5" s="1"/>
  <c r="E57" i="5"/>
  <c r="F57" i="5" s="1"/>
  <c r="G57" i="5" s="1"/>
  <c r="N56" i="5"/>
  <c r="Q56" i="5" s="1"/>
  <c r="J56" i="5"/>
  <c r="R55" i="5"/>
  <c r="S55" i="5" s="1"/>
  <c r="Q55" i="5"/>
  <c r="O55" i="5"/>
  <c r="P55" i="5" s="1"/>
  <c r="K55" i="5"/>
  <c r="L55" i="5" s="1"/>
  <c r="J55" i="5"/>
  <c r="F55" i="5"/>
  <c r="G55" i="5" s="1"/>
  <c r="E55" i="5"/>
  <c r="Q54" i="5"/>
  <c r="R54" i="5" s="1"/>
  <c r="S54" i="5" s="1"/>
  <c r="P54" i="5"/>
  <c r="O54" i="5"/>
  <c r="J54" i="5"/>
  <c r="K54" i="5" s="1"/>
  <c r="L54" i="5" s="1"/>
  <c r="E54" i="5"/>
  <c r="F54" i="5" s="1"/>
  <c r="G54" i="5" s="1"/>
  <c r="O53" i="5"/>
  <c r="P53" i="5" s="1"/>
  <c r="J53" i="5"/>
  <c r="K53" i="5" s="1"/>
  <c r="L53" i="5" s="1"/>
  <c r="G53" i="5"/>
  <c r="E53" i="5"/>
  <c r="F53" i="5" s="1"/>
  <c r="S52" i="5"/>
  <c r="R52" i="5"/>
  <c r="O52" i="5"/>
  <c r="P52" i="5" s="1"/>
  <c r="J52" i="5"/>
  <c r="K52" i="5" s="1"/>
  <c r="L52" i="5" s="1"/>
  <c r="F52" i="5"/>
  <c r="G52" i="5" s="1"/>
  <c r="E52" i="5"/>
  <c r="Q52" i="5" s="1"/>
  <c r="R51" i="5"/>
  <c r="S51" i="5" s="1"/>
  <c r="Q51" i="5"/>
  <c r="O51" i="5"/>
  <c r="P51" i="5" s="1"/>
  <c r="K51" i="5"/>
  <c r="L51" i="5" s="1"/>
  <c r="J51" i="5"/>
  <c r="F51" i="5"/>
  <c r="G51" i="5" s="1"/>
  <c r="E51" i="5"/>
  <c r="Q50" i="5"/>
  <c r="R50" i="5" s="1"/>
  <c r="S50" i="5" s="1"/>
  <c r="P50" i="5"/>
  <c r="O50" i="5"/>
  <c r="J50" i="5"/>
  <c r="K50" i="5" s="1"/>
  <c r="L50" i="5" s="1"/>
  <c r="E50" i="5"/>
  <c r="F50" i="5" s="1"/>
  <c r="G50" i="5" s="1"/>
  <c r="O49" i="5"/>
  <c r="P49" i="5" s="1"/>
  <c r="J49" i="5"/>
  <c r="K49" i="5" s="1"/>
  <c r="L49" i="5" s="1"/>
  <c r="G49" i="5"/>
  <c r="E49" i="5"/>
  <c r="F49" i="5" s="1"/>
  <c r="S48" i="5"/>
  <c r="R48" i="5"/>
  <c r="O48" i="5"/>
  <c r="P48" i="5" s="1"/>
  <c r="J48" i="5"/>
  <c r="K48" i="5" s="1"/>
  <c r="L48" i="5" s="1"/>
  <c r="F48" i="5"/>
  <c r="G48" i="5" s="1"/>
  <c r="E48" i="5"/>
  <c r="Q48" i="5" s="1"/>
  <c r="O47" i="5"/>
  <c r="P47" i="5" s="1"/>
  <c r="K47" i="5"/>
  <c r="L47" i="5" s="1"/>
  <c r="E47" i="5"/>
  <c r="F47" i="5" s="1"/>
  <c r="G47" i="5" s="1"/>
  <c r="O46" i="5"/>
  <c r="P46" i="5" s="1"/>
  <c r="J46" i="5"/>
  <c r="K46" i="5" s="1"/>
  <c r="L46" i="5" s="1"/>
  <c r="G46" i="5"/>
  <c r="E46" i="5"/>
  <c r="F46" i="5" s="1"/>
  <c r="S45" i="5"/>
  <c r="R45" i="5"/>
  <c r="O45" i="5"/>
  <c r="P45" i="5" s="1"/>
  <c r="J45" i="5"/>
  <c r="K45" i="5" s="1"/>
  <c r="L45" i="5" s="1"/>
  <c r="F45" i="5"/>
  <c r="G45" i="5" s="1"/>
  <c r="E45" i="5"/>
  <c r="Q45" i="5" s="1"/>
  <c r="R44" i="5"/>
  <c r="S44" i="5" s="1"/>
  <c r="Q44" i="5"/>
  <c r="O44" i="5"/>
  <c r="P44" i="5" s="1"/>
  <c r="K44" i="5"/>
  <c r="L44" i="5" s="1"/>
  <c r="J44" i="5"/>
  <c r="F44" i="5"/>
  <c r="G44" i="5" s="1"/>
  <c r="E44" i="5"/>
  <c r="Q43" i="5"/>
  <c r="R43" i="5" s="1"/>
  <c r="S43" i="5" s="1"/>
  <c r="P43" i="5"/>
  <c r="O43" i="5"/>
  <c r="J43" i="5"/>
  <c r="K43" i="5" s="1"/>
  <c r="L43" i="5" s="1"/>
  <c r="E43" i="5"/>
  <c r="F43" i="5" s="1"/>
  <c r="G43" i="5" s="1"/>
  <c r="O42" i="5"/>
  <c r="P42" i="5" s="1"/>
  <c r="J42" i="5"/>
  <c r="K42" i="5" s="1"/>
  <c r="L42" i="5" s="1"/>
  <c r="G42" i="5"/>
  <c r="E42" i="5"/>
  <c r="F42" i="5" s="1"/>
  <c r="Q41" i="5"/>
  <c r="N41" i="5"/>
  <c r="J41" i="5"/>
  <c r="O40" i="5"/>
  <c r="P40" i="5" s="1"/>
  <c r="L40" i="5"/>
  <c r="K40" i="5"/>
  <c r="J40" i="5"/>
  <c r="E40" i="5"/>
  <c r="Q40" i="5" s="1"/>
  <c r="R40" i="5" s="1"/>
  <c r="S40" i="5" s="1"/>
  <c r="P39" i="5"/>
  <c r="O39" i="5"/>
  <c r="K39" i="5"/>
  <c r="L39" i="5" s="1"/>
  <c r="J39" i="5"/>
  <c r="E39" i="5"/>
  <c r="F39" i="5" s="1"/>
  <c r="G39" i="5" s="1"/>
  <c r="P38" i="5"/>
  <c r="O38" i="5"/>
  <c r="J38" i="5"/>
  <c r="K38" i="5" s="1"/>
  <c r="L38" i="5" s="1"/>
  <c r="E38" i="5"/>
  <c r="F38" i="5" s="1"/>
  <c r="G38" i="5" s="1"/>
  <c r="O37" i="5"/>
  <c r="P37" i="5" s="1"/>
  <c r="L37" i="5"/>
  <c r="J37" i="5"/>
  <c r="K37" i="5" s="1"/>
  <c r="G37" i="5"/>
  <c r="F37" i="5"/>
  <c r="E37" i="5"/>
  <c r="Q37" i="5" s="1"/>
  <c r="R37" i="5" s="1"/>
  <c r="S37" i="5" s="1"/>
  <c r="O36" i="5"/>
  <c r="P36" i="5" s="1"/>
  <c r="L36" i="5"/>
  <c r="K36" i="5"/>
  <c r="J36" i="5"/>
  <c r="E36" i="5"/>
  <c r="Q36" i="5" s="1"/>
  <c r="R36" i="5" s="1"/>
  <c r="S36" i="5" s="1"/>
  <c r="P35" i="5"/>
  <c r="O35" i="5"/>
  <c r="K35" i="5"/>
  <c r="L35" i="5" s="1"/>
  <c r="J35" i="5"/>
  <c r="E35" i="5"/>
  <c r="F35" i="5" s="1"/>
  <c r="G35" i="5" s="1"/>
  <c r="P34" i="5"/>
  <c r="O34" i="5"/>
  <c r="K34" i="5"/>
  <c r="L34" i="5" s="1"/>
  <c r="J34" i="5"/>
  <c r="E34" i="5"/>
  <c r="P33" i="5"/>
  <c r="O33" i="5"/>
  <c r="L33" i="5"/>
  <c r="J33" i="5"/>
  <c r="K33" i="5" s="1"/>
  <c r="G33" i="5"/>
  <c r="F33" i="5"/>
  <c r="E33" i="5"/>
  <c r="Q33" i="5" s="1"/>
  <c r="R33" i="5" s="1"/>
  <c r="S33" i="5" s="1"/>
  <c r="O32" i="5"/>
  <c r="P32" i="5" s="1"/>
  <c r="K32" i="5"/>
  <c r="L32" i="5" s="1"/>
  <c r="J32" i="5"/>
  <c r="E32" i="5"/>
  <c r="Q32" i="5" s="1"/>
  <c r="R32" i="5" s="1"/>
  <c r="S32" i="5" s="1"/>
  <c r="Q31" i="5"/>
  <c r="R31" i="5" s="1"/>
  <c r="S31" i="5" s="1"/>
  <c r="P31" i="5"/>
  <c r="O31" i="5"/>
  <c r="K31" i="5"/>
  <c r="L31" i="5" s="1"/>
  <c r="J31" i="5"/>
  <c r="F31" i="5"/>
  <c r="G31" i="5" s="1"/>
  <c r="E31" i="5"/>
  <c r="S30" i="5"/>
  <c r="Q30" i="5"/>
  <c r="R30" i="5" s="1"/>
  <c r="P30" i="5"/>
  <c r="O30" i="5"/>
  <c r="K30" i="5"/>
  <c r="L30" i="5" s="1"/>
  <c r="J30" i="5"/>
  <c r="G30" i="5"/>
  <c r="E30" i="5"/>
  <c r="F30" i="5" s="1"/>
  <c r="Q29" i="5"/>
  <c r="N29" i="5"/>
  <c r="J29" i="5"/>
  <c r="O28" i="5"/>
  <c r="P28" i="5" s="1"/>
  <c r="K28" i="5"/>
  <c r="L28" i="5" s="1"/>
  <c r="E28" i="5"/>
  <c r="Q28" i="5" s="1"/>
  <c r="R28" i="5" s="1"/>
  <c r="S28" i="5" s="1"/>
  <c r="P27" i="5"/>
  <c r="O27" i="5"/>
  <c r="L27" i="5"/>
  <c r="K27" i="5"/>
  <c r="E27" i="5"/>
  <c r="F27" i="5" s="1"/>
  <c r="G27" i="5" s="1"/>
  <c r="O26" i="5"/>
  <c r="P26" i="5" s="1"/>
  <c r="K26" i="5"/>
  <c r="L26" i="5" s="1"/>
  <c r="J26" i="5"/>
  <c r="E26" i="5"/>
  <c r="F26" i="5" s="1"/>
  <c r="G26" i="5" s="1"/>
  <c r="O25" i="5"/>
  <c r="P25" i="5" s="1"/>
  <c r="K25" i="5"/>
  <c r="L25" i="5" s="1"/>
  <c r="J25" i="5"/>
  <c r="E25" i="5"/>
  <c r="F25" i="5" s="1"/>
  <c r="G25" i="5" s="1"/>
  <c r="Q24" i="5"/>
  <c r="R24" i="5" s="1"/>
  <c r="S24" i="5" s="1"/>
  <c r="O24" i="5"/>
  <c r="P24" i="5" s="1"/>
  <c r="K24" i="5"/>
  <c r="L24" i="5" s="1"/>
  <c r="F24" i="5"/>
  <c r="G24" i="5" s="1"/>
  <c r="E24" i="5"/>
  <c r="P23" i="5"/>
  <c r="O23" i="5"/>
  <c r="L23" i="5"/>
  <c r="J23" i="5"/>
  <c r="K23" i="5" s="1"/>
  <c r="F23" i="5"/>
  <c r="G23" i="5" s="1"/>
  <c r="E23" i="5"/>
  <c r="Q23" i="5" s="1"/>
  <c r="R23" i="5" s="1"/>
  <c r="S23" i="5" s="1"/>
  <c r="P22" i="5"/>
  <c r="O22" i="5"/>
  <c r="L22" i="5"/>
  <c r="J22" i="5"/>
  <c r="K22" i="5" s="1"/>
  <c r="F22" i="5"/>
  <c r="G22" i="5" s="1"/>
  <c r="E22" i="5"/>
  <c r="Q22" i="5" s="1"/>
  <c r="R22" i="5" s="1"/>
  <c r="S22" i="5" s="1"/>
  <c r="P21" i="5"/>
  <c r="O21" i="5"/>
  <c r="L21" i="5"/>
  <c r="K21" i="5"/>
  <c r="E21" i="5"/>
  <c r="Q20" i="5"/>
  <c r="R20" i="5" s="1"/>
  <c r="S20" i="5" s="1"/>
  <c r="O20" i="5"/>
  <c r="P20" i="5" s="1"/>
  <c r="K20" i="5"/>
  <c r="L20" i="5" s="1"/>
  <c r="F20" i="5"/>
  <c r="G20" i="5" s="1"/>
  <c r="E20" i="5"/>
  <c r="P19" i="5"/>
  <c r="O19" i="5"/>
  <c r="J19" i="5"/>
  <c r="K19" i="5" s="1"/>
  <c r="L19" i="5" s="1"/>
  <c r="F19" i="5"/>
  <c r="G19" i="5" s="1"/>
  <c r="E19" i="5"/>
  <c r="Q19" i="5" s="1"/>
  <c r="R19" i="5" s="1"/>
  <c r="S19" i="5" s="1"/>
  <c r="P18" i="5"/>
  <c r="O18" i="5"/>
  <c r="J18" i="5"/>
  <c r="K18" i="5" s="1"/>
  <c r="L18" i="5" s="1"/>
  <c r="F18" i="5"/>
  <c r="G18" i="5" s="1"/>
  <c r="E18" i="5"/>
  <c r="Q18" i="5" s="1"/>
  <c r="R18" i="5" s="1"/>
  <c r="S18" i="5" s="1"/>
  <c r="P17" i="5"/>
  <c r="O17" i="5"/>
  <c r="J17" i="5"/>
  <c r="K17" i="5" s="1"/>
  <c r="L17" i="5" s="1"/>
  <c r="F17" i="5"/>
  <c r="G17" i="5" s="1"/>
  <c r="E17" i="5"/>
  <c r="Q17" i="5" s="1"/>
  <c r="R17" i="5" s="1"/>
  <c r="S17" i="5" s="1"/>
  <c r="P16" i="5"/>
  <c r="O16" i="5"/>
  <c r="J16" i="5"/>
  <c r="K16" i="5" s="1"/>
  <c r="L16" i="5" s="1"/>
  <c r="F16" i="5"/>
  <c r="G16" i="5" s="1"/>
  <c r="E16" i="5"/>
  <c r="Q16" i="5" s="1"/>
  <c r="R16" i="5" s="1"/>
  <c r="S16" i="5" s="1"/>
  <c r="P15" i="5"/>
  <c r="O15" i="5"/>
  <c r="L15" i="5"/>
  <c r="K15" i="5"/>
  <c r="G15" i="5"/>
  <c r="E15" i="5"/>
  <c r="F15" i="5" s="1"/>
  <c r="S14" i="5"/>
  <c r="Q14" i="5"/>
  <c r="R14" i="5" s="1"/>
  <c r="O14" i="5"/>
  <c r="P14" i="5" s="1"/>
  <c r="K14" i="5"/>
  <c r="L14" i="5" s="1"/>
  <c r="F14" i="5"/>
  <c r="G14" i="5" s="1"/>
  <c r="E14" i="5"/>
  <c r="P13" i="5"/>
  <c r="O13" i="5"/>
  <c r="L13" i="5"/>
  <c r="K13" i="5"/>
  <c r="E13" i="5"/>
  <c r="Q12" i="5"/>
  <c r="R12" i="5" s="1"/>
  <c r="S12" i="5" s="1"/>
  <c r="O12" i="5"/>
  <c r="P12" i="5" s="1"/>
  <c r="K12" i="5"/>
  <c r="L12" i="5" s="1"/>
  <c r="F12" i="5"/>
  <c r="G12" i="5" s="1"/>
  <c r="E12" i="5"/>
  <c r="P11" i="5"/>
  <c r="O11" i="5"/>
  <c r="L11" i="5"/>
  <c r="K11" i="5"/>
  <c r="G11" i="5"/>
  <c r="E11" i="5"/>
  <c r="F11" i="5" s="1"/>
  <c r="S10" i="5"/>
  <c r="Q10" i="5"/>
  <c r="R10" i="5" s="1"/>
  <c r="O10" i="5"/>
  <c r="P10" i="5" s="1"/>
  <c r="K10" i="5"/>
  <c r="L10" i="5" s="1"/>
  <c r="F10" i="5"/>
  <c r="G10" i="5" s="1"/>
  <c r="E10" i="5"/>
  <c r="P9" i="5"/>
  <c r="O9" i="5"/>
  <c r="L9" i="5"/>
  <c r="K9" i="5"/>
  <c r="E9" i="5"/>
  <c r="Q8" i="5"/>
  <c r="R8" i="5" s="1"/>
  <c r="S8" i="5" s="1"/>
  <c r="O8" i="5"/>
  <c r="P8" i="5" s="1"/>
  <c r="K8" i="5"/>
  <c r="L8" i="5" s="1"/>
  <c r="F8" i="5"/>
  <c r="G8" i="5" s="1"/>
  <c r="E8" i="5"/>
  <c r="R7" i="5"/>
  <c r="S7" i="5" s="1"/>
  <c r="Q7" i="5"/>
  <c r="P7" i="5"/>
  <c r="O7" i="5"/>
  <c r="L7" i="5"/>
  <c r="K7" i="5"/>
  <c r="G7" i="5"/>
  <c r="E7" i="5"/>
  <c r="F7" i="5" s="1"/>
  <c r="S6" i="5"/>
  <c r="Q6" i="5"/>
  <c r="R6" i="5" s="1"/>
  <c r="O6" i="5"/>
  <c r="P6" i="5" s="1"/>
  <c r="K6" i="5"/>
  <c r="L6" i="5" s="1"/>
  <c r="F6" i="5"/>
  <c r="G6" i="5" s="1"/>
  <c r="E6" i="5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P5" i="5"/>
  <c r="O5" i="5"/>
  <c r="L5" i="5"/>
  <c r="K5" i="5"/>
  <c r="E5" i="5"/>
  <c r="N4" i="5"/>
  <c r="Q4" i="5" s="1"/>
  <c r="J4" i="5"/>
  <c r="Q3" i="5"/>
  <c r="L3" i="5"/>
  <c r="K3" i="5"/>
  <c r="P3" i="5" s="1"/>
  <c r="J3" i="5"/>
  <c r="O3" i="5" s="1"/>
  <c r="Q56" i="4"/>
  <c r="E69" i="4"/>
  <c r="E68" i="4"/>
  <c r="E66" i="4"/>
  <c r="Q66" i="4" s="1"/>
  <c r="R66" i="4" s="1"/>
  <c r="S66" i="4" s="1"/>
  <c r="A75" i="4"/>
  <c r="N75" i="4"/>
  <c r="J75" i="4"/>
  <c r="Q70" i="4"/>
  <c r="Q67" i="4"/>
  <c r="Q64" i="4"/>
  <c r="Q41" i="4"/>
  <c r="Q29" i="4"/>
  <c r="Q4" i="4"/>
  <c r="Q3" i="4"/>
  <c r="Q74" i="4"/>
  <c r="R74" i="4" s="1"/>
  <c r="S74" i="4" s="1"/>
  <c r="O74" i="4"/>
  <c r="P74" i="4" s="1"/>
  <c r="K74" i="4"/>
  <c r="L74" i="4" s="1"/>
  <c r="F74" i="4"/>
  <c r="G74" i="4" s="1"/>
  <c r="Q73" i="4"/>
  <c r="R73" i="4" s="1"/>
  <c r="S73" i="4" s="1"/>
  <c r="O73" i="4"/>
  <c r="P73" i="4" s="1"/>
  <c r="K73" i="4"/>
  <c r="L73" i="4" s="1"/>
  <c r="F73" i="4"/>
  <c r="G73" i="4" s="1"/>
  <c r="Q72" i="4"/>
  <c r="R72" i="4" s="1"/>
  <c r="S72" i="4" s="1"/>
  <c r="O72" i="4"/>
  <c r="P72" i="4" s="1"/>
  <c r="K72" i="4"/>
  <c r="L72" i="4" s="1"/>
  <c r="F72" i="4"/>
  <c r="G72" i="4" s="1"/>
  <c r="Q71" i="4"/>
  <c r="R71" i="4" s="1"/>
  <c r="S71" i="4" s="1"/>
  <c r="O71" i="4"/>
  <c r="P71" i="4" s="1"/>
  <c r="K71" i="4"/>
  <c r="L71" i="4" s="1"/>
  <c r="F71" i="4"/>
  <c r="G71" i="4" s="1"/>
  <c r="N70" i="4"/>
  <c r="J70" i="4"/>
  <c r="O69" i="4"/>
  <c r="P69" i="4" s="1"/>
  <c r="J69" i="4"/>
  <c r="K69" i="4" s="1"/>
  <c r="L69" i="4" s="1"/>
  <c r="O68" i="4"/>
  <c r="P68" i="4" s="1"/>
  <c r="K68" i="4"/>
  <c r="L68" i="4" s="1"/>
  <c r="J68" i="4"/>
  <c r="F68" i="4"/>
  <c r="N67" i="4"/>
  <c r="O66" i="4"/>
  <c r="P66" i="4" s="1"/>
  <c r="J66" i="4"/>
  <c r="K66" i="4" s="1"/>
  <c r="L66" i="4" s="1"/>
  <c r="P65" i="4"/>
  <c r="O65" i="4"/>
  <c r="J65" i="4"/>
  <c r="K65" i="4" s="1"/>
  <c r="L65" i="4" s="1"/>
  <c r="E65" i="4"/>
  <c r="Q65" i="4" s="1"/>
  <c r="R65" i="4" s="1"/>
  <c r="S65" i="4" s="1"/>
  <c r="J64" i="4"/>
  <c r="N64" i="4" s="1"/>
  <c r="O63" i="4"/>
  <c r="P63" i="4" s="1"/>
  <c r="K63" i="4"/>
  <c r="L63" i="4" s="1"/>
  <c r="E63" i="4"/>
  <c r="Q63" i="4" s="1"/>
  <c r="R63" i="4" s="1"/>
  <c r="S63" i="4" s="1"/>
  <c r="O62" i="4"/>
  <c r="P62" i="4" s="1"/>
  <c r="J62" i="4"/>
  <c r="K62" i="4" s="1"/>
  <c r="L62" i="4" s="1"/>
  <c r="F62" i="4"/>
  <c r="G62" i="4" s="1"/>
  <c r="E62" i="4"/>
  <c r="Q62" i="4" s="1"/>
  <c r="R62" i="4" s="1"/>
  <c r="S62" i="4" s="1"/>
  <c r="O61" i="4"/>
  <c r="P61" i="4" s="1"/>
  <c r="J61" i="4"/>
  <c r="K61" i="4" s="1"/>
  <c r="L61" i="4" s="1"/>
  <c r="E61" i="4"/>
  <c r="Q61" i="4" s="1"/>
  <c r="R61" i="4" s="1"/>
  <c r="S61" i="4" s="1"/>
  <c r="O60" i="4"/>
  <c r="P60" i="4" s="1"/>
  <c r="J60" i="4"/>
  <c r="K60" i="4" s="1"/>
  <c r="L60" i="4" s="1"/>
  <c r="E60" i="4"/>
  <c r="Q60" i="4" s="1"/>
  <c r="R60" i="4" s="1"/>
  <c r="S60" i="4" s="1"/>
  <c r="O59" i="4"/>
  <c r="P59" i="4" s="1"/>
  <c r="J59" i="4"/>
  <c r="K59" i="4" s="1"/>
  <c r="L59" i="4" s="1"/>
  <c r="E59" i="4"/>
  <c r="Q59" i="4" s="1"/>
  <c r="R59" i="4" s="1"/>
  <c r="S59" i="4" s="1"/>
  <c r="O58" i="4"/>
  <c r="P58" i="4" s="1"/>
  <c r="J58" i="4"/>
  <c r="K58" i="4" s="1"/>
  <c r="L58" i="4" s="1"/>
  <c r="E58" i="4"/>
  <c r="Q58" i="4" s="1"/>
  <c r="R58" i="4" s="1"/>
  <c r="S58" i="4" s="1"/>
  <c r="O57" i="4"/>
  <c r="P57" i="4" s="1"/>
  <c r="J57" i="4"/>
  <c r="K57" i="4" s="1"/>
  <c r="L57" i="4" s="1"/>
  <c r="F57" i="4"/>
  <c r="G57" i="4" s="1"/>
  <c r="E57" i="4"/>
  <c r="Q57" i="4" s="1"/>
  <c r="R57" i="4" s="1"/>
  <c r="S57" i="4" s="1"/>
  <c r="J56" i="4"/>
  <c r="N56" i="4" s="1"/>
  <c r="O55" i="4"/>
  <c r="P55" i="4" s="1"/>
  <c r="J55" i="4"/>
  <c r="K55" i="4" s="1"/>
  <c r="L55" i="4" s="1"/>
  <c r="E55" i="4"/>
  <c r="O54" i="4"/>
  <c r="P54" i="4" s="1"/>
  <c r="J54" i="4"/>
  <c r="K54" i="4" s="1"/>
  <c r="L54" i="4" s="1"/>
  <c r="E54" i="4"/>
  <c r="F54" i="4" s="1"/>
  <c r="O53" i="4"/>
  <c r="P53" i="4" s="1"/>
  <c r="J53" i="4"/>
  <c r="K53" i="4" s="1"/>
  <c r="L53" i="4" s="1"/>
  <c r="E53" i="4"/>
  <c r="O52" i="4"/>
  <c r="P52" i="4" s="1"/>
  <c r="J52" i="4"/>
  <c r="K52" i="4" s="1"/>
  <c r="L52" i="4" s="1"/>
  <c r="E52" i="4"/>
  <c r="F52" i="4" s="1"/>
  <c r="O51" i="4"/>
  <c r="P51" i="4" s="1"/>
  <c r="J51" i="4"/>
  <c r="K51" i="4" s="1"/>
  <c r="L51" i="4" s="1"/>
  <c r="E51" i="4"/>
  <c r="O50" i="4"/>
  <c r="P50" i="4" s="1"/>
  <c r="J50" i="4"/>
  <c r="K50" i="4" s="1"/>
  <c r="L50" i="4" s="1"/>
  <c r="E50" i="4"/>
  <c r="O49" i="4"/>
  <c r="P49" i="4" s="1"/>
  <c r="J49" i="4"/>
  <c r="K49" i="4" s="1"/>
  <c r="L49" i="4" s="1"/>
  <c r="E49" i="4"/>
  <c r="O48" i="4"/>
  <c r="P48" i="4" s="1"/>
  <c r="J48" i="4"/>
  <c r="K48" i="4" s="1"/>
  <c r="L48" i="4" s="1"/>
  <c r="E48" i="4"/>
  <c r="O47" i="4"/>
  <c r="P47" i="4" s="1"/>
  <c r="K47" i="4"/>
  <c r="L47" i="4" s="1"/>
  <c r="F47" i="4"/>
  <c r="E47" i="4"/>
  <c r="Q47" i="4" s="1"/>
  <c r="R47" i="4" s="1"/>
  <c r="S47" i="4" s="1"/>
  <c r="O46" i="4"/>
  <c r="P46" i="4" s="1"/>
  <c r="J46" i="4"/>
  <c r="K46" i="4" s="1"/>
  <c r="L46" i="4" s="1"/>
  <c r="F46" i="4"/>
  <c r="G46" i="4" s="1"/>
  <c r="E46" i="4"/>
  <c r="Q46" i="4" s="1"/>
  <c r="R46" i="4" s="1"/>
  <c r="S46" i="4" s="1"/>
  <c r="O45" i="4"/>
  <c r="P45" i="4" s="1"/>
  <c r="J45" i="4"/>
  <c r="K45" i="4" s="1"/>
  <c r="L45" i="4" s="1"/>
  <c r="E45" i="4"/>
  <c r="Q45" i="4" s="1"/>
  <c r="R45" i="4" s="1"/>
  <c r="S45" i="4" s="1"/>
  <c r="O44" i="4"/>
  <c r="P44" i="4" s="1"/>
  <c r="J44" i="4"/>
  <c r="K44" i="4" s="1"/>
  <c r="L44" i="4" s="1"/>
  <c r="E44" i="4"/>
  <c r="Q44" i="4" s="1"/>
  <c r="R44" i="4" s="1"/>
  <c r="S44" i="4" s="1"/>
  <c r="O43" i="4"/>
  <c r="P43" i="4" s="1"/>
  <c r="J43" i="4"/>
  <c r="K43" i="4" s="1"/>
  <c r="L43" i="4" s="1"/>
  <c r="F43" i="4"/>
  <c r="G43" i="4" s="1"/>
  <c r="E43" i="4"/>
  <c r="Q43" i="4" s="1"/>
  <c r="R43" i="4" s="1"/>
  <c r="S43" i="4" s="1"/>
  <c r="O42" i="4"/>
  <c r="P42" i="4" s="1"/>
  <c r="J42" i="4"/>
  <c r="K42" i="4" s="1"/>
  <c r="L42" i="4" s="1"/>
  <c r="F42" i="4"/>
  <c r="G42" i="4" s="1"/>
  <c r="E42" i="4"/>
  <c r="Q42" i="4" s="1"/>
  <c r="R42" i="4" s="1"/>
  <c r="S42" i="4" s="1"/>
  <c r="J41" i="4"/>
  <c r="N41" i="4" s="1"/>
  <c r="O40" i="4"/>
  <c r="P40" i="4" s="1"/>
  <c r="J40" i="4"/>
  <c r="K40" i="4" s="1"/>
  <c r="L40" i="4" s="1"/>
  <c r="E40" i="4"/>
  <c r="O39" i="4"/>
  <c r="P39" i="4" s="1"/>
  <c r="J39" i="4"/>
  <c r="K39" i="4" s="1"/>
  <c r="L39" i="4" s="1"/>
  <c r="E39" i="4"/>
  <c r="O38" i="4"/>
  <c r="P38" i="4" s="1"/>
  <c r="J38" i="4"/>
  <c r="K38" i="4" s="1"/>
  <c r="L38" i="4" s="1"/>
  <c r="F38" i="4"/>
  <c r="E38" i="4"/>
  <c r="Q38" i="4" s="1"/>
  <c r="R38" i="4" s="1"/>
  <c r="S38" i="4" s="1"/>
  <c r="O37" i="4"/>
  <c r="P37" i="4" s="1"/>
  <c r="J37" i="4"/>
  <c r="K37" i="4" s="1"/>
  <c r="L37" i="4" s="1"/>
  <c r="E37" i="4"/>
  <c r="Q37" i="4" s="1"/>
  <c r="R37" i="4" s="1"/>
  <c r="S37" i="4" s="1"/>
  <c r="O36" i="4"/>
  <c r="P36" i="4" s="1"/>
  <c r="J36" i="4"/>
  <c r="K36" i="4" s="1"/>
  <c r="L36" i="4" s="1"/>
  <c r="E36" i="4"/>
  <c r="F36" i="4" s="1"/>
  <c r="G36" i="4" s="1"/>
  <c r="O35" i="4"/>
  <c r="P35" i="4" s="1"/>
  <c r="J35" i="4"/>
  <c r="K35" i="4" s="1"/>
  <c r="L35" i="4" s="1"/>
  <c r="E35" i="4"/>
  <c r="Q35" i="4" s="1"/>
  <c r="R35" i="4" s="1"/>
  <c r="S35" i="4" s="1"/>
  <c r="O34" i="4"/>
  <c r="P34" i="4" s="1"/>
  <c r="L34" i="4"/>
  <c r="J34" i="4"/>
  <c r="K34" i="4" s="1"/>
  <c r="E34" i="4"/>
  <c r="Q34" i="4" s="1"/>
  <c r="R34" i="4" s="1"/>
  <c r="S34" i="4" s="1"/>
  <c r="P33" i="4"/>
  <c r="O33" i="4"/>
  <c r="J33" i="4"/>
  <c r="K33" i="4" s="1"/>
  <c r="L33" i="4" s="1"/>
  <c r="E33" i="4"/>
  <c r="Q33" i="4" s="1"/>
  <c r="R33" i="4" s="1"/>
  <c r="S33" i="4" s="1"/>
  <c r="O32" i="4"/>
  <c r="P32" i="4" s="1"/>
  <c r="J32" i="4"/>
  <c r="K32" i="4" s="1"/>
  <c r="L32" i="4" s="1"/>
  <c r="E32" i="4"/>
  <c r="Q32" i="4" s="1"/>
  <c r="R32" i="4" s="1"/>
  <c r="S32" i="4" s="1"/>
  <c r="O31" i="4"/>
  <c r="P31" i="4" s="1"/>
  <c r="J31" i="4"/>
  <c r="K31" i="4" s="1"/>
  <c r="L31" i="4" s="1"/>
  <c r="F31" i="4"/>
  <c r="G31" i="4" s="1"/>
  <c r="E31" i="4"/>
  <c r="Q31" i="4" s="1"/>
  <c r="R31" i="4" s="1"/>
  <c r="S31" i="4" s="1"/>
  <c r="O30" i="4"/>
  <c r="P30" i="4" s="1"/>
  <c r="J30" i="4"/>
  <c r="K30" i="4" s="1"/>
  <c r="L30" i="4" s="1"/>
  <c r="F30" i="4"/>
  <c r="G30" i="4" s="1"/>
  <c r="E30" i="4"/>
  <c r="Q30" i="4" s="1"/>
  <c r="R30" i="4" s="1"/>
  <c r="S30" i="4" s="1"/>
  <c r="J29" i="4"/>
  <c r="N29" i="4" s="1"/>
  <c r="O28" i="4"/>
  <c r="P28" i="4" s="1"/>
  <c r="K28" i="4"/>
  <c r="L28" i="4" s="1"/>
  <c r="F28" i="4"/>
  <c r="G28" i="4" s="1"/>
  <c r="E28" i="4"/>
  <c r="Q28" i="4" s="1"/>
  <c r="R28" i="4" s="1"/>
  <c r="S28" i="4" s="1"/>
  <c r="O27" i="4"/>
  <c r="P27" i="4" s="1"/>
  <c r="K27" i="4"/>
  <c r="L27" i="4" s="1"/>
  <c r="E27" i="4"/>
  <c r="F27" i="4" s="1"/>
  <c r="O26" i="4"/>
  <c r="P26" i="4" s="1"/>
  <c r="K26" i="4"/>
  <c r="L26" i="4" s="1"/>
  <c r="J26" i="4"/>
  <c r="E26" i="4"/>
  <c r="O25" i="4"/>
  <c r="P25" i="4" s="1"/>
  <c r="J25" i="4"/>
  <c r="K25" i="4" s="1"/>
  <c r="L25" i="4" s="1"/>
  <c r="E25" i="4"/>
  <c r="F25" i="4" s="1"/>
  <c r="G25" i="4" s="1"/>
  <c r="Q24" i="4"/>
  <c r="R24" i="4" s="1"/>
  <c r="S24" i="4" s="1"/>
  <c r="O24" i="4"/>
  <c r="P24" i="4" s="1"/>
  <c r="K24" i="4"/>
  <c r="L24" i="4" s="1"/>
  <c r="E24" i="4"/>
  <c r="F24" i="4" s="1"/>
  <c r="O23" i="4"/>
  <c r="P23" i="4" s="1"/>
  <c r="J23" i="4"/>
  <c r="K23" i="4" s="1"/>
  <c r="L23" i="4" s="1"/>
  <c r="E23" i="4"/>
  <c r="O22" i="4"/>
  <c r="P22" i="4" s="1"/>
  <c r="J22" i="4"/>
  <c r="K22" i="4" s="1"/>
  <c r="L22" i="4" s="1"/>
  <c r="E22" i="4"/>
  <c r="Q22" i="4" s="1"/>
  <c r="R22" i="4" s="1"/>
  <c r="S22" i="4" s="1"/>
  <c r="O21" i="4"/>
  <c r="P21" i="4" s="1"/>
  <c r="K21" i="4"/>
  <c r="L21" i="4" s="1"/>
  <c r="F21" i="4"/>
  <c r="E21" i="4"/>
  <c r="Q21" i="4" s="1"/>
  <c r="R21" i="4" s="1"/>
  <c r="S21" i="4" s="1"/>
  <c r="O20" i="4"/>
  <c r="P20" i="4" s="1"/>
  <c r="K20" i="4"/>
  <c r="L20" i="4" s="1"/>
  <c r="F20" i="4"/>
  <c r="E20" i="4"/>
  <c r="Q20" i="4" s="1"/>
  <c r="R20" i="4" s="1"/>
  <c r="S20" i="4" s="1"/>
  <c r="O19" i="4"/>
  <c r="P19" i="4" s="1"/>
  <c r="J19" i="4"/>
  <c r="K19" i="4" s="1"/>
  <c r="L19" i="4" s="1"/>
  <c r="E19" i="4"/>
  <c r="O18" i="4"/>
  <c r="P18" i="4" s="1"/>
  <c r="J18" i="4"/>
  <c r="K18" i="4" s="1"/>
  <c r="L18" i="4" s="1"/>
  <c r="E18" i="4"/>
  <c r="Q18" i="4" s="1"/>
  <c r="R18" i="4" s="1"/>
  <c r="S18" i="4" s="1"/>
  <c r="O17" i="4"/>
  <c r="P17" i="4" s="1"/>
  <c r="J17" i="4"/>
  <c r="K17" i="4" s="1"/>
  <c r="L17" i="4" s="1"/>
  <c r="E17" i="4"/>
  <c r="O16" i="4"/>
  <c r="P16" i="4" s="1"/>
  <c r="J16" i="4"/>
  <c r="K16" i="4" s="1"/>
  <c r="L16" i="4" s="1"/>
  <c r="E16" i="4"/>
  <c r="Q16" i="4" s="1"/>
  <c r="R16" i="4" s="1"/>
  <c r="S16" i="4" s="1"/>
  <c r="O15" i="4"/>
  <c r="P15" i="4" s="1"/>
  <c r="K15" i="4"/>
  <c r="L15" i="4" s="1"/>
  <c r="E15" i="4"/>
  <c r="Q15" i="4" s="1"/>
  <c r="R15" i="4" s="1"/>
  <c r="S15" i="4" s="1"/>
  <c r="O14" i="4"/>
  <c r="P14" i="4" s="1"/>
  <c r="K14" i="4"/>
  <c r="L14" i="4" s="1"/>
  <c r="E14" i="4"/>
  <c r="Q14" i="4" s="1"/>
  <c r="R14" i="4" s="1"/>
  <c r="S14" i="4" s="1"/>
  <c r="O13" i="4"/>
  <c r="P13" i="4" s="1"/>
  <c r="K13" i="4"/>
  <c r="L13" i="4" s="1"/>
  <c r="E13" i="4"/>
  <c r="Q13" i="4" s="1"/>
  <c r="R13" i="4" s="1"/>
  <c r="S13" i="4" s="1"/>
  <c r="O12" i="4"/>
  <c r="P12" i="4" s="1"/>
  <c r="K12" i="4"/>
  <c r="L12" i="4" s="1"/>
  <c r="E12" i="4"/>
  <c r="F12" i="4" s="1"/>
  <c r="O11" i="4"/>
  <c r="P11" i="4" s="1"/>
  <c r="K11" i="4"/>
  <c r="L11" i="4" s="1"/>
  <c r="E11" i="4"/>
  <c r="Q11" i="4" s="1"/>
  <c r="R11" i="4" s="1"/>
  <c r="S11" i="4" s="1"/>
  <c r="O10" i="4"/>
  <c r="P10" i="4" s="1"/>
  <c r="K10" i="4"/>
  <c r="L10" i="4" s="1"/>
  <c r="F10" i="4"/>
  <c r="E10" i="4"/>
  <c r="Q10" i="4" s="1"/>
  <c r="R10" i="4" s="1"/>
  <c r="S10" i="4" s="1"/>
  <c r="O9" i="4"/>
  <c r="P9" i="4" s="1"/>
  <c r="K9" i="4"/>
  <c r="L9" i="4" s="1"/>
  <c r="F9" i="4"/>
  <c r="G9" i="4" s="1"/>
  <c r="E9" i="4"/>
  <c r="Q9" i="4" s="1"/>
  <c r="R9" i="4" s="1"/>
  <c r="S9" i="4" s="1"/>
  <c r="O8" i="4"/>
  <c r="P8" i="4" s="1"/>
  <c r="K8" i="4"/>
  <c r="L8" i="4" s="1"/>
  <c r="E8" i="4"/>
  <c r="F8" i="4" s="1"/>
  <c r="Q7" i="4"/>
  <c r="R7" i="4" s="1"/>
  <c r="S7" i="4" s="1"/>
  <c r="O7" i="4"/>
  <c r="P7" i="4" s="1"/>
  <c r="L7" i="4"/>
  <c r="K7" i="4"/>
  <c r="E7" i="4"/>
  <c r="O6" i="4"/>
  <c r="P6" i="4" s="1"/>
  <c r="K6" i="4"/>
  <c r="L6" i="4" s="1"/>
  <c r="E6" i="4"/>
  <c r="F6" i="4" s="1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O5" i="4"/>
  <c r="P5" i="4" s="1"/>
  <c r="L5" i="4"/>
  <c r="K5" i="4"/>
  <c r="E5" i="4"/>
  <c r="J4" i="4"/>
  <c r="N4" i="4" s="1"/>
  <c r="L3" i="4"/>
  <c r="K3" i="4"/>
  <c r="P3" i="4" s="1"/>
  <c r="J3" i="4"/>
  <c r="N3" i="4" s="1"/>
  <c r="X76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5" i="1"/>
  <c r="V74" i="1"/>
  <c r="V73" i="1"/>
  <c r="V72" i="1"/>
  <c r="V71" i="1"/>
  <c r="V69" i="1"/>
  <c r="V68" i="1"/>
  <c r="V66" i="1"/>
  <c r="V65" i="1"/>
  <c r="V63" i="1"/>
  <c r="V62" i="1"/>
  <c r="V61" i="1"/>
  <c r="V60" i="1"/>
  <c r="V59" i="1"/>
  <c r="V58" i="1"/>
  <c r="V57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0" i="1"/>
  <c r="V39" i="1"/>
  <c r="V38" i="1"/>
  <c r="V37" i="1"/>
  <c r="V36" i="1"/>
  <c r="V35" i="1"/>
  <c r="V34" i="1"/>
  <c r="V33" i="1"/>
  <c r="V32" i="1"/>
  <c r="V31" i="1"/>
  <c r="V30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U7" i="1"/>
  <c r="V75" i="3"/>
  <c r="V74" i="3"/>
  <c r="V73" i="3"/>
  <c r="V72" i="3"/>
  <c r="V71" i="3"/>
  <c r="V69" i="3"/>
  <c r="V68" i="3"/>
  <c r="V66" i="3"/>
  <c r="V65" i="3"/>
  <c r="V63" i="3"/>
  <c r="V62" i="3"/>
  <c r="V61" i="3"/>
  <c r="V60" i="3"/>
  <c r="V59" i="3"/>
  <c r="V58" i="3"/>
  <c r="V57" i="3"/>
  <c r="V55" i="3"/>
  <c r="V54" i="3"/>
  <c r="V53" i="3"/>
  <c r="V52" i="3"/>
  <c r="V51" i="3"/>
  <c r="V50" i="3"/>
  <c r="V49" i="3"/>
  <c r="V48" i="3"/>
  <c r="V47" i="3"/>
  <c r="V46" i="3"/>
  <c r="V45" i="3"/>
  <c r="V44" i="3"/>
  <c r="V43" i="3"/>
  <c r="V42" i="3"/>
  <c r="V40" i="3"/>
  <c r="V39" i="3"/>
  <c r="V38" i="3"/>
  <c r="V37" i="3"/>
  <c r="V36" i="3"/>
  <c r="V35" i="3"/>
  <c r="V34" i="3"/>
  <c r="V33" i="3"/>
  <c r="V32" i="3"/>
  <c r="V31" i="3"/>
  <c r="V30" i="3"/>
  <c r="V28" i="3"/>
  <c r="V27" i="3"/>
  <c r="V26" i="3"/>
  <c r="V25" i="3"/>
  <c r="V24" i="3"/>
  <c r="V23" i="3"/>
  <c r="V22" i="3"/>
  <c r="V21" i="3"/>
  <c r="V20" i="3"/>
  <c r="V19" i="3"/>
  <c r="V18" i="3"/>
  <c r="V17" i="3"/>
  <c r="V16" i="3"/>
  <c r="V15" i="3"/>
  <c r="V14" i="3"/>
  <c r="V13" i="3"/>
  <c r="V12" i="3"/>
  <c r="V11" i="3"/>
  <c r="V10" i="3"/>
  <c r="V9" i="3"/>
  <c r="V8" i="3"/>
  <c r="V7" i="3"/>
  <c r="V6" i="3"/>
  <c r="V5" i="3"/>
  <c r="R74" i="3"/>
  <c r="P74" i="3"/>
  <c r="O74" i="3"/>
  <c r="L74" i="3"/>
  <c r="K74" i="3"/>
  <c r="G74" i="3"/>
  <c r="T74" i="3" s="1"/>
  <c r="F74" i="3"/>
  <c r="S74" i="3" s="1"/>
  <c r="R73" i="3"/>
  <c r="P73" i="3"/>
  <c r="O73" i="3"/>
  <c r="K73" i="3"/>
  <c r="L73" i="3" s="1"/>
  <c r="F73" i="3"/>
  <c r="G73" i="3" s="1"/>
  <c r="T73" i="3" s="1"/>
  <c r="S72" i="3"/>
  <c r="R72" i="3"/>
  <c r="P72" i="3"/>
  <c r="O72" i="3"/>
  <c r="L72" i="3"/>
  <c r="K72" i="3"/>
  <c r="G72" i="3"/>
  <c r="T72" i="3" s="1"/>
  <c r="F72" i="3"/>
  <c r="R71" i="3"/>
  <c r="O71" i="3"/>
  <c r="P71" i="3" s="1"/>
  <c r="K71" i="3"/>
  <c r="L71" i="3" s="1"/>
  <c r="F71" i="3"/>
  <c r="S71" i="3" s="1"/>
  <c r="N70" i="3"/>
  <c r="R70" i="3" s="1"/>
  <c r="J70" i="3"/>
  <c r="P69" i="3"/>
  <c r="O69" i="3"/>
  <c r="J69" i="3"/>
  <c r="K69" i="3" s="1"/>
  <c r="L69" i="3" s="1"/>
  <c r="E69" i="3"/>
  <c r="F69" i="3" s="1"/>
  <c r="O68" i="3"/>
  <c r="P68" i="3" s="1"/>
  <c r="J68" i="3"/>
  <c r="K68" i="3" s="1"/>
  <c r="L68" i="3" s="1"/>
  <c r="G68" i="3"/>
  <c r="T68" i="3" s="1"/>
  <c r="F68" i="3"/>
  <c r="S68" i="3" s="1"/>
  <c r="E68" i="3"/>
  <c r="R68" i="3" s="1"/>
  <c r="N67" i="3"/>
  <c r="R67" i="3" s="1"/>
  <c r="P66" i="3"/>
  <c r="O66" i="3"/>
  <c r="K66" i="3"/>
  <c r="L66" i="3" s="1"/>
  <c r="J66" i="3"/>
  <c r="E66" i="3"/>
  <c r="F66" i="3" s="1"/>
  <c r="P65" i="3"/>
  <c r="O65" i="3"/>
  <c r="J65" i="3"/>
  <c r="K65" i="3" s="1"/>
  <c r="L65" i="3" s="1"/>
  <c r="E65" i="3"/>
  <c r="F65" i="3" s="1"/>
  <c r="J64" i="3"/>
  <c r="N64" i="3" s="1"/>
  <c r="R64" i="3" s="1"/>
  <c r="P63" i="3"/>
  <c r="O63" i="3"/>
  <c r="L63" i="3"/>
  <c r="K63" i="3"/>
  <c r="E63" i="3"/>
  <c r="F63" i="3" s="1"/>
  <c r="S63" i="3" s="1"/>
  <c r="P62" i="3"/>
  <c r="O62" i="3"/>
  <c r="L62" i="3"/>
  <c r="J62" i="3"/>
  <c r="K62" i="3" s="1"/>
  <c r="F62" i="3"/>
  <c r="G62" i="3" s="1"/>
  <c r="E62" i="3"/>
  <c r="R62" i="3" s="1"/>
  <c r="O61" i="3"/>
  <c r="P61" i="3" s="1"/>
  <c r="K61" i="3"/>
  <c r="L61" i="3" s="1"/>
  <c r="J61" i="3"/>
  <c r="E61" i="3"/>
  <c r="F61" i="3" s="1"/>
  <c r="P60" i="3"/>
  <c r="O60" i="3"/>
  <c r="J60" i="3"/>
  <c r="K60" i="3" s="1"/>
  <c r="L60" i="3" s="1"/>
  <c r="F60" i="3"/>
  <c r="G60" i="3" s="1"/>
  <c r="E60" i="3"/>
  <c r="R60" i="3" s="1"/>
  <c r="O59" i="3"/>
  <c r="P59" i="3" s="1"/>
  <c r="K59" i="3"/>
  <c r="L59" i="3" s="1"/>
  <c r="J59" i="3"/>
  <c r="E59" i="3"/>
  <c r="F59" i="3" s="1"/>
  <c r="S58" i="3"/>
  <c r="P58" i="3"/>
  <c r="O58" i="3"/>
  <c r="L58" i="3"/>
  <c r="J58" i="3"/>
  <c r="K58" i="3" s="1"/>
  <c r="F58" i="3"/>
  <c r="G58" i="3" s="1"/>
  <c r="E58" i="3"/>
  <c r="R58" i="3" s="1"/>
  <c r="O57" i="3"/>
  <c r="P57" i="3" s="1"/>
  <c r="K57" i="3"/>
  <c r="L57" i="3" s="1"/>
  <c r="J57" i="3"/>
  <c r="E57" i="3"/>
  <c r="F57" i="3" s="1"/>
  <c r="J56" i="3"/>
  <c r="N56" i="3" s="1"/>
  <c r="R56" i="3" s="1"/>
  <c r="O55" i="3"/>
  <c r="P55" i="3" s="1"/>
  <c r="J55" i="3"/>
  <c r="K55" i="3" s="1"/>
  <c r="L55" i="3" s="1"/>
  <c r="E55" i="3"/>
  <c r="F55" i="3" s="1"/>
  <c r="S55" i="3" s="1"/>
  <c r="S54" i="3"/>
  <c r="T54" i="3" s="1"/>
  <c r="O54" i="3"/>
  <c r="P54" i="3" s="1"/>
  <c r="J54" i="3"/>
  <c r="K54" i="3" s="1"/>
  <c r="L54" i="3" s="1"/>
  <c r="G54" i="3"/>
  <c r="F54" i="3"/>
  <c r="E54" i="3"/>
  <c r="R54" i="3" s="1"/>
  <c r="S53" i="3"/>
  <c r="T53" i="3" s="1"/>
  <c r="R53" i="3"/>
  <c r="O53" i="3"/>
  <c r="P53" i="3" s="1"/>
  <c r="K53" i="3"/>
  <c r="L53" i="3" s="1"/>
  <c r="J53" i="3"/>
  <c r="E53" i="3"/>
  <c r="F53" i="3" s="1"/>
  <c r="G53" i="3" s="1"/>
  <c r="P52" i="3"/>
  <c r="O52" i="3"/>
  <c r="J52" i="3"/>
  <c r="K52" i="3" s="1"/>
  <c r="L52" i="3" s="1"/>
  <c r="E52" i="3"/>
  <c r="F52" i="3" s="1"/>
  <c r="O51" i="3"/>
  <c r="P51" i="3" s="1"/>
  <c r="J51" i="3"/>
  <c r="K51" i="3" s="1"/>
  <c r="L51" i="3" s="1"/>
  <c r="E51" i="3"/>
  <c r="F51" i="3" s="1"/>
  <c r="S51" i="3" s="1"/>
  <c r="S50" i="3"/>
  <c r="T50" i="3" s="1"/>
  <c r="O50" i="3"/>
  <c r="P50" i="3" s="1"/>
  <c r="J50" i="3"/>
  <c r="K50" i="3" s="1"/>
  <c r="L50" i="3" s="1"/>
  <c r="G50" i="3"/>
  <c r="F50" i="3"/>
  <c r="E50" i="3"/>
  <c r="R50" i="3" s="1"/>
  <c r="S49" i="3"/>
  <c r="T49" i="3" s="1"/>
  <c r="R49" i="3"/>
  <c r="O49" i="3"/>
  <c r="P49" i="3" s="1"/>
  <c r="K49" i="3"/>
  <c r="L49" i="3" s="1"/>
  <c r="J49" i="3"/>
  <c r="E49" i="3"/>
  <c r="F49" i="3" s="1"/>
  <c r="G49" i="3" s="1"/>
  <c r="P48" i="3"/>
  <c r="O48" i="3"/>
  <c r="J48" i="3"/>
  <c r="K48" i="3" s="1"/>
  <c r="L48" i="3" s="1"/>
  <c r="E48" i="3"/>
  <c r="F48" i="3" s="1"/>
  <c r="R47" i="3"/>
  <c r="O47" i="3"/>
  <c r="P47" i="3" s="1"/>
  <c r="K47" i="3"/>
  <c r="L47" i="3" s="1"/>
  <c r="F47" i="3"/>
  <c r="E47" i="3"/>
  <c r="O46" i="3"/>
  <c r="P46" i="3" s="1"/>
  <c r="L46" i="3"/>
  <c r="K46" i="3"/>
  <c r="J46" i="3"/>
  <c r="E46" i="3"/>
  <c r="R46" i="3" s="1"/>
  <c r="P45" i="3"/>
  <c r="O45" i="3"/>
  <c r="K45" i="3"/>
  <c r="L45" i="3" s="1"/>
  <c r="J45" i="3"/>
  <c r="E45" i="3"/>
  <c r="F45" i="3" s="1"/>
  <c r="P44" i="3"/>
  <c r="O44" i="3"/>
  <c r="J44" i="3"/>
  <c r="K44" i="3" s="1"/>
  <c r="L44" i="3" s="1"/>
  <c r="E44" i="3"/>
  <c r="F44" i="3" s="1"/>
  <c r="S44" i="3" s="1"/>
  <c r="O43" i="3"/>
  <c r="P43" i="3" s="1"/>
  <c r="L43" i="3"/>
  <c r="J43" i="3"/>
  <c r="K43" i="3" s="1"/>
  <c r="F43" i="3"/>
  <c r="E43" i="3"/>
  <c r="R43" i="3" s="1"/>
  <c r="O42" i="3"/>
  <c r="P42" i="3" s="1"/>
  <c r="L42" i="3"/>
  <c r="K42" i="3"/>
  <c r="J42" i="3"/>
  <c r="F42" i="3"/>
  <c r="E42" i="3"/>
  <c r="R42" i="3" s="1"/>
  <c r="J41" i="3"/>
  <c r="N41" i="3" s="1"/>
  <c r="R41" i="3" s="1"/>
  <c r="O40" i="3"/>
  <c r="P40" i="3" s="1"/>
  <c r="J40" i="3"/>
  <c r="K40" i="3" s="1"/>
  <c r="L40" i="3" s="1"/>
  <c r="E40" i="3"/>
  <c r="F40" i="3" s="1"/>
  <c r="O39" i="3"/>
  <c r="P39" i="3" s="1"/>
  <c r="J39" i="3"/>
  <c r="K39" i="3" s="1"/>
  <c r="L39" i="3" s="1"/>
  <c r="F39" i="3"/>
  <c r="S39" i="3" s="1"/>
  <c r="E39" i="3"/>
  <c r="R39" i="3" s="1"/>
  <c r="O38" i="3"/>
  <c r="P38" i="3" s="1"/>
  <c r="K38" i="3"/>
  <c r="L38" i="3" s="1"/>
  <c r="J38" i="3"/>
  <c r="E38" i="3"/>
  <c r="R37" i="3"/>
  <c r="P37" i="3"/>
  <c r="O37" i="3"/>
  <c r="J37" i="3"/>
  <c r="K37" i="3" s="1"/>
  <c r="L37" i="3" s="1"/>
  <c r="E37" i="3"/>
  <c r="F37" i="3" s="1"/>
  <c r="O36" i="3"/>
  <c r="P36" i="3" s="1"/>
  <c r="J36" i="3"/>
  <c r="K36" i="3" s="1"/>
  <c r="L36" i="3" s="1"/>
  <c r="E36" i="3"/>
  <c r="F36" i="3" s="1"/>
  <c r="O35" i="3"/>
  <c r="P35" i="3" s="1"/>
  <c r="J35" i="3"/>
  <c r="K35" i="3" s="1"/>
  <c r="L35" i="3" s="1"/>
  <c r="F35" i="3"/>
  <c r="S35" i="3" s="1"/>
  <c r="E35" i="3"/>
  <c r="R35" i="3" s="1"/>
  <c r="O34" i="3"/>
  <c r="P34" i="3" s="1"/>
  <c r="K34" i="3"/>
  <c r="L34" i="3" s="1"/>
  <c r="J34" i="3"/>
  <c r="E34" i="3"/>
  <c r="R33" i="3"/>
  <c r="P33" i="3"/>
  <c r="O33" i="3"/>
  <c r="K33" i="3"/>
  <c r="L33" i="3" s="1"/>
  <c r="J33" i="3"/>
  <c r="E33" i="3"/>
  <c r="F33" i="3" s="1"/>
  <c r="O32" i="3"/>
  <c r="P32" i="3" s="1"/>
  <c r="J32" i="3"/>
  <c r="K32" i="3" s="1"/>
  <c r="L32" i="3" s="1"/>
  <c r="E32" i="3"/>
  <c r="F32" i="3" s="1"/>
  <c r="O31" i="3"/>
  <c r="P31" i="3" s="1"/>
  <c r="J31" i="3"/>
  <c r="K31" i="3" s="1"/>
  <c r="L31" i="3" s="1"/>
  <c r="F31" i="3"/>
  <c r="S31" i="3" s="1"/>
  <c r="E31" i="3"/>
  <c r="R31" i="3" s="1"/>
  <c r="O30" i="3"/>
  <c r="P30" i="3" s="1"/>
  <c r="K30" i="3"/>
  <c r="L30" i="3" s="1"/>
  <c r="J30" i="3"/>
  <c r="E30" i="3"/>
  <c r="J29" i="3"/>
  <c r="N29" i="3" s="1"/>
  <c r="R29" i="3" s="1"/>
  <c r="O28" i="3"/>
  <c r="P28" i="3" s="1"/>
  <c r="K28" i="3"/>
  <c r="L28" i="3" s="1"/>
  <c r="F28" i="3"/>
  <c r="S28" i="3" s="1"/>
  <c r="E28" i="3"/>
  <c r="R28" i="3" s="1"/>
  <c r="O27" i="3"/>
  <c r="P27" i="3" s="1"/>
  <c r="L27" i="3"/>
  <c r="K27" i="3"/>
  <c r="E27" i="3"/>
  <c r="O26" i="3"/>
  <c r="P26" i="3" s="1"/>
  <c r="L26" i="3"/>
  <c r="K26" i="3"/>
  <c r="J26" i="3"/>
  <c r="E26" i="3"/>
  <c r="F26" i="3" s="1"/>
  <c r="G26" i="3" s="1"/>
  <c r="S25" i="3"/>
  <c r="O25" i="3"/>
  <c r="P25" i="3" s="1"/>
  <c r="K25" i="3"/>
  <c r="L25" i="3" s="1"/>
  <c r="J25" i="3"/>
  <c r="E25" i="3"/>
  <c r="F25" i="3" s="1"/>
  <c r="G25" i="3" s="1"/>
  <c r="R24" i="3"/>
  <c r="P24" i="3"/>
  <c r="O24" i="3"/>
  <c r="K24" i="3"/>
  <c r="L24" i="3" s="1"/>
  <c r="E24" i="3"/>
  <c r="F24" i="3" s="1"/>
  <c r="P23" i="3"/>
  <c r="O23" i="3"/>
  <c r="J23" i="3"/>
  <c r="K23" i="3" s="1"/>
  <c r="L23" i="3" s="1"/>
  <c r="E23" i="3"/>
  <c r="R23" i="3" s="1"/>
  <c r="R22" i="3"/>
  <c r="P22" i="3"/>
  <c r="O22" i="3"/>
  <c r="J22" i="3"/>
  <c r="K22" i="3" s="1"/>
  <c r="L22" i="3" s="1"/>
  <c r="E22" i="3"/>
  <c r="F22" i="3" s="1"/>
  <c r="S21" i="3"/>
  <c r="P21" i="3"/>
  <c r="O21" i="3"/>
  <c r="L21" i="3"/>
  <c r="K21" i="3"/>
  <c r="E21" i="3"/>
  <c r="F21" i="3" s="1"/>
  <c r="G21" i="3" s="1"/>
  <c r="R20" i="3"/>
  <c r="O20" i="3"/>
  <c r="P20" i="3" s="1"/>
  <c r="K20" i="3"/>
  <c r="L20" i="3" s="1"/>
  <c r="F20" i="3"/>
  <c r="S20" i="3" s="1"/>
  <c r="T20" i="3" s="1"/>
  <c r="E20" i="3"/>
  <c r="S19" i="3"/>
  <c r="T19" i="3" s="1"/>
  <c r="P19" i="3"/>
  <c r="O19" i="3"/>
  <c r="J19" i="3"/>
  <c r="K19" i="3" s="1"/>
  <c r="L19" i="3" s="1"/>
  <c r="G19" i="3"/>
  <c r="F19" i="3"/>
  <c r="E19" i="3"/>
  <c r="R19" i="3" s="1"/>
  <c r="O18" i="3"/>
  <c r="P18" i="3" s="1"/>
  <c r="L18" i="3"/>
  <c r="J18" i="3"/>
  <c r="K18" i="3" s="1"/>
  <c r="F18" i="3"/>
  <c r="S18" i="3" s="1"/>
  <c r="T18" i="3" s="1"/>
  <c r="E18" i="3"/>
  <c r="R18" i="3" s="1"/>
  <c r="S17" i="3"/>
  <c r="T17" i="3" s="1"/>
  <c r="P17" i="3"/>
  <c r="O17" i="3"/>
  <c r="J17" i="3"/>
  <c r="K17" i="3" s="1"/>
  <c r="L17" i="3" s="1"/>
  <c r="G17" i="3"/>
  <c r="F17" i="3"/>
  <c r="E17" i="3"/>
  <c r="R17" i="3" s="1"/>
  <c r="O16" i="3"/>
  <c r="P16" i="3" s="1"/>
  <c r="L16" i="3"/>
  <c r="J16" i="3"/>
  <c r="K16" i="3" s="1"/>
  <c r="F16" i="3"/>
  <c r="S16" i="3" s="1"/>
  <c r="T16" i="3" s="1"/>
  <c r="E16" i="3"/>
  <c r="R16" i="3" s="1"/>
  <c r="P15" i="3"/>
  <c r="O15" i="3"/>
  <c r="L15" i="3"/>
  <c r="K15" i="3"/>
  <c r="E15" i="3"/>
  <c r="R15" i="3" s="1"/>
  <c r="O14" i="3"/>
  <c r="P14" i="3" s="1"/>
  <c r="K14" i="3"/>
  <c r="L14" i="3" s="1"/>
  <c r="E14" i="3"/>
  <c r="R14" i="3" s="1"/>
  <c r="S13" i="3"/>
  <c r="P13" i="3"/>
  <c r="O13" i="3"/>
  <c r="L13" i="3"/>
  <c r="K13" i="3"/>
  <c r="E13" i="3"/>
  <c r="F13" i="3" s="1"/>
  <c r="G13" i="3" s="1"/>
  <c r="R12" i="3"/>
  <c r="O12" i="3"/>
  <c r="P12" i="3" s="1"/>
  <c r="K12" i="3"/>
  <c r="L12" i="3" s="1"/>
  <c r="F12" i="3"/>
  <c r="S12" i="3" s="1"/>
  <c r="T12" i="3" s="1"/>
  <c r="E12" i="3"/>
  <c r="P11" i="3"/>
  <c r="O11" i="3"/>
  <c r="L11" i="3"/>
  <c r="K11" i="3"/>
  <c r="E11" i="3"/>
  <c r="R11" i="3" s="1"/>
  <c r="O10" i="3"/>
  <c r="P10" i="3" s="1"/>
  <c r="K10" i="3"/>
  <c r="L10" i="3" s="1"/>
  <c r="E10" i="3"/>
  <c r="R10" i="3" s="1"/>
  <c r="S9" i="3"/>
  <c r="P9" i="3"/>
  <c r="O9" i="3"/>
  <c r="L9" i="3"/>
  <c r="K9" i="3"/>
  <c r="E9" i="3"/>
  <c r="F9" i="3" s="1"/>
  <c r="G9" i="3" s="1"/>
  <c r="R8" i="3"/>
  <c r="O8" i="3"/>
  <c r="P8" i="3" s="1"/>
  <c r="K8" i="3"/>
  <c r="L8" i="3" s="1"/>
  <c r="F8" i="3"/>
  <c r="S8" i="3" s="1"/>
  <c r="T8" i="3" s="1"/>
  <c r="E8" i="3"/>
  <c r="R7" i="3"/>
  <c r="T7" i="3" s="1"/>
  <c r="O7" i="3"/>
  <c r="P7" i="3" s="1"/>
  <c r="K7" i="3"/>
  <c r="L7" i="3" s="1"/>
  <c r="G7" i="3"/>
  <c r="F7" i="3"/>
  <c r="S7" i="3" s="1"/>
  <c r="E7" i="3"/>
  <c r="A7" i="3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O6" i="3"/>
  <c r="P6" i="3" s="1"/>
  <c r="L6" i="3"/>
  <c r="K6" i="3"/>
  <c r="E6" i="3"/>
  <c r="R6" i="3" s="1"/>
  <c r="A6" i="3"/>
  <c r="R5" i="3"/>
  <c r="O5" i="3"/>
  <c r="P5" i="3" s="1"/>
  <c r="K5" i="3"/>
  <c r="L5" i="3" s="1"/>
  <c r="L75" i="3" s="1"/>
  <c r="F5" i="3"/>
  <c r="G5" i="3" s="1"/>
  <c r="E5" i="3"/>
  <c r="U7" i="3" s="1"/>
  <c r="J4" i="3"/>
  <c r="N4" i="3" s="1"/>
  <c r="R4" i="3" s="1"/>
  <c r="N3" i="3"/>
  <c r="R3" i="3" s="1"/>
  <c r="L3" i="3"/>
  <c r="K3" i="3"/>
  <c r="P3" i="3" s="1"/>
  <c r="T3" i="3" s="1"/>
  <c r="J3" i="3"/>
  <c r="O3" i="3" s="1"/>
  <c r="S3" i="3" s="1"/>
  <c r="R2" i="3"/>
  <c r="F5" i="2"/>
  <c r="F4" i="2"/>
  <c r="F3" i="2"/>
  <c r="D12" i="2"/>
  <c r="D10" i="2"/>
  <c r="D9" i="2"/>
  <c r="D8" i="2"/>
  <c r="D4" i="2"/>
  <c r="D5" i="2"/>
  <c r="D3" i="2"/>
  <c r="C8" i="2"/>
  <c r="C10" i="2"/>
  <c r="C5" i="2"/>
  <c r="C4" i="2"/>
  <c r="Q9" i="5" l="1"/>
  <c r="R9" i="5" s="1"/>
  <c r="S9" i="5" s="1"/>
  <c r="F9" i="5"/>
  <c r="G9" i="5" s="1"/>
  <c r="Q13" i="5"/>
  <c r="R13" i="5" s="1"/>
  <c r="S13" i="5" s="1"/>
  <c r="F13" i="5"/>
  <c r="G13" i="5" s="1"/>
  <c r="Q21" i="5"/>
  <c r="R21" i="5" s="1"/>
  <c r="S21" i="5" s="1"/>
  <c r="F21" i="5"/>
  <c r="G21" i="5" s="1"/>
  <c r="Q5" i="5"/>
  <c r="R5" i="5" s="1"/>
  <c r="S5" i="5" s="1"/>
  <c r="F5" i="5"/>
  <c r="G5" i="5" s="1"/>
  <c r="L75" i="5"/>
  <c r="N3" i="5"/>
  <c r="Q11" i="5"/>
  <c r="R11" i="5" s="1"/>
  <c r="S11" i="5" s="1"/>
  <c r="Q15" i="5"/>
  <c r="R15" i="5" s="1"/>
  <c r="S15" i="5" s="1"/>
  <c r="Q27" i="5"/>
  <c r="R27" i="5" s="1"/>
  <c r="S27" i="5" s="1"/>
  <c r="F28" i="5"/>
  <c r="G28" i="5" s="1"/>
  <c r="F32" i="5"/>
  <c r="G32" i="5" s="1"/>
  <c r="F36" i="5"/>
  <c r="G36" i="5" s="1"/>
  <c r="F40" i="5"/>
  <c r="G40" i="5" s="1"/>
  <c r="Q47" i="5"/>
  <c r="R47" i="5" s="1"/>
  <c r="S47" i="5" s="1"/>
  <c r="Q58" i="5"/>
  <c r="R58" i="5" s="1"/>
  <c r="S58" i="5" s="1"/>
  <c r="Q25" i="5"/>
  <c r="R25" i="5" s="1"/>
  <c r="S25" i="5" s="1"/>
  <c r="Q26" i="5"/>
  <c r="R26" i="5" s="1"/>
  <c r="S26" i="5" s="1"/>
  <c r="N75" i="5"/>
  <c r="A75" i="5"/>
  <c r="P75" i="5"/>
  <c r="F34" i="5"/>
  <c r="G34" i="5" s="1"/>
  <c r="Q34" i="5"/>
  <c r="R34" i="5" s="1"/>
  <c r="S34" i="5" s="1"/>
  <c r="Q35" i="5"/>
  <c r="R35" i="5" s="1"/>
  <c r="S35" i="5" s="1"/>
  <c r="Q39" i="5"/>
  <c r="R39" i="5" s="1"/>
  <c r="S39" i="5" s="1"/>
  <c r="Q65" i="5"/>
  <c r="R65" i="5" s="1"/>
  <c r="S65" i="5" s="1"/>
  <c r="Q38" i="5"/>
  <c r="R38" i="5" s="1"/>
  <c r="S38" i="5" s="1"/>
  <c r="Q42" i="5"/>
  <c r="R42" i="5" s="1"/>
  <c r="S42" i="5" s="1"/>
  <c r="Q46" i="5"/>
  <c r="R46" i="5" s="1"/>
  <c r="S46" i="5" s="1"/>
  <c r="Q49" i="5"/>
  <c r="R49" i="5" s="1"/>
  <c r="S49" i="5" s="1"/>
  <c r="Q53" i="5"/>
  <c r="R53" i="5" s="1"/>
  <c r="S53" i="5" s="1"/>
  <c r="Q57" i="5"/>
  <c r="R57" i="5" s="1"/>
  <c r="S57" i="5" s="1"/>
  <c r="Q61" i="5"/>
  <c r="R61" i="5" s="1"/>
  <c r="S61" i="5" s="1"/>
  <c r="Q68" i="5"/>
  <c r="R68" i="5" s="1"/>
  <c r="S68" i="5" s="1"/>
  <c r="F13" i="4"/>
  <c r="G13" i="4" s="1"/>
  <c r="F14" i="4"/>
  <c r="G14" i="4" s="1"/>
  <c r="F59" i="4"/>
  <c r="G59" i="4" s="1"/>
  <c r="Q25" i="4"/>
  <c r="R25" i="4" s="1"/>
  <c r="S25" i="4" s="1"/>
  <c r="Q36" i="4"/>
  <c r="R36" i="4" s="1"/>
  <c r="S36" i="4" s="1"/>
  <c r="Q6" i="4"/>
  <c r="R6" i="4" s="1"/>
  <c r="S6" i="4" s="1"/>
  <c r="F33" i="4"/>
  <c r="G33" i="4" s="1"/>
  <c r="Q8" i="4"/>
  <c r="R8" i="4" s="1"/>
  <c r="S8" i="4" s="1"/>
  <c r="Q12" i="4"/>
  <c r="R12" i="4" s="1"/>
  <c r="S12" i="4" s="1"/>
  <c r="F11" i="4"/>
  <c r="G11" i="4" s="1"/>
  <c r="F15" i="4"/>
  <c r="G15" i="4" s="1"/>
  <c r="F18" i="4"/>
  <c r="G18" i="4" s="1"/>
  <c r="Q27" i="4"/>
  <c r="R27" i="4" s="1"/>
  <c r="S27" i="4" s="1"/>
  <c r="F32" i="4"/>
  <c r="G32" i="4" s="1"/>
  <c r="F35" i="4"/>
  <c r="G35" i="4" s="1"/>
  <c r="F45" i="4"/>
  <c r="G45" i="4" s="1"/>
  <c r="F61" i="4"/>
  <c r="G61" i="4" s="1"/>
  <c r="F65" i="4"/>
  <c r="G65" i="4" s="1"/>
  <c r="F16" i="4"/>
  <c r="G16" i="4" s="1"/>
  <c r="F22" i="4"/>
  <c r="G22" i="4" s="1"/>
  <c r="F34" i="4"/>
  <c r="G34" i="4" s="1"/>
  <c r="F37" i="4"/>
  <c r="G37" i="4" s="1"/>
  <c r="F44" i="4"/>
  <c r="G44" i="4" s="1"/>
  <c r="F58" i="4"/>
  <c r="G58" i="4" s="1"/>
  <c r="F63" i="4"/>
  <c r="F60" i="4"/>
  <c r="G60" i="4" s="1"/>
  <c r="F66" i="4"/>
  <c r="G66" i="4" s="1"/>
  <c r="G6" i="4"/>
  <c r="L75" i="4"/>
  <c r="F5" i="4"/>
  <c r="F7" i="4"/>
  <c r="G8" i="4"/>
  <c r="G10" i="4"/>
  <c r="G12" i="4"/>
  <c r="Q17" i="4"/>
  <c r="R17" i="4" s="1"/>
  <c r="S17" i="4" s="1"/>
  <c r="F17" i="4"/>
  <c r="G20" i="4"/>
  <c r="G21" i="4"/>
  <c r="Q26" i="4"/>
  <c r="R26" i="4" s="1"/>
  <c r="S26" i="4" s="1"/>
  <c r="F26" i="4"/>
  <c r="Q51" i="4"/>
  <c r="R51" i="4" s="1"/>
  <c r="S51" i="4" s="1"/>
  <c r="F51" i="4"/>
  <c r="O3" i="4"/>
  <c r="G24" i="4"/>
  <c r="Q23" i="4"/>
  <c r="R23" i="4" s="1"/>
  <c r="S23" i="4" s="1"/>
  <c r="F23" i="4"/>
  <c r="G38" i="4"/>
  <c r="Q53" i="4"/>
  <c r="R53" i="4" s="1"/>
  <c r="S53" i="4" s="1"/>
  <c r="F53" i="4"/>
  <c r="P75" i="4"/>
  <c r="Q5" i="4"/>
  <c r="R5" i="4" s="1"/>
  <c r="S5" i="4" s="1"/>
  <c r="F19" i="4"/>
  <c r="Q19" i="4"/>
  <c r="R19" i="4" s="1"/>
  <c r="S19" i="4" s="1"/>
  <c r="G27" i="4"/>
  <c r="Q55" i="4"/>
  <c r="R55" i="4" s="1"/>
  <c r="S55" i="4" s="1"/>
  <c r="F55" i="4"/>
  <c r="G63" i="4"/>
  <c r="Q69" i="4"/>
  <c r="R69" i="4" s="1"/>
  <c r="S69" i="4" s="1"/>
  <c r="F69" i="4"/>
  <c r="F39" i="4"/>
  <c r="Q39" i="4"/>
  <c r="R39" i="4" s="1"/>
  <c r="S39" i="4" s="1"/>
  <c r="Q40" i="4"/>
  <c r="R40" i="4" s="1"/>
  <c r="S40" i="4" s="1"/>
  <c r="F40" i="4"/>
  <c r="F48" i="4"/>
  <c r="Q48" i="4"/>
  <c r="R48" i="4" s="1"/>
  <c r="S48" i="4" s="1"/>
  <c r="Q49" i="4"/>
  <c r="R49" i="4" s="1"/>
  <c r="S49" i="4" s="1"/>
  <c r="F49" i="4"/>
  <c r="F50" i="4"/>
  <c r="Q50" i="4"/>
  <c r="R50" i="4" s="1"/>
  <c r="S50" i="4" s="1"/>
  <c r="G68" i="4"/>
  <c r="G47" i="4"/>
  <c r="G52" i="4"/>
  <c r="G54" i="4"/>
  <c r="Q52" i="4"/>
  <c r="R52" i="4" s="1"/>
  <c r="S52" i="4" s="1"/>
  <c r="Q54" i="4"/>
  <c r="R54" i="4" s="1"/>
  <c r="S54" i="4" s="1"/>
  <c r="J67" i="4"/>
  <c r="Q68" i="4"/>
  <c r="R68" i="4" s="1"/>
  <c r="S68" i="4" s="1"/>
  <c r="G24" i="3"/>
  <c r="S24" i="3"/>
  <c r="T24" i="3" s="1"/>
  <c r="T44" i="3"/>
  <c r="G22" i="3"/>
  <c r="S22" i="3"/>
  <c r="T22" i="3" s="1"/>
  <c r="T25" i="3"/>
  <c r="R34" i="3"/>
  <c r="F34" i="3"/>
  <c r="S36" i="3"/>
  <c r="G36" i="3"/>
  <c r="T36" i="3" s="1"/>
  <c r="R57" i="3"/>
  <c r="F6" i="3"/>
  <c r="G61" i="3"/>
  <c r="S61" i="3"/>
  <c r="R61" i="3"/>
  <c r="T61" i="3" s="1"/>
  <c r="G63" i="3"/>
  <c r="G8" i="3"/>
  <c r="G12" i="3"/>
  <c r="G16" i="3"/>
  <c r="G18" i="3"/>
  <c r="G20" i="3"/>
  <c r="R26" i="3"/>
  <c r="T28" i="3"/>
  <c r="R30" i="3"/>
  <c r="F30" i="3"/>
  <c r="S32" i="3"/>
  <c r="G32" i="3"/>
  <c r="T32" i="3" s="1"/>
  <c r="R38" i="3"/>
  <c r="F38" i="3"/>
  <c r="S40" i="3"/>
  <c r="G40" i="3"/>
  <c r="T40" i="3" s="1"/>
  <c r="S43" i="3"/>
  <c r="T43" i="3" s="1"/>
  <c r="G43" i="3"/>
  <c r="F46" i="3"/>
  <c r="G52" i="3"/>
  <c r="S52" i="3"/>
  <c r="R52" i="3"/>
  <c r="T21" i="3"/>
  <c r="R27" i="3"/>
  <c r="F27" i="3"/>
  <c r="G42" i="3"/>
  <c r="S42" i="3"/>
  <c r="T42" i="3" s="1"/>
  <c r="S47" i="3"/>
  <c r="T47" i="3" s="1"/>
  <c r="G47" i="3"/>
  <c r="G57" i="3"/>
  <c r="S57" i="3"/>
  <c r="S59" i="3"/>
  <c r="G59" i="3"/>
  <c r="S5" i="3"/>
  <c r="T5" i="3" s="1"/>
  <c r="F23" i="3"/>
  <c r="G48" i="3"/>
  <c r="S48" i="3"/>
  <c r="R48" i="3"/>
  <c r="P75" i="3"/>
  <c r="R9" i="3"/>
  <c r="T9" i="3" s="1"/>
  <c r="F10" i="3"/>
  <c r="F11" i="3"/>
  <c r="R13" i="3"/>
  <c r="T13" i="3" s="1"/>
  <c r="F14" i="3"/>
  <c r="F15" i="3"/>
  <c r="R21" i="3"/>
  <c r="R25" i="3"/>
  <c r="S26" i="3"/>
  <c r="T26" i="3" s="1"/>
  <c r="G44" i="3"/>
  <c r="S69" i="3"/>
  <c r="G69" i="3"/>
  <c r="T69" i="3" s="1"/>
  <c r="G45" i="3"/>
  <c r="S45" i="3"/>
  <c r="T58" i="3"/>
  <c r="G28" i="3"/>
  <c r="G31" i="3"/>
  <c r="T31" i="3" s="1"/>
  <c r="G33" i="3"/>
  <c r="T33" i="3" s="1"/>
  <c r="S33" i="3"/>
  <c r="G35" i="3"/>
  <c r="T35" i="3" s="1"/>
  <c r="G37" i="3"/>
  <c r="T37" i="3" s="1"/>
  <c r="S37" i="3"/>
  <c r="G39" i="3"/>
  <c r="T39" i="3" s="1"/>
  <c r="R45" i="3"/>
  <c r="G51" i="3"/>
  <c r="G55" i="3"/>
  <c r="T60" i="3"/>
  <c r="S62" i="3"/>
  <c r="T62" i="3" s="1"/>
  <c r="S65" i="3"/>
  <c r="G65" i="3"/>
  <c r="T65" i="3" s="1"/>
  <c r="G66" i="3"/>
  <c r="T66" i="3" s="1"/>
  <c r="S66" i="3"/>
  <c r="R63" i="3"/>
  <c r="T63" i="3" s="1"/>
  <c r="J67" i="3"/>
  <c r="R32" i="3"/>
  <c r="R36" i="3"/>
  <c r="R40" i="3"/>
  <c r="R44" i="3"/>
  <c r="R51" i="3"/>
  <c r="T51" i="3" s="1"/>
  <c r="R55" i="3"/>
  <c r="T55" i="3" s="1"/>
  <c r="R59" i="3"/>
  <c r="S60" i="3"/>
  <c r="R66" i="3"/>
  <c r="G71" i="3"/>
  <c r="T71" i="3" s="1"/>
  <c r="S73" i="3"/>
  <c r="R65" i="3"/>
  <c r="R69" i="3"/>
  <c r="O39" i="1"/>
  <c r="O40" i="1"/>
  <c r="O38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5" i="1"/>
  <c r="O74" i="1"/>
  <c r="O58" i="1"/>
  <c r="O59" i="1"/>
  <c r="O60" i="1"/>
  <c r="O61" i="1"/>
  <c r="O62" i="1"/>
  <c r="O63" i="1"/>
  <c r="O57" i="1"/>
  <c r="O44" i="1"/>
  <c r="O45" i="1"/>
  <c r="O46" i="1"/>
  <c r="O47" i="1"/>
  <c r="O48" i="1"/>
  <c r="O49" i="1"/>
  <c r="O50" i="1"/>
  <c r="O51" i="1"/>
  <c r="O52" i="1"/>
  <c r="O53" i="1"/>
  <c r="O54" i="1"/>
  <c r="O55" i="1"/>
  <c r="O43" i="1"/>
  <c r="J69" i="1"/>
  <c r="K69" i="1" s="1"/>
  <c r="J68" i="1"/>
  <c r="K68" i="1" s="1"/>
  <c r="K66" i="1"/>
  <c r="J66" i="1"/>
  <c r="J65" i="1"/>
  <c r="K65" i="1" s="1"/>
  <c r="K59" i="1"/>
  <c r="K61" i="1"/>
  <c r="K63" i="1"/>
  <c r="J62" i="1"/>
  <c r="K62" i="1" s="1"/>
  <c r="J61" i="1"/>
  <c r="J60" i="1"/>
  <c r="K60" i="1" s="1"/>
  <c r="J59" i="1"/>
  <c r="J58" i="1"/>
  <c r="K58" i="1" s="1"/>
  <c r="J57" i="1"/>
  <c r="K57" i="1" s="1"/>
  <c r="J55" i="1"/>
  <c r="K55" i="1" s="1"/>
  <c r="J54" i="1"/>
  <c r="J53" i="1"/>
  <c r="K53" i="1" s="1"/>
  <c r="J52" i="1"/>
  <c r="K52" i="1" s="1"/>
  <c r="J51" i="1"/>
  <c r="K51" i="1" s="1"/>
  <c r="J50" i="1"/>
  <c r="J49" i="1"/>
  <c r="K49" i="1" s="1"/>
  <c r="J48" i="1"/>
  <c r="J46" i="1"/>
  <c r="K46" i="1" s="1"/>
  <c r="J45" i="1"/>
  <c r="J44" i="1"/>
  <c r="K44" i="1" s="1"/>
  <c r="J43" i="1"/>
  <c r="K43" i="1" s="1"/>
  <c r="J42" i="1"/>
  <c r="K42" i="1" s="1"/>
  <c r="K45" i="1"/>
  <c r="K47" i="1"/>
  <c r="K48" i="1"/>
  <c r="K50" i="1"/>
  <c r="K54" i="1"/>
  <c r="K40" i="1"/>
  <c r="K32" i="1"/>
  <c r="K34" i="1"/>
  <c r="K36" i="1"/>
  <c r="K38" i="1"/>
  <c r="J40" i="1"/>
  <c r="J39" i="1"/>
  <c r="K39" i="1" s="1"/>
  <c r="J38" i="1"/>
  <c r="J37" i="1"/>
  <c r="K37" i="1" s="1"/>
  <c r="J36" i="1"/>
  <c r="J35" i="1"/>
  <c r="K35" i="1" s="1"/>
  <c r="J34" i="1"/>
  <c r="J33" i="1"/>
  <c r="K33" i="1" s="1"/>
  <c r="J32" i="1"/>
  <c r="J31" i="1"/>
  <c r="K31" i="1" s="1"/>
  <c r="J30" i="1"/>
  <c r="K30" i="1" s="1"/>
  <c r="K19" i="1"/>
  <c r="K20" i="1"/>
  <c r="K21" i="1"/>
  <c r="K24" i="1"/>
  <c r="K25" i="1"/>
  <c r="K27" i="1"/>
  <c r="K28" i="1"/>
  <c r="K6" i="1"/>
  <c r="K7" i="1"/>
  <c r="K8" i="1"/>
  <c r="K9" i="1"/>
  <c r="K10" i="1"/>
  <c r="K11" i="1"/>
  <c r="K12" i="1"/>
  <c r="K13" i="1"/>
  <c r="K14" i="1"/>
  <c r="K15" i="1"/>
  <c r="K16" i="1"/>
  <c r="K5" i="1"/>
  <c r="J26" i="1"/>
  <c r="K26" i="1" s="1"/>
  <c r="J25" i="1"/>
  <c r="J23" i="1"/>
  <c r="K23" i="1" s="1"/>
  <c r="J22" i="1"/>
  <c r="K22" i="1" s="1"/>
  <c r="J19" i="1"/>
  <c r="J18" i="1"/>
  <c r="K18" i="1" s="1"/>
  <c r="J17" i="1"/>
  <c r="K17" i="1" s="1"/>
  <c r="J16" i="1"/>
  <c r="F72" i="1"/>
  <c r="F73" i="1"/>
  <c r="F74" i="1"/>
  <c r="S74" i="1" s="1"/>
  <c r="F71" i="1"/>
  <c r="F66" i="1"/>
  <c r="F60" i="1"/>
  <c r="F57" i="1"/>
  <c r="F46" i="1"/>
  <c r="F50" i="1"/>
  <c r="F54" i="1"/>
  <c r="F36" i="1"/>
  <c r="F37" i="1"/>
  <c r="F40" i="1"/>
  <c r="F31" i="1"/>
  <c r="F33" i="1"/>
  <c r="R71" i="1"/>
  <c r="E66" i="1"/>
  <c r="E65" i="1"/>
  <c r="R65" i="1" s="1"/>
  <c r="E58" i="1"/>
  <c r="F58" i="1" s="1"/>
  <c r="E59" i="1"/>
  <c r="F59" i="1" s="1"/>
  <c r="E60" i="1"/>
  <c r="E61" i="1"/>
  <c r="R61" i="1" s="1"/>
  <c r="E62" i="1"/>
  <c r="F62" i="1" s="1"/>
  <c r="E63" i="1"/>
  <c r="F63" i="1" s="1"/>
  <c r="E57" i="1"/>
  <c r="R57" i="1" s="1"/>
  <c r="E43" i="1"/>
  <c r="F43" i="1" s="1"/>
  <c r="E44" i="1"/>
  <c r="F44" i="1" s="1"/>
  <c r="E45" i="1"/>
  <c r="F45" i="1" s="1"/>
  <c r="E46" i="1"/>
  <c r="R46" i="1" s="1"/>
  <c r="E47" i="1"/>
  <c r="F47" i="1" s="1"/>
  <c r="E48" i="1"/>
  <c r="F48" i="1" s="1"/>
  <c r="E49" i="1"/>
  <c r="F49" i="1" s="1"/>
  <c r="E50" i="1"/>
  <c r="R50" i="1" s="1"/>
  <c r="E51" i="1"/>
  <c r="F51" i="1" s="1"/>
  <c r="E52" i="1"/>
  <c r="F52" i="1" s="1"/>
  <c r="E53" i="1"/>
  <c r="F53" i="1" s="1"/>
  <c r="E54" i="1"/>
  <c r="R54" i="1" s="1"/>
  <c r="E55" i="1"/>
  <c r="F55" i="1" s="1"/>
  <c r="E42" i="1"/>
  <c r="F42" i="1" s="1"/>
  <c r="E36" i="1"/>
  <c r="E37" i="1"/>
  <c r="E38" i="1"/>
  <c r="F38" i="1" s="1"/>
  <c r="E39" i="1"/>
  <c r="R39" i="1" s="1"/>
  <c r="E40" i="1"/>
  <c r="R40" i="1" s="1"/>
  <c r="E31" i="1"/>
  <c r="E32" i="1"/>
  <c r="R32" i="1" s="1"/>
  <c r="E33" i="1"/>
  <c r="E34" i="1"/>
  <c r="R34" i="1" s="1"/>
  <c r="E35" i="1"/>
  <c r="F35" i="1" s="1"/>
  <c r="E30" i="1"/>
  <c r="R30" i="1" s="1"/>
  <c r="F24" i="1"/>
  <c r="F28" i="1"/>
  <c r="F18" i="1"/>
  <c r="F19" i="1"/>
  <c r="F20" i="1"/>
  <c r="F7" i="1"/>
  <c r="F11" i="1"/>
  <c r="E26" i="1"/>
  <c r="F26" i="1" s="1"/>
  <c r="E27" i="1"/>
  <c r="F27" i="1" s="1"/>
  <c r="E28" i="1"/>
  <c r="E17" i="1"/>
  <c r="R17" i="1" s="1"/>
  <c r="E18" i="1"/>
  <c r="R18" i="1" s="1"/>
  <c r="E19" i="1"/>
  <c r="R19" i="1" s="1"/>
  <c r="E20" i="1"/>
  <c r="R20" i="1" s="1"/>
  <c r="E21" i="1"/>
  <c r="F21" i="1" s="1"/>
  <c r="E22" i="1"/>
  <c r="F22" i="1" s="1"/>
  <c r="E23" i="1"/>
  <c r="F23" i="1" s="1"/>
  <c r="E24" i="1"/>
  <c r="R24" i="1" s="1"/>
  <c r="E25" i="1"/>
  <c r="F25" i="1" s="1"/>
  <c r="E12" i="1"/>
  <c r="F12" i="1" s="1"/>
  <c r="E13" i="1"/>
  <c r="F13" i="1" s="1"/>
  <c r="E14" i="1"/>
  <c r="F14" i="1" s="1"/>
  <c r="E15" i="1"/>
  <c r="R15" i="1" s="1"/>
  <c r="E16" i="1"/>
  <c r="F16" i="1" s="1"/>
  <c r="E6" i="1"/>
  <c r="F6" i="1" s="1"/>
  <c r="E7" i="1"/>
  <c r="E8" i="1"/>
  <c r="F8" i="1" s="1"/>
  <c r="E9" i="1"/>
  <c r="R9" i="1" s="1"/>
  <c r="E10" i="1"/>
  <c r="F10" i="1" s="1"/>
  <c r="E11" i="1"/>
  <c r="E5" i="1"/>
  <c r="R72" i="1"/>
  <c r="S72" i="1"/>
  <c r="R73" i="1"/>
  <c r="S73" i="1"/>
  <c r="R74" i="1"/>
  <c r="R66" i="1"/>
  <c r="R58" i="1"/>
  <c r="R60" i="1"/>
  <c r="R62" i="1"/>
  <c r="R63" i="1"/>
  <c r="R43" i="1"/>
  <c r="R44" i="1"/>
  <c r="R45" i="1"/>
  <c r="R48" i="1"/>
  <c r="R49" i="1"/>
  <c r="R53" i="1"/>
  <c r="R42" i="1"/>
  <c r="R31" i="1"/>
  <c r="R33" i="1"/>
  <c r="R35" i="1"/>
  <c r="R36" i="1"/>
  <c r="R37" i="1"/>
  <c r="R6" i="1"/>
  <c r="R7" i="1"/>
  <c r="R10" i="1"/>
  <c r="R11" i="1"/>
  <c r="R12" i="1"/>
  <c r="R14" i="1"/>
  <c r="R16" i="1"/>
  <c r="R21" i="1"/>
  <c r="R22" i="1"/>
  <c r="R23" i="1"/>
  <c r="R26" i="1"/>
  <c r="R27" i="1"/>
  <c r="R28" i="1"/>
  <c r="R2" i="1"/>
  <c r="G75" i="5" l="1"/>
  <c r="S75" i="5"/>
  <c r="G5" i="4"/>
  <c r="G39" i="4"/>
  <c r="G55" i="4"/>
  <c r="G17" i="4"/>
  <c r="G50" i="4"/>
  <c r="G48" i="4"/>
  <c r="G40" i="4"/>
  <c r="G53" i="4"/>
  <c r="G7" i="4"/>
  <c r="G69" i="4"/>
  <c r="G19" i="4"/>
  <c r="G23" i="4"/>
  <c r="G51" i="4"/>
  <c r="G49" i="4"/>
  <c r="S75" i="4"/>
  <c r="G26" i="4"/>
  <c r="G30" i="3"/>
  <c r="T30" i="3" s="1"/>
  <c r="S30" i="3"/>
  <c r="S6" i="3"/>
  <c r="T6" i="3" s="1"/>
  <c r="G6" i="3"/>
  <c r="T45" i="3"/>
  <c r="G11" i="3"/>
  <c r="S11" i="3"/>
  <c r="T11" i="3" s="1"/>
  <c r="T57" i="3"/>
  <c r="G34" i="3"/>
  <c r="T34" i="3" s="1"/>
  <c r="S34" i="3"/>
  <c r="G14" i="3"/>
  <c r="S14" i="3"/>
  <c r="T14" i="3" s="1"/>
  <c r="G38" i="3"/>
  <c r="T38" i="3" s="1"/>
  <c r="S38" i="3"/>
  <c r="G23" i="3"/>
  <c r="S23" i="3"/>
  <c r="T23" i="3" s="1"/>
  <c r="T52" i="3"/>
  <c r="T59" i="3"/>
  <c r="G15" i="3"/>
  <c r="S15" i="3"/>
  <c r="T15" i="3" s="1"/>
  <c r="G10" i="3"/>
  <c r="S10" i="3"/>
  <c r="T10" i="3" s="1"/>
  <c r="T48" i="3"/>
  <c r="G27" i="3"/>
  <c r="S27" i="3"/>
  <c r="T27" i="3" s="1"/>
  <c r="G46" i="3"/>
  <c r="S46" i="3"/>
  <c r="T46" i="3" s="1"/>
  <c r="R75" i="3" s="1"/>
  <c r="R5" i="1"/>
  <c r="R25" i="1"/>
  <c r="R13" i="1"/>
  <c r="R8" i="1"/>
  <c r="R52" i="1"/>
  <c r="R47" i="1"/>
  <c r="R59" i="1"/>
  <c r="F17" i="1"/>
  <c r="F32" i="1"/>
  <c r="F39" i="1"/>
  <c r="F5" i="1"/>
  <c r="R38" i="1"/>
  <c r="R51" i="1"/>
  <c r="F9" i="1"/>
  <c r="R55" i="1"/>
  <c r="F15" i="1"/>
  <c r="F30" i="1"/>
  <c r="F34" i="1"/>
  <c r="F61" i="1"/>
  <c r="F65" i="1"/>
  <c r="J64" i="1"/>
  <c r="N64" i="1" s="1"/>
  <c r="R64" i="1" s="1"/>
  <c r="N70" i="1"/>
  <c r="R70" i="1" s="1"/>
  <c r="J70" i="1"/>
  <c r="N67" i="1"/>
  <c r="P74" i="1"/>
  <c r="O73" i="1"/>
  <c r="P73" i="1" s="1"/>
  <c r="O72" i="1"/>
  <c r="P72" i="1" s="1"/>
  <c r="O71" i="1"/>
  <c r="P71" i="1" s="1"/>
  <c r="O69" i="1"/>
  <c r="P69" i="1" s="1"/>
  <c r="O68" i="1"/>
  <c r="P68" i="1" s="1"/>
  <c r="O66" i="1"/>
  <c r="P66" i="1" s="1"/>
  <c r="O65" i="1"/>
  <c r="P65" i="1" s="1"/>
  <c r="P63" i="1"/>
  <c r="P62" i="1"/>
  <c r="P61" i="1"/>
  <c r="P60" i="1"/>
  <c r="P59" i="1"/>
  <c r="P58" i="1"/>
  <c r="P57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O42" i="1"/>
  <c r="P42" i="1" s="1"/>
  <c r="P40" i="1"/>
  <c r="P39" i="1"/>
  <c r="P38" i="1"/>
  <c r="O37" i="1"/>
  <c r="P37" i="1" s="1"/>
  <c r="O36" i="1"/>
  <c r="P36" i="1" s="1"/>
  <c r="O35" i="1"/>
  <c r="P35" i="1" s="1"/>
  <c r="O34" i="1"/>
  <c r="P34" i="1" s="1"/>
  <c r="O33" i="1"/>
  <c r="P33" i="1" s="1"/>
  <c r="O32" i="1"/>
  <c r="P32" i="1" s="1"/>
  <c r="O31" i="1"/>
  <c r="P31" i="1" s="1"/>
  <c r="O30" i="1"/>
  <c r="P30" i="1" s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J56" i="1"/>
  <c r="N56" i="1" s="1"/>
  <c r="R56" i="1" s="1"/>
  <c r="J41" i="1"/>
  <c r="N41" i="1" s="1"/>
  <c r="R41" i="1" s="1"/>
  <c r="J29" i="1"/>
  <c r="N29" i="1" s="1"/>
  <c r="R29" i="1" s="1"/>
  <c r="J4" i="1"/>
  <c r="N4" i="1" s="1"/>
  <c r="R4" i="1" s="1"/>
  <c r="K74" i="1"/>
  <c r="L74" i="1" s="1"/>
  <c r="K73" i="1"/>
  <c r="L73" i="1" s="1"/>
  <c r="K72" i="1"/>
  <c r="L72" i="1" s="1"/>
  <c r="K71" i="1"/>
  <c r="L71" i="1" s="1"/>
  <c r="L69" i="1"/>
  <c r="L68" i="1"/>
  <c r="L66" i="1"/>
  <c r="L65" i="1"/>
  <c r="L63" i="1"/>
  <c r="L62" i="1"/>
  <c r="L61" i="1"/>
  <c r="L60" i="1"/>
  <c r="L59" i="1"/>
  <c r="L58" i="1"/>
  <c r="L57" i="1"/>
  <c r="L43" i="1"/>
  <c r="L47" i="1"/>
  <c r="L51" i="1"/>
  <c r="L55" i="1"/>
  <c r="L54" i="1"/>
  <c r="L53" i="1"/>
  <c r="L52" i="1"/>
  <c r="L50" i="1"/>
  <c r="L49" i="1"/>
  <c r="L48" i="1"/>
  <c r="L46" i="1"/>
  <c r="L45" i="1"/>
  <c r="L44" i="1"/>
  <c r="L42" i="1"/>
  <c r="L40" i="1"/>
  <c r="L39" i="1"/>
  <c r="L38" i="1"/>
  <c r="L37" i="1"/>
  <c r="L36" i="1"/>
  <c r="L35" i="1"/>
  <c r="L34" i="1"/>
  <c r="L33" i="1"/>
  <c r="L32" i="1"/>
  <c r="L31" i="1"/>
  <c r="L30" i="1"/>
  <c r="L7" i="1"/>
  <c r="L8" i="1"/>
  <c r="L11" i="1"/>
  <c r="L12" i="1"/>
  <c r="L15" i="1"/>
  <c r="L20" i="1"/>
  <c r="L24" i="1"/>
  <c r="L27" i="1"/>
  <c r="L28" i="1"/>
  <c r="L3" i="1"/>
  <c r="K3" i="1"/>
  <c r="P3" i="1" s="1"/>
  <c r="T3" i="1" s="1"/>
  <c r="J3" i="1"/>
  <c r="O3" i="1" s="1"/>
  <c r="S3" i="1" s="1"/>
  <c r="L26" i="1"/>
  <c r="L25" i="1"/>
  <c r="L23" i="1"/>
  <c r="L22" i="1"/>
  <c r="L21" i="1"/>
  <c r="L19" i="1"/>
  <c r="L18" i="1"/>
  <c r="L17" i="1"/>
  <c r="L16" i="1"/>
  <c r="L14" i="1"/>
  <c r="L13" i="1"/>
  <c r="L10" i="1"/>
  <c r="L9" i="1"/>
  <c r="L6" i="1"/>
  <c r="L5" i="1"/>
  <c r="G75" i="4" l="1"/>
  <c r="G75" i="3"/>
  <c r="J67" i="1"/>
  <c r="R67" i="1"/>
  <c r="L75" i="1"/>
  <c r="N3" i="1"/>
  <c r="R3" i="1" s="1"/>
  <c r="P75" i="1"/>
  <c r="G74" i="1"/>
  <c r="T74" i="1" s="1"/>
  <c r="G73" i="1"/>
  <c r="T73" i="1" s="1"/>
  <c r="G72" i="1"/>
  <c r="T72" i="1" s="1"/>
  <c r="E69" i="1"/>
  <c r="E68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F68" i="1" l="1"/>
  <c r="R68" i="1"/>
  <c r="R69" i="1"/>
  <c r="F69" i="1"/>
  <c r="G71" i="1"/>
  <c r="T71" i="1" s="1"/>
  <c r="S71" i="1"/>
  <c r="G66" i="1"/>
  <c r="T66" i="1" s="1"/>
  <c r="S66" i="1"/>
  <c r="G65" i="1"/>
  <c r="T65" i="1" s="1"/>
  <c r="S65" i="1"/>
  <c r="G58" i="1"/>
  <c r="S58" i="1"/>
  <c r="T58" i="1" s="1"/>
  <c r="G62" i="1"/>
  <c r="S62" i="1"/>
  <c r="T62" i="1" s="1"/>
  <c r="G59" i="1"/>
  <c r="S59" i="1"/>
  <c r="T59" i="1" s="1"/>
  <c r="G63" i="1"/>
  <c r="S63" i="1"/>
  <c r="T63" i="1" s="1"/>
  <c r="G60" i="1"/>
  <c r="S60" i="1"/>
  <c r="T60" i="1" s="1"/>
  <c r="G61" i="1"/>
  <c r="S61" i="1"/>
  <c r="T61" i="1" s="1"/>
  <c r="G57" i="1"/>
  <c r="S57" i="1"/>
  <c r="T57" i="1" s="1"/>
  <c r="G53" i="1"/>
  <c r="S53" i="1"/>
  <c r="T53" i="1" s="1"/>
  <c r="G54" i="1"/>
  <c r="S54" i="1"/>
  <c r="T54" i="1" s="1"/>
  <c r="G49" i="1"/>
  <c r="S49" i="1"/>
  <c r="T49" i="1" s="1"/>
  <c r="G46" i="1"/>
  <c r="S46" i="1"/>
  <c r="T46" i="1" s="1"/>
  <c r="G47" i="1"/>
  <c r="S47" i="1"/>
  <c r="T47" i="1" s="1"/>
  <c r="G51" i="1"/>
  <c r="S51" i="1"/>
  <c r="T51" i="1" s="1"/>
  <c r="G55" i="1"/>
  <c r="S55" i="1"/>
  <c r="T55" i="1" s="1"/>
  <c r="G45" i="1"/>
  <c r="S45" i="1"/>
  <c r="T45" i="1" s="1"/>
  <c r="G50" i="1"/>
  <c r="S50" i="1"/>
  <c r="T50" i="1" s="1"/>
  <c r="G43" i="1"/>
  <c r="S43" i="1"/>
  <c r="T43" i="1" s="1"/>
  <c r="G44" i="1"/>
  <c r="S44" i="1"/>
  <c r="T44" i="1" s="1"/>
  <c r="G48" i="1"/>
  <c r="S48" i="1"/>
  <c r="T48" i="1" s="1"/>
  <c r="G52" i="1"/>
  <c r="S52" i="1"/>
  <c r="T52" i="1" s="1"/>
  <c r="G42" i="1"/>
  <c r="S42" i="1"/>
  <c r="T42" i="1" s="1"/>
  <c r="G36" i="1"/>
  <c r="T36" i="1" s="1"/>
  <c r="S36" i="1"/>
  <c r="G40" i="1"/>
  <c r="T40" i="1" s="1"/>
  <c r="S40" i="1"/>
  <c r="G37" i="1"/>
  <c r="T37" i="1" s="1"/>
  <c r="S37" i="1"/>
  <c r="G38" i="1"/>
  <c r="T38" i="1" s="1"/>
  <c r="S38" i="1"/>
  <c r="G39" i="1"/>
  <c r="T39" i="1" s="1"/>
  <c r="S39" i="1"/>
  <c r="G33" i="1"/>
  <c r="T33" i="1" s="1"/>
  <c r="S33" i="1"/>
  <c r="G34" i="1"/>
  <c r="T34" i="1" s="1"/>
  <c r="S34" i="1"/>
  <c r="G32" i="1"/>
  <c r="T32" i="1" s="1"/>
  <c r="S32" i="1"/>
  <c r="G31" i="1"/>
  <c r="T31" i="1" s="1"/>
  <c r="S31" i="1"/>
  <c r="G35" i="1"/>
  <c r="T35" i="1" s="1"/>
  <c r="S35" i="1"/>
  <c r="G30" i="1"/>
  <c r="T30" i="1" s="1"/>
  <c r="S30" i="1"/>
  <c r="G27" i="1"/>
  <c r="S27" i="1"/>
  <c r="T27" i="1" s="1"/>
  <c r="G28" i="1"/>
  <c r="S28" i="1"/>
  <c r="T28" i="1" s="1"/>
  <c r="G26" i="1"/>
  <c r="S26" i="1"/>
  <c r="T26" i="1" s="1"/>
  <c r="G23" i="1"/>
  <c r="S23" i="1"/>
  <c r="T23" i="1" s="1"/>
  <c r="G20" i="1"/>
  <c r="S20" i="1"/>
  <c r="T20" i="1" s="1"/>
  <c r="G25" i="1"/>
  <c r="S25" i="1"/>
  <c r="T25" i="1" s="1"/>
  <c r="G19" i="1"/>
  <c r="S19" i="1"/>
  <c r="T19" i="1" s="1"/>
  <c r="G24" i="1"/>
  <c r="S24" i="1"/>
  <c r="T24" i="1" s="1"/>
  <c r="G17" i="1"/>
  <c r="S17" i="1"/>
  <c r="T17" i="1" s="1"/>
  <c r="G21" i="1"/>
  <c r="S21" i="1"/>
  <c r="T21" i="1" s="1"/>
  <c r="G18" i="1"/>
  <c r="S18" i="1"/>
  <c r="T18" i="1" s="1"/>
  <c r="G22" i="1"/>
  <c r="S22" i="1"/>
  <c r="T22" i="1" s="1"/>
  <c r="G16" i="1"/>
  <c r="S16" i="1"/>
  <c r="T16" i="1" s="1"/>
  <c r="G15" i="1"/>
  <c r="S15" i="1"/>
  <c r="T15" i="1" s="1"/>
  <c r="G12" i="1"/>
  <c r="S12" i="1"/>
  <c r="T12" i="1" s="1"/>
  <c r="G13" i="1"/>
  <c r="S13" i="1"/>
  <c r="T13" i="1" s="1"/>
  <c r="G14" i="1"/>
  <c r="S14" i="1"/>
  <c r="T14" i="1" s="1"/>
  <c r="G11" i="1"/>
  <c r="S11" i="1"/>
  <c r="T11" i="1" s="1"/>
  <c r="G9" i="1"/>
  <c r="S9" i="1"/>
  <c r="T9" i="1" s="1"/>
  <c r="G7" i="1"/>
  <c r="S7" i="1"/>
  <c r="T7" i="1" s="1"/>
  <c r="G8" i="1"/>
  <c r="S8" i="1"/>
  <c r="T8" i="1" s="1"/>
  <c r="G6" i="1"/>
  <c r="S6" i="1"/>
  <c r="T6" i="1" s="1"/>
  <c r="G10" i="1"/>
  <c r="S10" i="1"/>
  <c r="T10" i="1" s="1"/>
  <c r="G5" i="1"/>
  <c r="S5" i="1"/>
  <c r="T5" i="1" s="1"/>
  <c r="S69" i="1" l="1"/>
  <c r="G69" i="1"/>
  <c r="T69" i="1" s="1"/>
  <c r="R75" i="1" s="1"/>
  <c r="G68" i="1"/>
  <c r="T68" i="1" s="1"/>
  <c r="S68" i="1"/>
  <c r="G75" i="1"/>
</calcChain>
</file>

<file path=xl/sharedStrings.xml><?xml version="1.0" encoding="utf-8"?>
<sst xmlns="http://schemas.openxmlformats.org/spreadsheetml/2006/main" count="621" uniqueCount="107">
  <si>
    <t>ITEM</t>
  </si>
  <si>
    <t>NOMBRE DEL ENSAYO</t>
  </si>
  <si>
    <t>CANTIDAD</t>
  </si>
  <si>
    <t>UND.</t>
  </si>
  <si>
    <t>VALOR UNITARIO SIN IVA</t>
  </si>
  <si>
    <t xml:space="preserve"> IVA 19% </t>
  </si>
  <si>
    <t>VALOR TOTAL</t>
  </si>
  <si>
    <t>ENSAYOS EN SUELO</t>
  </si>
  <si>
    <t>Contenido de humedad</t>
  </si>
  <si>
    <t>Und.</t>
  </si>
  <si>
    <t>Densidad relativa de los sólidos</t>
  </si>
  <si>
    <t>Limite líquido, limite plástico e índice de plasticidad</t>
  </si>
  <si>
    <t>Lavado sobre el tamiz No. 200</t>
  </si>
  <si>
    <t>Granulometría por tamizado (con lavado)</t>
  </si>
  <si>
    <t>Determinación del contenido de materia orgánica (por quemado)</t>
  </si>
  <si>
    <t>Equivalente de arena de suelos y agregados finos</t>
  </si>
  <si>
    <t>Relación de peso unitario - humedad equipo Normal ( Proctor Estándar)</t>
  </si>
  <si>
    <t>Relación de peso unitario - humedad equipo Modificado ( Proctor Modificado)</t>
  </si>
  <si>
    <t>Densidad in situ ( Método del cono y arena )</t>
  </si>
  <si>
    <t>Ensayo de relación de soporte CBR - Suelos granulares Método I</t>
  </si>
  <si>
    <t>Ensayo de relación de soporte CBR - Suelos cohesivos Método II</t>
  </si>
  <si>
    <t>Ensayo de relación de soporte CBR  en laboratorio sobre muestras inalteradas</t>
  </si>
  <si>
    <t>pH de suelos ( método colorimétrico)</t>
  </si>
  <si>
    <t>Compresión incofinada sobre muestra en tubo shelby</t>
  </si>
  <si>
    <t>Apique - cielo abierto</t>
  </si>
  <si>
    <t>ml</t>
  </si>
  <si>
    <t>Sondeo mecánico con penetración estándar</t>
  </si>
  <si>
    <t>Toma de muestras CBR inalteradas</t>
  </si>
  <si>
    <t>Toma de muestras  inalteradas con tubo shelby</t>
  </si>
  <si>
    <t>Sondeo mecánico con rotación y lavado</t>
  </si>
  <si>
    <t>Und</t>
  </si>
  <si>
    <t>Ensayo de corte directo (CD)</t>
  </si>
  <si>
    <t>Diseño de mezcla de suelo-cemento</t>
  </si>
  <si>
    <t xml:space="preserve">Ensayo de CBR In Situ - Metodo PDC </t>
  </si>
  <si>
    <t>Ensayo de CBR In Situ - Metodo Volqueta (No Incluye Suministro de Volqueta)</t>
  </si>
  <si>
    <t>AGREGADOS</t>
  </si>
  <si>
    <t>Granulometría por tamizado de agregado fina (con lavado)</t>
  </si>
  <si>
    <t>Granulometría por tamizado de agregado grueso (con lavado)</t>
  </si>
  <si>
    <t>Índice de alargamiento y aplanamiento</t>
  </si>
  <si>
    <t>Porcentaje de caras fracturadas</t>
  </si>
  <si>
    <t>Densidad y absorción del agregado grueso</t>
  </si>
  <si>
    <t>Densidad y absorción del agregado fino</t>
  </si>
  <si>
    <t>Masa unitaria suelta y apisonada del agregado grueso</t>
  </si>
  <si>
    <t>Masa unitaria suelta y apisonada del agregado fino</t>
  </si>
  <si>
    <t>Resistencia al  desgaste en la máquina de los Ángeles</t>
  </si>
  <si>
    <t>Solidez de agregados (sanidad) - Resistencia a  los sulfatos</t>
  </si>
  <si>
    <t>Contenido de materia orgánica en arenas usadas para concreto o mortero</t>
  </si>
  <si>
    <t>CONCRETOS</t>
  </si>
  <si>
    <t>Diseño de mezcla (incluye todos los ensayos de los agregados)</t>
  </si>
  <si>
    <t>Diseño de mezcla para una resistencia adicional</t>
  </si>
  <si>
    <t>Ensayo para determinar el asentamiento (slump)</t>
  </si>
  <si>
    <t>Resistencia a la compresión de cilindros normales de concreto</t>
  </si>
  <si>
    <t>Resistencia a la flexión del concreto en viga simple cargada en los tercios</t>
  </si>
  <si>
    <t>Extracción de núcleos de concreto ( de Ø 2" y Ø 3"). Incluye corte y ensayo a compresión</t>
  </si>
  <si>
    <t>Extracción de núcleos de concreto ( de Ø 4" y Ø 6"). Incluye corte y ensayo a compresión</t>
  </si>
  <si>
    <t>Resistencia a la compresión de núcleos de concreto</t>
  </si>
  <si>
    <t>Elaboración, curado y ensayo a compresión de cilindros de concreto</t>
  </si>
  <si>
    <t>Alquiler de formaletas cilíndricas/prismáticas/cono de asentamiento/varilla</t>
  </si>
  <si>
    <t>und/día</t>
  </si>
  <si>
    <t>Resistencia a la compresión de cubos de pasta de cemento</t>
  </si>
  <si>
    <t>Diseño de mezcla de mortero</t>
  </si>
  <si>
    <t>Resistencia a la compresión de cilindros de mortero</t>
  </si>
  <si>
    <t>Ensayo de esclerometría (martillo de rebote)</t>
  </si>
  <si>
    <t>ASFALTOS</t>
  </si>
  <si>
    <t>Contenido de asfalto</t>
  </si>
  <si>
    <t>Granulometría a material de extracción</t>
  </si>
  <si>
    <t>Compactación de briquetas, Método Marshall.</t>
  </si>
  <si>
    <t>Peso unitario de briquetas</t>
  </si>
  <si>
    <t>Estabilidad y flujo de briquetas</t>
  </si>
  <si>
    <t>Extracción de núcleos de concreto asfáltico Ø4" (incluye espesor y densidad)</t>
  </si>
  <si>
    <t>Diseño de mezcla con el Método Marshall (incluye ensayos de agregados)</t>
  </si>
  <si>
    <t>MAMPOSTERÍA EN CONCRETO</t>
  </si>
  <si>
    <t>Compresión de unidades de mampostería de concreto</t>
  </si>
  <si>
    <t>Resistencia a la flexotracción de adoquines de concreto</t>
  </si>
  <si>
    <t>MAMPOSTERÍA EN ARCILLA</t>
  </si>
  <si>
    <t>Compresión de unidades de mampostería de arcilla</t>
  </si>
  <si>
    <t>Densidad y absorción de unidades de mampostería de arcilla</t>
  </si>
  <si>
    <t>OTROS</t>
  </si>
  <si>
    <t xml:space="preserve">Elaboracion informe Estudio de suelos según Metodologia NSR 10 - Categoria Baja </t>
  </si>
  <si>
    <t>Elaboracion informe Estudio de suelos según Metodologia Placa Huellas - Invias y/o rehabilitacion.</t>
  </si>
  <si>
    <t>Vehículo para transporte de personal, equipo y muestras</t>
  </si>
  <si>
    <t>día</t>
  </si>
  <si>
    <t>Servicio  disponibilidad del laboratorista y equipo en obra</t>
  </si>
  <si>
    <t>TOTAL IVA INCLUIDO</t>
  </si>
  <si>
    <t>SOINCO</t>
  </si>
  <si>
    <t>INGELAB SOLUCIONES DE INGENIERIA SAS</t>
  </si>
  <si>
    <t>INGENSAYOS COLOMBIA SAS</t>
  </si>
  <si>
    <t>PROPUESTA A ESCOGER -MENOR VALOR</t>
  </si>
  <si>
    <t>MENOR VALOR</t>
  </si>
  <si>
    <t>VALOR A TOMAR</t>
  </si>
  <si>
    <t>TIPO DE VIA</t>
  </si>
  <si>
    <t xml:space="preserve"> ACTIVIDAD A REALIZA</t>
  </si>
  <si>
    <t xml:space="preserve"> VALOR  </t>
  </si>
  <si>
    <t>%</t>
  </si>
  <si>
    <t>PRIMARIA</t>
  </si>
  <si>
    <t xml:space="preserve">SECUNDARIA </t>
  </si>
  <si>
    <t xml:space="preserve"> TERCIARIA</t>
  </si>
  <si>
    <t>MEJORAMIENTO</t>
  </si>
  <si>
    <t>REHABILITACION</t>
  </si>
  <si>
    <t>MAYOR INTERVENCION</t>
  </si>
  <si>
    <t>X</t>
  </si>
  <si>
    <t>PRESUPUESTO OFICAL DEL PROCESO</t>
  </si>
  <si>
    <t>IVA19%</t>
  </si>
  <si>
    <t>VALOR UNITARIO IVA INCLUIDO</t>
  </si>
  <si>
    <t>COTIZACIONES</t>
  </si>
  <si>
    <t>VALOR TOTAL IVA INCLUIDO</t>
  </si>
  <si>
    <t xml:space="preserve">Servicio disponibilidad del Director de Consultoría y Laboratorista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</si>
</sst>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;[Red]\-&quot;$&quot;\ #,##0.0"/>
    <numFmt numFmtId="166" formatCode="_-&quot;$&quot;\ * #,##0.0_-;\-&quot;$&quot;\ * #,##0.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6">
    <xf numFmtId="0" fontId="0" fillId="0" borderId="0" xfId="0"/>
    <xf numFmtId="0" fontId="3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4" borderId="10" xfId="0" applyFont="1" applyFill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5" fillId="0" borderId="0" xfId="0" applyFont="1" applyAlignment="1">
      <alignment wrapText="1"/>
    </xf>
    <xf numFmtId="2" fontId="5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0" fontId="7" fillId="0" borderId="1" xfId="0" applyFont="1" applyBorder="1" applyAlignment="1">
      <alignment wrapText="1"/>
    </xf>
    <xf numFmtId="2" fontId="3" fillId="2" borderId="2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2" fontId="3" fillId="3" borderId="5" xfId="0" applyNumberFormat="1" applyFont="1" applyFill="1" applyBorder="1" applyAlignment="1">
      <alignment horizontal="center" vertical="center" wrapText="1"/>
    </xf>
    <xf numFmtId="2" fontId="3" fillId="0" borderId="9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4" fontId="5" fillId="0" borderId="10" xfId="1" applyNumberFormat="1" applyFont="1" applyBorder="1" applyAlignment="1">
      <alignment vertical="center" wrapText="1"/>
    </xf>
    <xf numFmtId="44" fontId="4" fillId="0" borderId="12" xfId="0" applyNumberFormat="1" applyFont="1" applyBorder="1" applyAlignment="1">
      <alignment horizontal="center" vertical="center" wrapText="1"/>
    </xf>
    <xf numFmtId="44" fontId="4" fillId="0" borderId="13" xfId="0" applyNumberFormat="1" applyFont="1" applyBorder="1" applyAlignment="1">
      <alignment horizontal="center" vertical="center" wrapText="1"/>
    </xf>
    <xf numFmtId="44" fontId="5" fillId="0" borderId="10" xfId="0" applyNumberFormat="1" applyFont="1" applyBorder="1" applyAlignment="1">
      <alignment horizontal="center" vertical="center" wrapText="1"/>
    </xf>
    <xf numFmtId="44" fontId="4" fillId="0" borderId="10" xfId="0" applyNumberFormat="1" applyFont="1" applyBorder="1" applyAlignment="1">
      <alignment horizontal="center" vertical="center" wrapText="1"/>
    </xf>
    <xf numFmtId="44" fontId="5" fillId="0" borderId="10" xfId="0" applyNumberFormat="1" applyFont="1" applyBorder="1" applyAlignment="1">
      <alignment wrapText="1"/>
    </xf>
    <xf numFmtId="164" fontId="5" fillId="0" borderId="5" xfId="0" applyNumberFormat="1" applyFont="1" applyBorder="1" applyAlignment="1">
      <alignment wrapText="1"/>
    </xf>
    <xf numFmtId="6" fontId="5" fillId="0" borderId="31" xfId="0" applyNumberFormat="1" applyFont="1" applyBorder="1" applyAlignment="1">
      <alignment wrapText="1"/>
    </xf>
    <xf numFmtId="44" fontId="5" fillId="0" borderId="32" xfId="0" applyNumberFormat="1" applyFont="1" applyBorder="1" applyAlignment="1">
      <alignment wrapText="1"/>
    </xf>
    <xf numFmtId="164" fontId="5" fillId="0" borderId="9" xfId="0" applyNumberFormat="1" applyFont="1" applyBorder="1" applyAlignment="1">
      <alignment wrapText="1"/>
    </xf>
    <xf numFmtId="6" fontId="5" fillId="0" borderId="10" xfId="0" applyNumberFormat="1" applyFont="1" applyBorder="1" applyAlignment="1">
      <alignment wrapText="1"/>
    </xf>
    <xf numFmtId="44" fontId="5" fillId="0" borderId="13" xfId="0" applyNumberFormat="1" applyFont="1" applyBorder="1" applyAlignment="1">
      <alignment wrapText="1"/>
    </xf>
    <xf numFmtId="44" fontId="5" fillId="0" borderId="0" xfId="0" applyNumberFormat="1" applyFont="1" applyAlignment="1">
      <alignment wrapText="1"/>
    </xf>
    <xf numFmtId="2" fontId="3" fillId="4" borderId="9" xfId="0" applyNumberFormat="1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44" fontId="4" fillId="4" borderId="13" xfId="0" applyNumberFormat="1" applyFont="1" applyFill="1" applyBorder="1" applyAlignment="1">
      <alignment horizontal="center" vertical="center" wrapText="1"/>
    </xf>
    <xf numFmtId="0" fontId="6" fillId="4" borderId="0" xfId="0" applyFont="1" applyFill="1" applyAlignment="1">
      <alignment wrapText="1"/>
    </xf>
    <xf numFmtId="0" fontId="5" fillId="4" borderId="0" xfId="0" applyFont="1" applyFill="1" applyAlignment="1">
      <alignment wrapText="1"/>
    </xf>
    <xf numFmtId="44" fontId="5" fillId="0" borderId="10" xfId="1" applyNumberFormat="1" applyFont="1" applyBorder="1" applyAlignment="1">
      <alignment horizontal="center" vertical="center" wrapText="1"/>
    </xf>
    <xf numFmtId="164" fontId="5" fillId="0" borderId="16" xfId="0" applyNumberFormat="1" applyFont="1" applyBorder="1" applyAlignment="1">
      <alignment wrapText="1"/>
    </xf>
    <xf numFmtId="6" fontId="5" fillId="0" borderId="17" xfId="0" applyNumberFormat="1" applyFont="1" applyBorder="1" applyAlignment="1">
      <alignment wrapText="1"/>
    </xf>
    <xf numFmtId="44" fontId="5" fillId="0" borderId="19" xfId="0" applyNumberFormat="1" applyFont="1" applyBorder="1" applyAlignment="1">
      <alignment wrapText="1"/>
    </xf>
    <xf numFmtId="0" fontId="3" fillId="3" borderId="11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44" fontId="5" fillId="0" borderId="5" xfId="0" applyNumberFormat="1" applyFont="1" applyBorder="1" applyAlignment="1">
      <alignment wrapText="1"/>
    </xf>
    <xf numFmtId="44" fontId="5" fillId="0" borderId="31" xfId="0" applyNumberFormat="1" applyFont="1" applyBorder="1" applyAlignment="1">
      <alignment wrapText="1"/>
    </xf>
    <xf numFmtId="44" fontId="5" fillId="0" borderId="9" xfId="0" applyNumberFormat="1" applyFont="1" applyBorder="1" applyAlignment="1">
      <alignment wrapText="1"/>
    </xf>
    <xf numFmtId="44" fontId="5" fillId="0" borderId="16" xfId="0" applyNumberFormat="1" applyFont="1" applyBorder="1" applyAlignment="1">
      <alignment wrapText="1"/>
    </xf>
    <xf numFmtId="44" fontId="5" fillId="0" borderId="17" xfId="0" applyNumberFormat="1" applyFont="1" applyBorder="1" applyAlignment="1">
      <alignment wrapText="1"/>
    </xf>
    <xf numFmtId="2" fontId="3" fillId="3" borderId="9" xfId="0" applyNumberFormat="1" applyFont="1" applyFill="1" applyBorder="1" applyAlignment="1">
      <alignment horizontal="center" vertical="center" wrapText="1"/>
    </xf>
    <xf numFmtId="44" fontId="5" fillId="0" borderId="34" xfId="0" applyNumberFormat="1" applyFont="1" applyBorder="1" applyAlignment="1">
      <alignment wrapText="1"/>
    </xf>
    <xf numFmtId="44" fontId="5" fillId="0" borderId="28" xfId="0" applyNumberFormat="1" applyFont="1" applyBorder="1" applyAlignment="1">
      <alignment wrapText="1"/>
    </xf>
    <xf numFmtId="44" fontId="5" fillId="0" borderId="30" xfId="0" applyNumberFormat="1" applyFont="1" applyBorder="1" applyAlignment="1">
      <alignment wrapText="1"/>
    </xf>
    <xf numFmtId="166" fontId="5" fillId="0" borderId="10" xfId="0" applyNumberFormat="1" applyFont="1" applyBorder="1" applyAlignment="1">
      <alignment horizontal="center" vertical="center" wrapText="1"/>
    </xf>
    <xf numFmtId="166" fontId="4" fillId="0" borderId="12" xfId="0" applyNumberFormat="1" applyFont="1" applyBorder="1" applyAlignment="1">
      <alignment horizontal="center" vertical="center" wrapText="1"/>
    </xf>
    <xf numFmtId="166" fontId="4" fillId="0" borderId="13" xfId="0" applyNumberFormat="1" applyFont="1" applyBorder="1" applyAlignment="1">
      <alignment horizontal="center" vertical="center" wrapText="1"/>
    </xf>
    <xf numFmtId="165" fontId="5" fillId="0" borderId="10" xfId="0" applyNumberFormat="1" applyFont="1" applyBorder="1" applyAlignment="1">
      <alignment horizontal="center" vertical="center" wrapText="1"/>
    </xf>
    <xf numFmtId="165" fontId="4" fillId="0" borderId="12" xfId="0" applyNumberFormat="1" applyFont="1" applyBorder="1" applyAlignment="1">
      <alignment horizontal="center" vertical="center" wrapText="1"/>
    </xf>
    <xf numFmtId="165" fontId="4" fillId="0" borderId="13" xfId="0" applyNumberFormat="1" applyFont="1" applyBorder="1" applyAlignment="1">
      <alignment horizontal="center" vertical="center" wrapText="1"/>
    </xf>
    <xf numFmtId="8" fontId="5" fillId="0" borderId="13" xfId="0" applyNumberFormat="1" applyFont="1" applyBorder="1" applyAlignment="1">
      <alignment wrapText="1"/>
    </xf>
    <xf numFmtId="2" fontId="3" fillId="0" borderId="16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44" fontId="5" fillId="0" borderId="17" xfId="1" applyNumberFormat="1" applyFont="1" applyBorder="1" applyAlignment="1">
      <alignment vertical="center" wrapText="1"/>
    </xf>
    <xf numFmtId="44" fontId="4" fillId="0" borderId="19" xfId="0" applyNumberFormat="1" applyFont="1" applyBorder="1" applyAlignment="1">
      <alignment horizontal="center" vertical="center" wrapText="1"/>
    </xf>
    <xf numFmtId="166" fontId="5" fillId="0" borderId="28" xfId="0" applyNumberFormat="1" applyFont="1" applyBorder="1" applyAlignment="1">
      <alignment horizontal="center" vertical="center" wrapText="1"/>
    </xf>
    <xf numFmtId="166" fontId="4" fillId="0" borderId="29" xfId="0" applyNumberFormat="1" applyFont="1" applyBorder="1" applyAlignment="1">
      <alignment horizontal="center" vertical="center" wrapText="1"/>
    </xf>
    <xf numFmtId="166" fontId="4" fillId="0" borderId="30" xfId="0" applyNumberFormat="1" applyFont="1" applyBorder="1" applyAlignment="1">
      <alignment horizontal="center" vertical="center" wrapText="1"/>
    </xf>
    <xf numFmtId="165" fontId="5" fillId="0" borderId="28" xfId="0" applyNumberFormat="1" applyFont="1" applyBorder="1" applyAlignment="1">
      <alignment horizontal="center" vertical="center" wrapText="1"/>
    </xf>
    <xf numFmtId="165" fontId="4" fillId="0" borderId="29" xfId="0" applyNumberFormat="1" applyFont="1" applyBorder="1" applyAlignment="1">
      <alignment horizontal="center" vertical="center" wrapText="1"/>
    </xf>
    <xf numFmtId="165" fontId="4" fillId="0" borderId="30" xfId="0" applyNumberFormat="1" applyFont="1" applyBorder="1" applyAlignment="1">
      <alignment horizontal="center" vertical="center" wrapText="1"/>
    </xf>
    <xf numFmtId="8" fontId="5" fillId="0" borderId="19" xfId="0" applyNumberFormat="1" applyFont="1" applyBorder="1" applyAlignment="1">
      <alignment wrapText="1"/>
    </xf>
    <xf numFmtId="8" fontId="3" fillId="3" borderId="21" xfId="0" applyNumberFormat="1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44" fontId="0" fillId="0" borderId="10" xfId="1" applyFont="1" applyBorder="1"/>
    <xf numFmtId="44" fontId="0" fillId="0" borderId="10" xfId="0" applyNumberFormat="1" applyBorder="1"/>
    <xf numFmtId="0" fontId="7" fillId="2" borderId="10" xfId="0" applyFont="1" applyFill="1" applyBorder="1" applyAlignment="1">
      <alignment horizontal="center" wrapText="1"/>
    </xf>
    <xf numFmtId="44" fontId="0" fillId="0" borderId="10" xfId="0" applyNumberFormat="1" applyBorder="1" applyAlignment="1">
      <alignment horizontal="center"/>
    </xf>
    <xf numFmtId="0" fontId="2" fillId="0" borderId="0" xfId="0" applyFont="1"/>
    <xf numFmtId="44" fontId="5" fillId="4" borderId="0" xfId="0" applyNumberFormat="1" applyFont="1" applyFill="1" applyAlignment="1">
      <alignment wrapText="1"/>
    </xf>
    <xf numFmtId="0" fontId="5" fillId="7" borderId="0" xfId="0" applyFont="1" applyFill="1" applyAlignment="1">
      <alignment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44" fontId="5" fillId="7" borderId="10" xfId="1" applyNumberFormat="1" applyFont="1" applyFill="1" applyBorder="1" applyAlignment="1">
      <alignment vertical="center" wrapText="1"/>
    </xf>
    <xf numFmtId="44" fontId="4" fillId="7" borderId="12" xfId="0" applyNumberFormat="1" applyFont="1" applyFill="1" applyBorder="1" applyAlignment="1">
      <alignment horizontal="center" vertical="center" wrapText="1"/>
    </xf>
    <xf numFmtId="44" fontId="4" fillId="7" borderId="13" xfId="0" applyNumberFormat="1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vertical="center" wrapText="1"/>
    </xf>
    <xf numFmtId="0" fontId="3" fillId="7" borderId="15" xfId="0" applyFont="1" applyFill="1" applyBorder="1" applyAlignment="1">
      <alignment vertical="center" wrapText="1"/>
    </xf>
    <xf numFmtId="44" fontId="5" fillId="7" borderId="17" xfId="1" applyNumberFormat="1" applyFont="1" applyFill="1" applyBorder="1" applyAlignment="1">
      <alignment vertical="center" wrapText="1"/>
    </xf>
    <xf numFmtId="44" fontId="4" fillId="7" borderId="19" xfId="0" applyNumberFormat="1" applyFont="1" applyFill="1" applyBorder="1" applyAlignment="1">
      <alignment horizontal="center" vertical="center" wrapText="1"/>
    </xf>
    <xf numFmtId="8" fontId="3" fillId="7" borderId="21" xfId="0" applyNumberFormat="1" applyFont="1" applyFill="1" applyBorder="1" applyAlignment="1">
      <alignment horizontal="center" vertical="center" wrapText="1"/>
    </xf>
    <xf numFmtId="0" fontId="5" fillId="8" borderId="0" xfId="0" applyFont="1" applyFill="1" applyAlignment="1">
      <alignment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44" fontId="5" fillId="8" borderId="10" xfId="0" applyNumberFormat="1" applyFont="1" applyFill="1" applyBorder="1" applyAlignment="1">
      <alignment horizontal="center" vertical="center" wrapText="1"/>
    </xf>
    <xf numFmtId="44" fontId="4" fillId="8" borderId="10" xfId="0" applyNumberFormat="1" applyFont="1" applyFill="1" applyBorder="1" applyAlignment="1">
      <alignment horizontal="center" vertical="center" wrapText="1"/>
    </xf>
    <xf numFmtId="44" fontId="5" fillId="8" borderId="10" xfId="0" applyNumberFormat="1" applyFont="1" applyFill="1" applyBorder="1" applyAlignment="1">
      <alignment wrapText="1"/>
    </xf>
    <xf numFmtId="44" fontId="5" fillId="8" borderId="10" xfId="1" applyNumberFormat="1" applyFont="1" applyFill="1" applyBorder="1" applyAlignment="1">
      <alignment horizontal="center" vertical="center" wrapText="1"/>
    </xf>
    <xf numFmtId="44" fontId="4" fillId="8" borderId="12" xfId="0" applyNumberFormat="1" applyFont="1" applyFill="1" applyBorder="1" applyAlignment="1">
      <alignment horizontal="center" vertical="center" wrapText="1"/>
    </xf>
    <xf numFmtId="44" fontId="4" fillId="8" borderId="13" xfId="0" applyNumberFormat="1" applyFont="1" applyFill="1" applyBorder="1" applyAlignment="1">
      <alignment horizontal="center" vertical="center" wrapText="1"/>
    </xf>
    <xf numFmtId="166" fontId="5" fillId="8" borderId="10" xfId="0" applyNumberFormat="1" applyFont="1" applyFill="1" applyBorder="1" applyAlignment="1">
      <alignment horizontal="center" vertical="center" wrapText="1"/>
    </xf>
    <xf numFmtId="166" fontId="4" fillId="8" borderId="12" xfId="0" applyNumberFormat="1" applyFont="1" applyFill="1" applyBorder="1" applyAlignment="1">
      <alignment horizontal="center" vertical="center" wrapText="1"/>
    </xf>
    <xf numFmtId="166" fontId="4" fillId="8" borderId="13" xfId="0" applyNumberFormat="1" applyFont="1" applyFill="1" applyBorder="1" applyAlignment="1">
      <alignment horizontal="center" vertical="center" wrapText="1"/>
    </xf>
    <xf numFmtId="166" fontId="5" fillId="8" borderId="28" xfId="0" applyNumberFormat="1" applyFont="1" applyFill="1" applyBorder="1" applyAlignment="1">
      <alignment horizontal="center" vertical="center" wrapText="1"/>
    </xf>
    <xf numFmtId="166" fontId="4" fillId="8" borderId="29" xfId="0" applyNumberFormat="1" applyFont="1" applyFill="1" applyBorder="1" applyAlignment="1">
      <alignment horizontal="center" vertical="center" wrapText="1"/>
    </xf>
    <xf numFmtId="166" fontId="4" fillId="8" borderId="30" xfId="0" applyNumberFormat="1" applyFont="1" applyFill="1" applyBorder="1" applyAlignment="1">
      <alignment horizontal="center" vertical="center" wrapText="1"/>
    </xf>
    <xf numFmtId="8" fontId="3" fillId="8" borderId="21" xfId="0" applyNumberFormat="1" applyFont="1" applyFill="1" applyBorder="1" applyAlignment="1">
      <alignment horizontal="center" vertical="center" wrapText="1"/>
    </xf>
    <xf numFmtId="0" fontId="5" fillId="9" borderId="0" xfId="0" applyFont="1" applyFill="1" applyAlignment="1">
      <alignment wrapText="1"/>
    </xf>
    <xf numFmtId="0" fontId="3" fillId="9" borderId="3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44" fontId="5" fillId="9" borderId="10" xfId="0" applyNumberFormat="1" applyFont="1" applyFill="1" applyBorder="1" applyAlignment="1">
      <alignment horizontal="center" vertical="center" wrapText="1"/>
    </xf>
    <xf numFmtId="44" fontId="4" fillId="9" borderId="10" xfId="0" applyNumberFormat="1" applyFont="1" applyFill="1" applyBorder="1" applyAlignment="1">
      <alignment horizontal="center" vertical="center" wrapText="1"/>
    </xf>
    <xf numFmtId="44" fontId="5" fillId="9" borderId="10" xfId="0" applyNumberFormat="1" applyFont="1" applyFill="1" applyBorder="1" applyAlignment="1">
      <alignment wrapText="1"/>
    </xf>
    <xf numFmtId="44" fontId="5" fillId="9" borderId="10" xfId="1" applyNumberFormat="1" applyFont="1" applyFill="1" applyBorder="1" applyAlignment="1">
      <alignment horizontal="center" vertical="center" wrapText="1"/>
    </xf>
    <xf numFmtId="164" fontId="5" fillId="9" borderId="10" xfId="0" applyNumberFormat="1" applyFont="1" applyFill="1" applyBorder="1" applyAlignment="1">
      <alignment horizontal="center" vertical="center" wrapText="1"/>
    </xf>
    <xf numFmtId="44" fontId="4" fillId="9" borderId="12" xfId="0" applyNumberFormat="1" applyFont="1" applyFill="1" applyBorder="1" applyAlignment="1">
      <alignment horizontal="center" vertical="center" wrapText="1"/>
    </xf>
    <xf numFmtId="44" fontId="4" fillId="9" borderId="13" xfId="0" applyNumberFormat="1" applyFont="1" applyFill="1" applyBorder="1" applyAlignment="1">
      <alignment horizontal="center" vertical="center" wrapText="1"/>
    </xf>
    <xf numFmtId="165" fontId="5" fillId="9" borderId="10" xfId="0" applyNumberFormat="1" applyFont="1" applyFill="1" applyBorder="1" applyAlignment="1">
      <alignment horizontal="center" vertical="center" wrapText="1"/>
    </xf>
    <xf numFmtId="165" fontId="4" fillId="9" borderId="12" xfId="0" applyNumberFormat="1" applyFont="1" applyFill="1" applyBorder="1" applyAlignment="1">
      <alignment horizontal="center" vertical="center" wrapText="1"/>
    </xf>
    <xf numFmtId="165" fontId="4" fillId="9" borderId="13" xfId="0" applyNumberFormat="1" applyFont="1" applyFill="1" applyBorder="1" applyAlignment="1">
      <alignment horizontal="center" vertical="center" wrapText="1"/>
    </xf>
    <xf numFmtId="165" fontId="5" fillId="9" borderId="28" xfId="0" applyNumberFormat="1" applyFont="1" applyFill="1" applyBorder="1" applyAlignment="1">
      <alignment horizontal="center" vertical="center" wrapText="1"/>
    </xf>
    <xf numFmtId="165" fontId="4" fillId="9" borderId="29" xfId="0" applyNumberFormat="1" applyFont="1" applyFill="1" applyBorder="1" applyAlignment="1">
      <alignment horizontal="center" vertical="center" wrapText="1"/>
    </xf>
    <xf numFmtId="165" fontId="4" fillId="9" borderId="30" xfId="0" applyNumberFormat="1" applyFont="1" applyFill="1" applyBorder="1" applyAlignment="1">
      <alignment horizontal="center" vertical="center" wrapText="1"/>
    </xf>
    <xf numFmtId="8" fontId="3" fillId="9" borderId="21" xfId="0" applyNumberFormat="1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wrapText="1"/>
    </xf>
    <xf numFmtId="0" fontId="7" fillId="9" borderId="10" xfId="0" applyFont="1" applyFill="1" applyBorder="1" applyAlignment="1">
      <alignment horizontal="center" wrapText="1"/>
    </xf>
    <xf numFmtId="0" fontId="3" fillId="11" borderId="3" xfId="0" applyFont="1" applyFill="1" applyBorder="1" applyAlignment="1">
      <alignment horizontal="center" vertical="center" wrapText="1"/>
    </xf>
    <xf numFmtId="44" fontId="4" fillId="11" borderId="10" xfId="0" applyNumberFormat="1" applyFont="1" applyFill="1" applyBorder="1" applyAlignment="1">
      <alignment horizontal="center" vertical="center" wrapText="1"/>
    </xf>
    <xf numFmtId="44" fontId="4" fillId="11" borderId="12" xfId="0" applyNumberFormat="1" applyFont="1" applyFill="1" applyBorder="1" applyAlignment="1">
      <alignment horizontal="center" vertical="center" wrapText="1"/>
    </xf>
    <xf numFmtId="0" fontId="5" fillId="11" borderId="0" xfId="0" applyFont="1" applyFill="1" applyAlignment="1">
      <alignment wrapText="1"/>
    </xf>
    <xf numFmtId="0" fontId="3" fillId="12" borderId="3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44" fontId="4" fillId="12" borderId="10" xfId="0" applyNumberFormat="1" applyFont="1" applyFill="1" applyBorder="1" applyAlignment="1">
      <alignment horizontal="center" vertical="center" wrapText="1"/>
    </xf>
    <xf numFmtId="44" fontId="4" fillId="12" borderId="12" xfId="0" applyNumberFormat="1" applyFont="1" applyFill="1" applyBorder="1" applyAlignment="1">
      <alignment horizontal="center" vertical="center" wrapText="1"/>
    </xf>
    <xf numFmtId="44" fontId="4" fillId="12" borderId="13" xfId="0" applyNumberFormat="1" applyFont="1" applyFill="1" applyBorder="1" applyAlignment="1">
      <alignment horizontal="center" vertical="center" wrapText="1"/>
    </xf>
    <xf numFmtId="166" fontId="4" fillId="12" borderId="13" xfId="0" applyNumberFormat="1" applyFont="1" applyFill="1" applyBorder="1" applyAlignment="1">
      <alignment horizontal="center" vertical="center" wrapText="1"/>
    </xf>
    <xf numFmtId="0" fontId="5" fillId="12" borderId="0" xfId="0" applyFont="1" applyFill="1" applyAlignment="1">
      <alignment wrapText="1"/>
    </xf>
    <xf numFmtId="0" fontId="3" fillId="13" borderId="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44" fontId="5" fillId="13" borderId="10" xfId="1" applyNumberFormat="1" applyFont="1" applyFill="1" applyBorder="1" applyAlignment="1">
      <alignment vertical="center" wrapText="1"/>
    </xf>
    <xf numFmtId="44" fontId="4" fillId="13" borderId="12" xfId="0" applyNumberFormat="1" applyFont="1" applyFill="1" applyBorder="1" applyAlignment="1">
      <alignment horizontal="center" vertical="center" wrapText="1"/>
    </xf>
    <xf numFmtId="44" fontId="4" fillId="13" borderId="13" xfId="0" applyNumberFormat="1" applyFont="1" applyFill="1" applyBorder="1" applyAlignment="1">
      <alignment horizontal="center" vertical="center" wrapText="1"/>
    </xf>
    <xf numFmtId="0" fontId="5" fillId="13" borderId="0" xfId="0" applyFont="1" applyFill="1" applyAlignment="1">
      <alignment wrapText="1"/>
    </xf>
    <xf numFmtId="2" fontId="7" fillId="10" borderId="10" xfId="0" applyNumberFormat="1" applyFont="1" applyFill="1" applyBorder="1" applyAlignment="1">
      <alignment wrapText="1"/>
    </xf>
    <xf numFmtId="2" fontId="5" fillId="0" borderId="0" xfId="0" applyNumberFormat="1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13" borderId="0" xfId="0" applyFont="1" applyFill="1" applyBorder="1" applyAlignment="1">
      <alignment wrapText="1"/>
    </xf>
    <xf numFmtId="0" fontId="6" fillId="0" borderId="0" xfId="0" applyFont="1" applyBorder="1" applyAlignment="1">
      <alignment wrapText="1"/>
    </xf>
    <xf numFmtId="0" fontId="5" fillId="12" borderId="0" xfId="0" applyFont="1" applyFill="1" applyBorder="1" applyAlignment="1">
      <alignment wrapText="1"/>
    </xf>
    <xf numFmtId="0" fontId="5" fillId="11" borderId="0" xfId="0" applyFont="1" applyFill="1" applyBorder="1" applyAlignment="1">
      <alignment wrapText="1"/>
    </xf>
    <xf numFmtId="0" fontId="5" fillId="10" borderId="0" xfId="0" applyFont="1" applyFill="1" applyBorder="1" applyAlignment="1">
      <alignment wrapText="1"/>
    </xf>
    <xf numFmtId="2" fontId="3" fillId="0" borderId="34" xfId="0" applyNumberFormat="1" applyFont="1" applyBorder="1" applyAlignment="1">
      <alignment horizontal="center" vertical="center" wrapText="1"/>
    </xf>
    <xf numFmtId="0" fontId="4" fillId="0" borderId="28" xfId="0" applyFont="1" applyBorder="1" applyAlignment="1">
      <alignment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44" fontId="4" fillId="13" borderId="29" xfId="0" applyNumberFormat="1" applyFont="1" applyFill="1" applyBorder="1" applyAlignment="1">
      <alignment horizontal="center" vertical="center" wrapText="1"/>
    </xf>
    <xf numFmtId="44" fontId="4" fillId="13" borderId="30" xfId="0" applyNumberFormat="1" applyFont="1" applyFill="1" applyBorder="1" applyAlignment="1">
      <alignment horizontal="center" vertical="center" wrapText="1"/>
    </xf>
    <xf numFmtId="44" fontId="4" fillId="12" borderId="29" xfId="0" applyNumberFormat="1" applyFont="1" applyFill="1" applyBorder="1" applyAlignment="1">
      <alignment horizontal="center" vertical="center" wrapText="1"/>
    </xf>
    <xf numFmtId="44" fontId="4" fillId="12" borderId="30" xfId="0" applyNumberFormat="1" applyFont="1" applyFill="1" applyBorder="1" applyAlignment="1">
      <alignment horizontal="center" vertical="center" wrapText="1"/>
    </xf>
    <xf numFmtId="44" fontId="4" fillId="11" borderId="29" xfId="0" applyNumberFormat="1" applyFont="1" applyFill="1" applyBorder="1" applyAlignment="1">
      <alignment horizontal="center" vertical="center" wrapText="1"/>
    </xf>
    <xf numFmtId="2" fontId="7" fillId="10" borderId="28" xfId="0" applyNumberFormat="1" applyFont="1" applyFill="1" applyBorder="1" applyAlignment="1">
      <alignment wrapText="1"/>
    </xf>
    <xf numFmtId="44" fontId="4" fillId="13" borderId="10" xfId="0" applyNumberFormat="1" applyFont="1" applyFill="1" applyBorder="1" applyAlignment="1">
      <alignment horizontal="center" vertical="center" wrapText="1"/>
    </xf>
    <xf numFmtId="166" fontId="4" fillId="12" borderId="10" xfId="0" applyNumberFormat="1" applyFont="1" applyFill="1" applyBorder="1" applyAlignment="1">
      <alignment horizontal="center" vertical="center" wrapText="1"/>
    </xf>
    <xf numFmtId="165" fontId="4" fillId="11" borderId="10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wrapText="1"/>
    </xf>
    <xf numFmtId="0" fontId="7" fillId="0" borderId="22" xfId="0" applyFont="1" applyBorder="1" applyAlignment="1">
      <alignment wrapText="1"/>
    </xf>
    <xf numFmtId="0" fontId="7" fillId="0" borderId="23" xfId="0" applyFont="1" applyBorder="1" applyAlignment="1">
      <alignment wrapText="1"/>
    </xf>
    <xf numFmtId="0" fontId="5" fillId="0" borderId="11" xfId="0" applyFont="1" applyBorder="1" applyAlignment="1">
      <alignment wrapText="1"/>
    </xf>
    <xf numFmtId="0" fontId="3" fillId="12" borderId="2" xfId="0" applyFont="1" applyFill="1" applyBorder="1" applyAlignment="1">
      <alignment horizontal="center" vertical="center" wrapText="1"/>
    </xf>
    <xf numFmtId="44" fontId="5" fillId="12" borderId="9" xfId="0" applyNumberFormat="1" applyFont="1" applyFill="1" applyBorder="1" applyAlignment="1">
      <alignment horizontal="center" vertical="center" wrapText="1"/>
    </xf>
    <xf numFmtId="44" fontId="5" fillId="12" borderId="13" xfId="0" applyNumberFormat="1" applyFont="1" applyFill="1" applyBorder="1" applyAlignment="1">
      <alignment wrapText="1"/>
    </xf>
    <xf numFmtId="44" fontId="5" fillId="12" borderId="9" xfId="1" applyNumberFormat="1" applyFont="1" applyFill="1" applyBorder="1" applyAlignment="1">
      <alignment horizontal="center" vertical="center" wrapText="1"/>
    </xf>
    <xf numFmtId="44" fontId="5" fillId="12" borderId="34" xfId="0" applyNumberFormat="1" applyFont="1" applyFill="1" applyBorder="1" applyAlignment="1">
      <alignment horizontal="center" vertical="center" wrapText="1"/>
    </xf>
    <xf numFmtId="166" fontId="5" fillId="12" borderId="9" xfId="0" applyNumberFormat="1" applyFont="1" applyFill="1" applyBorder="1" applyAlignment="1">
      <alignment horizontal="center" vertical="center" wrapText="1"/>
    </xf>
    <xf numFmtId="0" fontId="5" fillId="0" borderId="14" xfId="0" applyFont="1" applyBorder="1" applyAlignment="1">
      <alignment wrapText="1"/>
    </xf>
    <xf numFmtId="0" fontId="3" fillId="11" borderId="2" xfId="0" applyFont="1" applyFill="1" applyBorder="1" applyAlignment="1">
      <alignment horizontal="center" vertical="center" wrapText="1"/>
    </xf>
    <xf numFmtId="44" fontId="5" fillId="11" borderId="9" xfId="0" applyNumberFormat="1" applyFont="1" applyFill="1" applyBorder="1" applyAlignment="1">
      <alignment horizontal="center" vertical="center" wrapText="1"/>
    </xf>
    <xf numFmtId="44" fontId="5" fillId="11" borderId="9" xfId="1" applyNumberFormat="1" applyFont="1" applyFill="1" applyBorder="1" applyAlignment="1">
      <alignment horizontal="center" vertical="center" wrapText="1"/>
    </xf>
    <xf numFmtId="164" fontId="5" fillId="11" borderId="9" xfId="0" applyNumberFormat="1" applyFont="1" applyFill="1" applyBorder="1" applyAlignment="1">
      <alignment horizontal="center" vertical="center" wrapText="1"/>
    </xf>
    <xf numFmtId="44" fontId="5" fillId="11" borderId="34" xfId="0" applyNumberFormat="1" applyFont="1" applyFill="1" applyBorder="1" applyAlignment="1">
      <alignment horizontal="center" vertical="center" wrapText="1"/>
    </xf>
    <xf numFmtId="165" fontId="5" fillId="11" borderId="9" xfId="0" applyNumberFormat="1" applyFont="1" applyFill="1" applyBorder="1" applyAlignment="1">
      <alignment horizontal="center" vertical="center" wrapText="1"/>
    </xf>
    <xf numFmtId="0" fontId="3" fillId="11" borderId="22" xfId="0" applyFont="1" applyFill="1" applyBorder="1" applyAlignment="1">
      <alignment horizontal="center" vertical="center" wrapText="1"/>
    </xf>
    <xf numFmtId="44" fontId="5" fillId="11" borderId="11" xfId="0" applyNumberFormat="1" applyFont="1" applyFill="1" applyBorder="1" applyAlignment="1">
      <alignment wrapText="1"/>
    </xf>
    <xf numFmtId="44" fontId="4" fillId="11" borderId="11" xfId="0" applyNumberFormat="1" applyFont="1" applyFill="1" applyBorder="1" applyAlignment="1">
      <alignment horizontal="center" vertical="center" wrapText="1"/>
    </xf>
    <xf numFmtId="44" fontId="4" fillId="11" borderId="38" xfId="0" applyNumberFormat="1" applyFont="1" applyFill="1" applyBorder="1" applyAlignment="1">
      <alignment horizontal="center" vertical="center" wrapText="1"/>
    </xf>
    <xf numFmtId="165" fontId="4" fillId="11" borderId="11" xfId="0" applyNumberFormat="1" applyFont="1" applyFill="1" applyBorder="1" applyAlignment="1">
      <alignment horizontal="center" vertical="center" wrapText="1"/>
    </xf>
    <xf numFmtId="0" fontId="7" fillId="9" borderId="9" xfId="0" applyFont="1" applyFill="1" applyBorder="1" applyAlignment="1">
      <alignment wrapText="1"/>
    </xf>
    <xf numFmtId="0" fontId="7" fillId="9" borderId="13" xfId="0" applyFont="1" applyFill="1" applyBorder="1" applyAlignment="1">
      <alignment wrapText="1"/>
    </xf>
    <xf numFmtId="44" fontId="7" fillId="10" borderId="9" xfId="0" applyNumberFormat="1" applyFont="1" applyFill="1" applyBorder="1" applyAlignment="1">
      <alignment wrapText="1"/>
    </xf>
    <xf numFmtId="44" fontId="7" fillId="10" borderId="13" xfId="0" applyNumberFormat="1" applyFont="1" applyFill="1" applyBorder="1" applyAlignment="1">
      <alignment wrapText="1"/>
    </xf>
    <xf numFmtId="44" fontId="7" fillId="10" borderId="34" xfId="0" applyNumberFormat="1" applyFont="1" applyFill="1" applyBorder="1" applyAlignment="1">
      <alignment wrapText="1"/>
    </xf>
    <xf numFmtId="44" fontId="7" fillId="10" borderId="30" xfId="0" applyNumberFormat="1" applyFont="1" applyFill="1" applyBorder="1" applyAlignment="1">
      <alignment wrapText="1"/>
    </xf>
    <xf numFmtId="0" fontId="6" fillId="14" borderId="0" xfId="0" applyFont="1" applyFill="1" applyAlignment="1">
      <alignment wrapText="1"/>
    </xf>
    <xf numFmtId="0" fontId="5" fillId="14" borderId="0" xfId="0" applyFont="1" applyFill="1" applyAlignment="1">
      <alignment wrapText="1"/>
    </xf>
    <xf numFmtId="0" fontId="3" fillId="14" borderId="11" xfId="0" applyFont="1" applyFill="1" applyBorder="1" applyAlignment="1">
      <alignment vertical="center" wrapText="1"/>
    </xf>
    <xf numFmtId="0" fontId="3" fillId="14" borderId="14" xfId="0" applyFont="1" applyFill="1" applyBorder="1" applyAlignment="1">
      <alignment vertical="center" wrapText="1"/>
    </xf>
    <xf numFmtId="0" fontId="3" fillId="14" borderId="15" xfId="0" applyFont="1" applyFill="1" applyBorder="1" applyAlignment="1">
      <alignment vertical="center" wrapText="1"/>
    </xf>
    <xf numFmtId="2" fontId="3" fillId="14" borderId="9" xfId="0" applyNumberFormat="1" applyFont="1" applyFill="1" applyBorder="1" applyAlignment="1">
      <alignment horizontal="center" vertical="center" wrapText="1"/>
    </xf>
    <xf numFmtId="0" fontId="6" fillId="14" borderId="12" xfId="0" applyFont="1" applyFill="1" applyBorder="1" applyAlignment="1">
      <alignment wrapText="1"/>
    </xf>
    <xf numFmtId="0" fontId="5" fillId="14" borderId="11" xfId="0" applyFont="1" applyFill="1" applyBorder="1" applyAlignment="1">
      <alignment wrapText="1"/>
    </xf>
    <xf numFmtId="0" fontId="5" fillId="14" borderId="14" xfId="0" applyFont="1" applyFill="1" applyBorder="1" applyAlignment="1">
      <alignment wrapText="1"/>
    </xf>
    <xf numFmtId="44" fontId="4" fillId="15" borderId="13" xfId="0" applyNumberFormat="1" applyFont="1" applyFill="1" applyBorder="1" applyAlignment="1">
      <alignment horizontal="center" vertical="center" wrapText="1"/>
    </xf>
    <xf numFmtId="44" fontId="5" fillId="15" borderId="13" xfId="0" applyNumberFormat="1" applyFont="1" applyFill="1" applyBorder="1" applyAlignment="1">
      <alignment wrapText="1"/>
    </xf>
    <xf numFmtId="44" fontId="5" fillId="15" borderId="11" xfId="0" applyNumberFormat="1" applyFont="1" applyFill="1" applyBorder="1" applyAlignment="1">
      <alignment wrapText="1"/>
    </xf>
    <xf numFmtId="44" fontId="4" fillId="15" borderId="30" xfId="0" applyNumberFormat="1" applyFont="1" applyFill="1" applyBorder="1" applyAlignment="1">
      <alignment horizontal="center" vertical="center" wrapText="1"/>
    </xf>
    <xf numFmtId="44" fontId="5" fillId="13" borderId="0" xfId="0" applyNumberFormat="1" applyFont="1" applyFill="1" applyBorder="1" applyAlignment="1">
      <alignment wrapText="1"/>
    </xf>
    <xf numFmtId="0" fontId="8" fillId="6" borderId="22" xfId="0" applyFont="1" applyFill="1" applyBorder="1" applyAlignment="1">
      <alignment horizontal="center" wrapText="1"/>
    </xf>
    <xf numFmtId="0" fontId="8" fillId="6" borderId="23" xfId="0" applyFont="1" applyFill="1" applyBorder="1" applyAlignment="1">
      <alignment horizontal="center" wrapText="1"/>
    </xf>
    <xf numFmtId="0" fontId="8" fillId="6" borderId="24" xfId="0" applyFont="1" applyFill="1" applyBorder="1" applyAlignment="1">
      <alignment horizontal="center" wrapText="1"/>
    </xf>
    <xf numFmtId="8" fontId="3" fillId="6" borderId="25" xfId="0" applyNumberFormat="1" applyFont="1" applyFill="1" applyBorder="1" applyAlignment="1">
      <alignment horizontal="center" vertical="center" wrapText="1"/>
    </xf>
    <xf numFmtId="8" fontId="3" fillId="6" borderId="26" xfId="0" applyNumberFormat="1" applyFont="1" applyFill="1" applyBorder="1" applyAlignment="1">
      <alignment horizontal="center" vertical="center" wrapText="1"/>
    </xf>
    <xf numFmtId="8" fontId="3" fillId="6" borderId="3" xfId="0" applyNumberFormat="1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horizontal="center" wrapText="1"/>
    </xf>
    <xf numFmtId="0" fontId="7" fillId="6" borderId="1" xfId="0" applyFont="1" applyFill="1" applyBorder="1" applyAlignment="1">
      <alignment horizontal="center" wrapText="1"/>
    </xf>
    <xf numFmtId="0" fontId="7" fillId="6" borderId="27" xfId="0" applyFont="1" applyFill="1" applyBorder="1" applyAlignment="1">
      <alignment horizontal="center" wrapText="1"/>
    </xf>
    <xf numFmtId="0" fontId="7" fillId="9" borderId="10" xfId="0" applyFont="1" applyFill="1" applyBorder="1" applyAlignment="1">
      <alignment horizontal="center" wrapText="1"/>
    </xf>
    <xf numFmtId="0" fontId="5" fillId="9" borderId="11" xfId="0" applyFont="1" applyFill="1" applyBorder="1" applyAlignment="1">
      <alignment horizontal="center" wrapText="1"/>
    </xf>
    <xf numFmtId="0" fontId="5" fillId="9" borderId="12" xfId="0" applyFont="1" applyFill="1" applyBorder="1" applyAlignment="1">
      <alignment horizontal="center" wrapText="1"/>
    </xf>
    <xf numFmtId="0" fontId="7" fillId="6" borderId="22" xfId="0" applyFont="1" applyFill="1" applyBorder="1" applyAlignment="1">
      <alignment horizontal="center" wrapText="1"/>
    </xf>
    <xf numFmtId="0" fontId="7" fillId="6" borderId="23" xfId="0" applyFont="1" applyFill="1" applyBorder="1" applyAlignment="1">
      <alignment horizontal="center" wrapText="1"/>
    </xf>
    <xf numFmtId="0" fontId="7" fillId="6" borderId="24" xfId="0" applyFont="1" applyFill="1" applyBorder="1" applyAlignment="1">
      <alignment horizontal="center" wrapText="1"/>
    </xf>
    <xf numFmtId="0" fontId="7" fillId="5" borderId="33" xfId="0" applyFont="1" applyFill="1" applyBorder="1" applyAlignment="1">
      <alignment horizontal="center" wrapText="1"/>
    </xf>
    <xf numFmtId="0" fontId="7" fillId="5" borderId="28" xfId="0" applyFont="1" applyFill="1" applyBorder="1" applyAlignment="1">
      <alignment horizontal="center" wrapText="1"/>
    </xf>
    <xf numFmtId="0" fontId="7" fillId="5" borderId="5" xfId="0" applyFont="1" applyFill="1" applyBorder="1" applyAlignment="1">
      <alignment horizontal="center" wrapText="1"/>
    </xf>
    <xf numFmtId="0" fontId="7" fillId="5" borderId="31" xfId="0" applyFont="1" applyFill="1" applyBorder="1" applyAlignment="1">
      <alignment horizontal="center" wrapText="1"/>
    </xf>
    <xf numFmtId="0" fontId="7" fillId="5" borderId="32" xfId="0" applyFont="1" applyFill="1" applyBorder="1" applyAlignment="1">
      <alignment horizontal="center" wrapText="1"/>
    </xf>
    <xf numFmtId="0" fontId="7" fillId="5" borderId="9" xfId="0" applyFont="1" applyFill="1" applyBorder="1" applyAlignment="1">
      <alignment horizontal="center" wrapText="1"/>
    </xf>
    <xf numFmtId="0" fontId="7" fillId="5" borderId="10" xfId="0" applyFont="1" applyFill="1" applyBorder="1" applyAlignment="1">
      <alignment horizontal="center" wrapText="1"/>
    </xf>
    <xf numFmtId="0" fontId="7" fillId="5" borderId="13" xfId="0" applyFont="1" applyFill="1" applyBorder="1" applyAlignment="1">
      <alignment horizontal="center" wrapText="1"/>
    </xf>
    <xf numFmtId="0" fontId="7" fillId="9" borderId="22" xfId="0" applyFont="1" applyFill="1" applyBorder="1" applyAlignment="1">
      <alignment horizontal="center" wrapText="1"/>
    </xf>
    <xf numFmtId="0" fontId="7" fillId="9" borderId="23" xfId="0" applyFont="1" applyFill="1" applyBorder="1" applyAlignment="1">
      <alignment horizontal="center" wrapText="1"/>
    </xf>
    <xf numFmtId="0" fontId="7" fillId="9" borderId="24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7" fillId="7" borderId="22" xfId="0" applyFont="1" applyFill="1" applyBorder="1" applyAlignment="1">
      <alignment horizontal="center" wrapText="1"/>
    </xf>
    <xf numFmtId="0" fontId="7" fillId="7" borderId="23" xfId="0" applyFont="1" applyFill="1" applyBorder="1" applyAlignment="1">
      <alignment horizontal="center" wrapText="1"/>
    </xf>
    <xf numFmtId="0" fontId="7" fillId="7" borderId="24" xfId="0" applyFont="1" applyFill="1" applyBorder="1" applyAlignment="1">
      <alignment horizontal="center" wrapText="1"/>
    </xf>
    <xf numFmtId="0" fontId="7" fillId="8" borderId="10" xfId="0" applyFont="1" applyFill="1" applyBorder="1" applyAlignment="1">
      <alignment horizontal="center" wrapText="1"/>
    </xf>
    <xf numFmtId="0" fontId="5" fillId="8" borderId="11" xfId="0" applyFont="1" applyFill="1" applyBorder="1" applyAlignment="1">
      <alignment horizontal="center" wrapText="1"/>
    </xf>
    <xf numFmtId="0" fontId="5" fillId="8" borderId="12" xfId="0" applyFont="1" applyFill="1" applyBorder="1" applyAlignment="1">
      <alignment horizontal="center" wrapText="1"/>
    </xf>
    <xf numFmtId="0" fontId="7" fillId="8" borderId="22" xfId="0" applyFont="1" applyFill="1" applyBorder="1" applyAlignment="1">
      <alignment horizontal="center" wrapText="1"/>
    </xf>
    <xf numFmtId="0" fontId="7" fillId="8" borderId="23" xfId="0" applyFont="1" applyFill="1" applyBorder="1" applyAlignment="1">
      <alignment horizontal="center" wrapText="1"/>
    </xf>
    <xf numFmtId="0" fontId="7" fillId="8" borderId="24" xfId="0" applyFont="1" applyFill="1" applyBorder="1" applyAlignment="1">
      <alignment horizontal="center" wrapText="1"/>
    </xf>
    <xf numFmtId="0" fontId="7" fillId="5" borderId="22" xfId="0" applyFont="1" applyFill="1" applyBorder="1" applyAlignment="1">
      <alignment horizontal="center" wrapText="1"/>
    </xf>
    <xf numFmtId="0" fontId="7" fillId="5" borderId="23" xfId="0" applyFont="1" applyFill="1" applyBorder="1" applyAlignment="1">
      <alignment horizontal="center" wrapText="1"/>
    </xf>
    <xf numFmtId="0" fontId="7" fillId="5" borderId="24" xfId="0" applyFont="1" applyFill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0" fillId="7" borderId="0" xfId="0" applyFont="1" applyFill="1" applyAlignment="1">
      <alignment horizontal="center" wrapText="1"/>
    </xf>
    <xf numFmtId="0" fontId="0" fillId="7" borderId="45" xfId="0" applyFont="1" applyFill="1" applyBorder="1" applyAlignment="1">
      <alignment horizontal="center" wrapText="1"/>
    </xf>
    <xf numFmtId="44" fontId="3" fillId="13" borderId="30" xfId="0" applyNumberFormat="1" applyFont="1" applyFill="1" applyBorder="1" applyAlignment="1">
      <alignment horizontal="center" vertical="center" wrapText="1"/>
    </xf>
    <xf numFmtId="8" fontId="3" fillId="13" borderId="42" xfId="0" applyNumberFormat="1" applyFont="1" applyFill="1" applyBorder="1" applyAlignment="1">
      <alignment horizontal="center" vertical="center" wrapText="1"/>
    </xf>
    <xf numFmtId="8" fontId="3" fillId="13" borderId="21" xfId="0" applyNumberFormat="1" applyFont="1" applyFill="1" applyBorder="1" applyAlignment="1">
      <alignment horizontal="center" vertical="center" wrapText="1"/>
    </xf>
    <xf numFmtId="0" fontId="7" fillId="14" borderId="9" xfId="0" applyFont="1" applyFill="1" applyBorder="1" applyAlignment="1">
      <alignment horizontal="center" wrapText="1"/>
    </xf>
    <xf numFmtId="0" fontId="7" fillId="14" borderId="10" xfId="0" applyFont="1" applyFill="1" applyBorder="1" applyAlignment="1">
      <alignment horizontal="center" wrapText="1"/>
    </xf>
    <xf numFmtId="0" fontId="7" fillId="14" borderId="13" xfId="0" applyFont="1" applyFill="1" applyBorder="1" applyAlignment="1">
      <alignment horizontal="center" wrapText="1"/>
    </xf>
    <xf numFmtId="0" fontId="7" fillId="14" borderId="11" xfId="0" applyFont="1" applyFill="1" applyBorder="1" applyAlignment="1">
      <alignment horizontal="center" wrapText="1"/>
    </xf>
    <xf numFmtId="0" fontId="7" fillId="13" borderId="22" xfId="0" applyFont="1" applyFill="1" applyBorder="1" applyAlignment="1">
      <alignment horizontal="center" wrapText="1"/>
    </xf>
    <xf numFmtId="0" fontId="7" fillId="13" borderId="23" xfId="0" applyFont="1" applyFill="1" applyBorder="1" applyAlignment="1">
      <alignment horizontal="center" wrapText="1"/>
    </xf>
    <xf numFmtId="0" fontId="7" fillId="13" borderId="24" xfId="0" applyFont="1" applyFill="1" applyBorder="1" applyAlignment="1">
      <alignment horizontal="center" wrapText="1"/>
    </xf>
    <xf numFmtId="0" fontId="7" fillId="12" borderId="22" xfId="0" applyFont="1" applyFill="1" applyBorder="1" applyAlignment="1">
      <alignment horizontal="center" wrapText="1"/>
    </xf>
    <xf numFmtId="0" fontId="7" fillId="12" borderId="23" xfId="0" applyFont="1" applyFill="1" applyBorder="1" applyAlignment="1">
      <alignment horizontal="center" wrapText="1"/>
    </xf>
    <xf numFmtId="0" fontId="7" fillId="12" borderId="24" xfId="0" applyFont="1" applyFill="1" applyBorder="1" applyAlignment="1">
      <alignment horizontal="center" wrapText="1"/>
    </xf>
    <xf numFmtId="0" fontId="7" fillId="11" borderId="22" xfId="0" applyFont="1" applyFill="1" applyBorder="1" applyAlignment="1">
      <alignment horizontal="center" wrapText="1"/>
    </xf>
    <xf numFmtId="0" fontId="7" fillId="11" borderId="23" xfId="0" applyFont="1" applyFill="1" applyBorder="1" applyAlignment="1">
      <alignment horizontal="center" wrapText="1"/>
    </xf>
    <xf numFmtId="0" fontId="3" fillId="14" borderId="6" xfId="0" applyFont="1" applyFill="1" applyBorder="1" applyAlignment="1">
      <alignment horizontal="center" vertical="center" wrapText="1"/>
    </xf>
    <xf numFmtId="0" fontId="3" fillId="14" borderId="7" xfId="0" applyFont="1" applyFill="1" applyBorder="1" applyAlignment="1">
      <alignment horizontal="center" vertical="center" wrapText="1"/>
    </xf>
    <xf numFmtId="0" fontId="3" fillId="14" borderId="8" xfId="0" applyFont="1" applyFill="1" applyBorder="1" applyAlignment="1">
      <alignment horizontal="center" vertical="center" wrapText="1"/>
    </xf>
    <xf numFmtId="0" fontId="3" fillId="14" borderId="40" xfId="0" applyFont="1" applyFill="1" applyBorder="1" applyAlignment="1">
      <alignment horizontal="center" vertical="center" wrapText="1"/>
    </xf>
    <xf numFmtId="0" fontId="3" fillId="14" borderId="36" xfId="0" applyFont="1" applyFill="1" applyBorder="1" applyAlignment="1">
      <alignment horizontal="center" vertical="center" wrapText="1"/>
    </xf>
    <xf numFmtId="0" fontId="3" fillId="14" borderId="29" xfId="0" applyFont="1" applyFill="1" applyBorder="1" applyAlignment="1">
      <alignment horizontal="center" vertical="center" wrapText="1"/>
    </xf>
    <xf numFmtId="0" fontId="3" fillId="14" borderId="41" xfId="0" applyFont="1" applyFill="1" applyBorder="1" applyAlignment="1">
      <alignment horizontal="center" vertical="center" wrapText="1"/>
    </xf>
    <xf numFmtId="0" fontId="3" fillId="14" borderId="0" xfId="0" applyFont="1" applyFill="1" applyBorder="1" applyAlignment="1">
      <alignment horizontal="center" vertical="center" wrapText="1"/>
    </xf>
    <xf numFmtId="0" fontId="3" fillId="14" borderId="35" xfId="0" applyFont="1" applyFill="1" applyBorder="1" applyAlignment="1">
      <alignment horizontal="center" vertical="center" wrapText="1"/>
    </xf>
    <xf numFmtId="0" fontId="3" fillId="14" borderId="20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3" fillId="14" borderId="43" xfId="0" applyFont="1" applyFill="1" applyBorder="1" applyAlignment="1">
      <alignment horizontal="center" vertical="center" wrapText="1"/>
    </xf>
    <xf numFmtId="8" fontId="3" fillId="13" borderId="30" xfId="0" applyNumberFormat="1" applyFont="1" applyFill="1" applyBorder="1" applyAlignment="1">
      <alignment horizontal="center" vertical="center" wrapText="1"/>
    </xf>
    <xf numFmtId="0" fontId="7" fillId="9" borderId="5" xfId="0" applyFont="1" applyFill="1" applyBorder="1" applyAlignment="1">
      <alignment horizontal="center" wrapText="1"/>
    </xf>
    <xf numFmtId="0" fontId="7" fillId="9" borderId="31" xfId="0" applyFont="1" applyFill="1" applyBorder="1" applyAlignment="1">
      <alignment horizontal="center" wrapText="1"/>
    </xf>
    <xf numFmtId="0" fontId="7" fillId="9" borderId="32" xfId="0" applyFont="1" applyFill="1" applyBorder="1" applyAlignment="1">
      <alignment horizontal="center" wrapText="1"/>
    </xf>
    <xf numFmtId="0" fontId="7" fillId="9" borderId="9" xfId="0" applyFont="1" applyFill="1" applyBorder="1" applyAlignment="1">
      <alignment horizontal="center" wrapText="1"/>
    </xf>
    <xf numFmtId="0" fontId="7" fillId="9" borderId="13" xfId="0" applyFont="1" applyFill="1" applyBorder="1" applyAlignment="1">
      <alignment horizontal="center" wrapText="1"/>
    </xf>
    <xf numFmtId="2" fontId="7" fillId="14" borderId="44" xfId="0" applyNumberFormat="1" applyFont="1" applyFill="1" applyBorder="1" applyAlignment="1">
      <alignment horizontal="center" wrapText="1"/>
    </xf>
    <xf numFmtId="2" fontId="7" fillId="14" borderId="14" xfId="0" applyNumberFormat="1" applyFont="1" applyFill="1" applyBorder="1" applyAlignment="1">
      <alignment horizontal="center" wrapText="1"/>
    </xf>
    <xf numFmtId="2" fontId="7" fillId="14" borderId="15" xfId="0" applyNumberFormat="1" applyFont="1" applyFill="1" applyBorder="1" applyAlignment="1">
      <alignment horizontal="center" wrapText="1"/>
    </xf>
    <xf numFmtId="0" fontId="7" fillId="14" borderId="9" xfId="0" applyFont="1" applyFill="1" applyBorder="1" applyAlignment="1">
      <alignment horizontal="center" vertical="center" wrapText="1"/>
    </xf>
    <xf numFmtId="0" fontId="7" fillId="14" borderId="10" xfId="0" applyFont="1" applyFill="1" applyBorder="1" applyAlignment="1">
      <alignment horizontal="center" vertical="center" wrapText="1"/>
    </xf>
    <xf numFmtId="0" fontId="7" fillId="14" borderId="16" xfId="0" applyFont="1" applyFill="1" applyBorder="1" applyAlignment="1">
      <alignment horizontal="center" vertical="center" wrapText="1"/>
    </xf>
    <xf numFmtId="0" fontId="7" fillId="14" borderId="17" xfId="0" applyFont="1" applyFill="1" applyBorder="1" applyAlignment="1">
      <alignment horizontal="center" vertical="center" wrapText="1"/>
    </xf>
    <xf numFmtId="44" fontId="7" fillId="10" borderId="13" xfId="0" applyNumberFormat="1" applyFont="1" applyFill="1" applyBorder="1" applyAlignment="1">
      <alignment horizontal="center" vertical="center" wrapText="1"/>
    </xf>
    <xf numFmtId="44" fontId="7" fillId="10" borderId="19" xfId="0" applyNumberFormat="1" applyFont="1" applyFill="1" applyBorder="1" applyAlignment="1">
      <alignment horizontal="center" vertical="center" wrapText="1"/>
    </xf>
    <xf numFmtId="0" fontId="5" fillId="14" borderId="40" xfId="0" applyFont="1" applyFill="1" applyBorder="1" applyAlignment="1">
      <alignment horizontal="center" vertical="center" wrapText="1"/>
    </xf>
    <xf numFmtId="0" fontId="5" fillId="14" borderId="29" xfId="0" applyFont="1" applyFill="1" applyBorder="1" applyAlignment="1">
      <alignment horizontal="center" vertical="center" wrapText="1"/>
    </xf>
    <xf numFmtId="0" fontId="5" fillId="14" borderId="41" xfId="0" applyFont="1" applyFill="1" applyBorder="1" applyAlignment="1">
      <alignment horizontal="center" vertical="center" wrapText="1"/>
    </xf>
    <xf numFmtId="0" fontId="5" fillId="14" borderId="35" xfId="0" applyFont="1" applyFill="1" applyBorder="1" applyAlignment="1">
      <alignment horizontal="center" vertical="center" wrapText="1"/>
    </xf>
    <xf numFmtId="0" fontId="5" fillId="14" borderId="20" xfId="0" applyFont="1" applyFill="1" applyBorder="1" applyAlignment="1">
      <alignment horizontal="center" vertical="center" wrapText="1"/>
    </xf>
    <xf numFmtId="0" fontId="5" fillId="14" borderId="43" xfId="0" applyFont="1" applyFill="1" applyBorder="1" applyAlignment="1">
      <alignment horizontal="center" vertical="center" wrapText="1"/>
    </xf>
    <xf numFmtId="8" fontId="3" fillId="11" borderId="38" xfId="0" applyNumberFormat="1" applyFont="1" applyFill="1" applyBorder="1" applyAlignment="1">
      <alignment horizontal="center" vertical="center" wrapText="1"/>
    </xf>
    <xf numFmtId="8" fontId="3" fillId="11" borderId="39" xfId="0" applyNumberFormat="1" applyFont="1" applyFill="1" applyBorder="1" applyAlignment="1">
      <alignment horizontal="center" vertical="center" wrapText="1"/>
    </xf>
    <xf numFmtId="8" fontId="3" fillId="11" borderId="37" xfId="0" applyNumberFormat="1" applyFont="1" applyFill="1" applyBorder="1" applyAlignment="1">
      <alignment horizontal="center" vertical="center" wrapText="1"/>
    </xf>
    <xf numFmtId="8" fontId="3" fillId="12" borderId="30" xfId="0" applyNumberFormat="1" applyFont="1" applyFill="1" applyBorder="1" applyAlignment="1">
      <alignment horizontal="center" vertical="center" wrapText="1"/>
    </xf>
    <xf numFmtId="8" fontId="3" fillId="12" borderId="42" xfId="0" applyNumberFormat="1" applyFont="1" applyFill="1" applyBorder="1" applyAlignment="1">
      <alignment horizontal="center" vertical="center" wrapText="1"/>
    </xf>
    <xf numFmtId="8" fontId="3" fillId="12" borderId="21" xfId="0" applyNumberFormat="1" applyFont="1" applyFill="1" applyBorder="1" applyAlignment="1">
      <alignment horizontal="center" vertical="center" wrapText="1"/>
    </xf>
    <xf numFmtId="0" fontId="3" fillId="14" borderId="11" xfId="0" applyFont="1" applyFill="1" applyBorder="1" applyAlignment="1">
      <alignment horizontal="center" vertical="center" wrapText="1"/>
    </xf>
    <xf numFmtId="0" fontId="3" fillId="14" borderId="14" xfId="0" applyFont="1" applyFill="1" applyBorder="1" applyAlignment="1">
      <alignment horizontal="center" vertical="center" wrapText="1"/>
    </xf>
    <xf numFmtId="0" fontId="3" fillId="14" borderId="15" xfId="0" applyFont="1" applyFill="1" applyBorder="1" applyAlignment="1">
      <alignment horizontal="center" vertical="center" wrapText="1"/>
    </xf>
    <xf numFmtId="2" fontId="7" fillId="14" borderId="9" xfId="0" applyNumberFormat="1" applyFont="1" applyFill="1" applyBorder="1" applyAlignment="1">
      <alignment horizontal="center" wrapText="1"/>
    </xf>
    <xf numFmtId="2" fontId="7" fillId="14" borderId="10" xfId="0" applyNumberFormat="1" applyFont="1" applyFill="1" applyBorder="1" applyAlignment="1">
      <alignment horizontal="center" wrapText="1"/>
    </xf>
    <xf numFmtId="2" fontId="7" fillId="14" borderId="13" xfId="0" applyNumberFormat="1" applyFont="1" applyFill="1" applyBorder="1" applyAlignment="1">
      <alignment horizontal="center" wrapText="1"/>
    </xf>
    <xf numFmtId="0" fontId="2" fillId="9" borderId="0" xfId="0" applyFont="1" applyFill="1" applyBorder="1" applyAlignment="1">
      <alignment horizontal="center" wrapText="1"/>
    </xf>
    <xf numFmtId="0" fontId="2" fillId="9" borderId="45" xfId="0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0C102-6770-4111-A314-413649A9F893}">
  <dimension ref="A1:X76"/>
  <sheetViews>
    <sheetView view="pageBreakPreview" topLeftCell="F1" zoomScaleNormal="80" zoomScaleSheetLayoutView="100" workbookViewId="0">
      <selection activeCell="X76" sqref="X76"/>
    </sheetView>
  </sheetViews>
  <sheetFormatPr baseColWidth="10" defaultColWidth="11.42578125" defaultRowHeight="11.25" x14ac:dyDescent="0.2"/>
  <cols>
    <col min="1" max="1" width="7.140625" style="6" customWidth="1"/>
    <col min="2" max="2" width="7.5703125" style="5" hidden="1" customWidth="1"/>
    <col min="3" max="3" width="10.140625" style="5" hidden="1" customWidth="1"/>
    <col min="4" max="4" width="12.28515625" style="5" hidden="1" customWidth="1"/>
    <col min="5" max="7" width="12.28515625" style="81" customWidth="1"/>
    <col min="8" max="8" width="12.28515625" style="7" hidden="1" customWidth="1"/>
    <col min="9" max="9" width="12.28515625" style="5" hidden="1" customWidth="1"/>
    <col min="10" max="12" width="12.28515625" style="92" customWidth="1"/>
    <col min="13" max="13" width="12.28515625" style="5" hidden="1" customWidth="1"/>
    <col min="14" max="16" width="12.28515625" style="108" customWidth="1"/>
    <col min="17" max="17" width="12.28515625" style="5" hidden="1" customWidth="1"/>
    <col min="18" max="18" width="12.28515625" style="5" customWidth="1"/>
    <col min="19" max="19" width="20" style="5" customWidth="1"/>
    <col min="20" max="20" width="16.5703125" style="5" customWidth="1"/>
    <col min="21" max="21" width="0" style="5" hidden="1" customWidth="1"/>
    <col min="22" max="22" width="11.7109375" style="5" bestFit="1" customWidth="1"/>
    <col min="23" max="23" width="11.42578125" style="5"/>
    <col min="24" max="24" width="12.5703125" style="5" bestFit="1" customWidth="1"/>
    <col min="25" max="16384" width="11.42578125" style="5"/>
  </cols>
  <sheetData>
    <row r="1" spans="1:24" ht="30" customHeight="1" thickBot="1" x14ac:dyDescent="0.25">
      <c r="R1" s="219" t="s">
        <v>87</v>
      </c>
      <c r="S1" s="220"/>
      <c r="T1" s="221"/>
    </row>
    <row r="2" spans="1:24" ht="36" customHeight="1" thickBot="1" x14ac:dyDescent="0.25">
      <c r="A2" s="8"/>
      <c r="B2" s="8"/>
      <c r="C2" s="8"/>
      <c r="D2" s="8"/>
      <c r="E2" s="238" t="s">
        <v>84</v>
      </c>
      <c r="F2" s="239"/>
      <c r="G2" s="240"/>
      <c r="J2" s="244" t="s">
        <v>85</v>
      </c>
      <c r="K2" s="245"/>
      <c r="L2" s="246"/>
      <c r="N2" s="230" t="s">
        <v>86</v>
      </c>
      <c r="O2" s="231"/>
      <c r="P2" s="232"/>
      <c r="R2" s="207" t="str">
        <f>+E2</f>
        <v>SOINCO</v>
      </c>
      <c r="S2" s="208"/>
      <c r="T2" s="209"/>
    </row>
    <row r="3" spans="1:24" ht="34.5" thickBot="1" x14ac:dyDescent="0.25">
      <c r="A3" s="9" t="s">
        <v>0</v>
      </c>
      <c r="B3" s="1" t="s">
        <v>1</v>
      </c>
      <c r="C3" s="1" t="s">
        <v>2</v>
      </c>
      <c r="D3" s="1" t="s">
        <v>3</v>
      </c>
      <c r="E3" s="82" t="s">
        <v>4</v>
      </c>
      <c r="F3" s="82" t="s">
        <v>5</v>
      </c>
      <c r="G3" s="83" t="s">
        <v>6</v>
      </c>
      <c r="J3" s="93" t="str">
        <f>+E3</f>
        <v>VALOR UNITARIO SIN IVA</v>
      </c>
      <c r="K3" s="93" t="str">
        <f>+F3</f>
        <v xml:space="preserve"> IVA 19% </v>
      </c>
      <c r="L3" s="94" t="str">
        <f>+G3</f>
        <v>VALOR TOTAL</v>
      </c>
      <c r="N3" s="109" t="str">
        <f>+J3</f>
        <v>VALOR UNITARIO SIN IVA</v>
      </c>
      <c r="O3" s="109" t="str">
        <f>+J3</f>
        <v>VALOR UNITARIO SIN IVA</v>
      </c>
      <c r="P3" s="110" t="str">
        <f>+K3</f>
        <v xml:space="preserve"> IVA 19% </v>
      </c>
      <c r="R3" s="11" t="str">
        <f>+N3</f>
        <v>VALOR UNITARIO SIN IVA</v>
      </c>
      <c r="S3" s="11" t="str">
        <f>+O3</f>
        <v>VALOR UNITARIO SIN IVA</v>
      </c>
      <c r="T3" s="11" t="str">
        <f>+P3</f>
        <v xml:space="preserve"> IVA 19% </v>
      </c>
    </row>
    <row r="4" spans="1:24" ht="12" thickBot="1" x14ac:dyDescent="0.25">
      <c r="A4" s="12"/>
      <c r="B4" s="233" t="s">
        <v>7</v>
      </c>
      <c r="C4" s="234"/>
      <c r="D4" s="234"/>
      <c r="E4" s="234"/>
      <c r="F4" s="234"/>
      <c r="G4" s="235"/>
      <c r="J4" s="241" t="str">
        <f>+B4</f>
        <v>ENSAYOS EN SUELO</v>
      </c>
      <c r="K4" s="241"/>
      <c r="L4" s="241"/>
      <c r="N4" s="216" t="str">
        <f>+J4</f>
        <v>ENSAYOS EN SUELO</v>
      </c>
      <c r="O4" s="216"/>
      <c r="P4" s="216"/>
      <c r="R4" s="222" t="str">
        <f>+N4</f>
        <v>ENSAYOS EN SUELO</v>
      </c>
      <c r="S4" s="222"/>
      <c r="T4" s="222"/>
    </row>
    <row r="5" spans="1:24" ht="33.75" x14ac:dyDescent="0.2">
      <c r="A5" s="13">
        <v>1</v>
      </c>
      <c r="B5" s="2" t="s">
        <v>8</v>
      </c>
      <c r="C5" s="14">
        <v>1</v>
      </c>
      <c r="D5" s="15" t="s">
        <v>9</v>
      </c>
      <c r="E5" s="84">
        <f>+ROUND((H5/1.19),0)</f>
        <v>8697</v>
      </c>
      <c r="F5" s="85">
        <f>+ROUND(E5*0.19,0)</f>
        <v>1652</v>
      </c>
      <c r="G5" s="86">
        <f>+F5+E5</f>
        <v>10349</v>
      </c>
      <c r="H5" s="7">
        <v>10350</v>
      </c>
      <c r="J5" s="95">
        <v>12000</v>
      </c>
      <c r="K5" s="96">
        <f>ROUND(+J5*0.19,0)</f>
        <v>2280</v>
      </c>
      <c r="L5" s="97">
        <f>+K5+J5</f>
        <v>14280</v>
      </c>
      <c r="N5" s="111">
        <v>12500</v>
      </c>
      <c r="O5" s="112">
        <f>+ROUND(N5*0.19,0)</f>
        <v>2375</v>
      </c>
      <c r="P5" s="113">
        <f>+O5+N5</f>
        <v>14875</v>
      </c>
      <c r="R5" s="22">
        <f>+E5</f>
        <v>8697</v>
      </c>
      <c r="S5" s="23">
        <f>+F5</f>
        <v>1652</v>
      </c>
      <c r="T5" s="24">
        <f>+S5+R5</f>
        <v>10349</v>
      </c>
      <c r="V5" s="28">
        <f>+E5</f>
        <v>8697</v>
      </c>
      <c r="W5" s="6">
        <f>ROUND(V5*0.19,)</f>
        <v>1652</v>
      </c>
      <c r="X5" s="28">
        <f>+W5+V5</f>
        <v>10349</v>
      </c>
    </row>
    <row r="6" spans="1:24" ht="24.75" customHeight="1" x14ac:dyDescent="0.2">
      <c r="A6" s="13">
        <f>+A5+1</f>
        <v>2</v>
      </c>
      <c r="B6" s="2" t="s">
        <v>10</v>
      </c>
      <c r="C6" s="14">
        <v>1</v>
      </c>
      <c r="D6" s="15" t="s">
        <v>9</v>
      </c>
      <c r="E6" s="84">
        <f t="shared" ref="E6:E66" si="0">+ROUND((H6/1.19),0)</f>
        <v>36881</v>
      </c>
      <c r="F6" s="85">
        <f t="shared" ref="F6:F28" si="1">+ROUND(E6*0.19,0)</f>
        <v>7007</v>
      </c>
      <c r="G6" s="86">
        <f t="shared" ref="G6:G66" si="2">+F6+E6</f>
        <v>43888</v>
      </c>
      <c r="H6" s="7">
        <v>43888</v>
      </c>
      <c r="J6" s="95">
        <v>45000</v>
      </c>
      <c r="K6" s="96">
        <f t="shared" ref="K6:K28" si="3">ROUND(+J6*0.19,0)</f>
        <v>8550</v>
      </c>
      <c r="L6" s="97">
        <f t="shared" ref="L6:L55" si="4">+K6+J6</f>
        <v>53550</v>
      </c>
      <c r="N6" s="111">
        <v>45000</v>
      </c>
      <c r="O6" s="112">
        <f t="shared" ref="O6:O28" si="5">+ROUND(N6*0.19,0)</f>
        <v>8550</v>
      </c>
      <c r="P6" s="113">
        <f t="shared" ref="P6:P28" si="6">+O6+N6</f>
        <v>53550</v>
      </c>
      <c r="R6" s="25">
        <f t="shared" ref="R6:R28" si="7">+E6</f>
        <v>36881</v>
      </c>
      <c r="S6" s="26">
        <f t="shared" ref="S6:S28" si="8">+F6</f>
        <v>7007</v>
      </c>
      <c r="T6" s="27">
        <f t="shared" ref="T6:T28" si="9">+S6+R6</f>
        <v>43888</v>
      </c>
      <c r="V6" s="28">
        <f>+E6</f>
        <v>36881</v>
      </c>
      <c r="W6" s="6">
        <f t="shared" ref="W6:W69" si="10">ROUND(V6*0.19,)</f>
        <v>7007</v>
      </c>
      <c r="X6" s="28">
        <f t="shared" ref="X6:X69" si="11">+W6+V6</f>
        <v>43888</v>
      </c>
    </row>
    <row r="7" spans="1:24" ht="33" customHeight="1" x14ac:dyDescent="0.2">
      <c r="A7" s="13">
        <f t="shared" ref="A7:A28" si="12">+A6+1</f>
        <v>3</v>
      </c>
      <c r="B7" s="2" t="s">
        <v>11</v>
      </c>
      <c r="C7" s="14">
        <v>1</v>
      </c>
      <c r="D7" s="15" t="s">
        <v>9</v>
      </c>
      <c r="E7" s="84">
        <f t="shared" si="0"/>
        <v>40031</v>
      </c>
      <c r="F7" s="85">
        <f t="shared" si="1"/>
        <v>7606</v>
      </c>
      <c r="G7" s="86">
        <f t="shared" si="2"/>
        <v>47637</v>
      </c>
      <c r="H7" s="7">
        <v>47637</v>
      </c>
      <c r="J7" s="95">
        <v>40000</v>
      </c>
      <c r="K7" s="96">
        <f t="shared" si="3"/>
        <v>7600</v>
      </c>
      <c r="L7" s="97">
        <f t="shared" si="4"/>
        <v>47600</v>
      </c>
      <c r="N7" s="111">
        <v>40031</v>
      </c>
      <c r="O7" s="112">
        <f t="shared" si="5"/>
        <v>7606</v>
      </c>
      <c r="P7" s="113">
        <f t="shared" si="6"/>
        <v>47637</v>
      </c>
      <c r="R7" s="25">
        <f t="shared" si="7"/>
        <v>40031</v>
      </c>
      <c r="S7" s="26">
        <f t="shared" si="8"/>
        <v>7606</v>
      </c>
      <c r="T7" s="27">
        <f t="shared" si="9"/>
        <v>47637</v>
      </c>
      <c r="U7" s="28">
        <f>+ROUND(E5,0)</f>
        <v>8697</v>
      </c>
      <c r="V7" s="28">
        <f>+J7</f>
        <v>40000</v>
      </c>
      <c r="W7" s="6">
        <f t="shared" si="10"/>
        <v>7600</v>
      </c>
      <c r="X7" s="28">
        <f t="shared" si="11"/>
        <v>47600</v>
      </c>
    </row>
    <row r="8" spans="1:24" ht="24" customHeight="1" x14ac:dyDescent="0.2">
      <c r="A8" s="13">
        <f t="shared" si="12"/>
        <v>4</v>
      </c>
      <c r="B8" s="2" t="s">
        <v>12</v>
      </c>
      <c r="C8" s="14">
        <v>1</v>
      </c>
      <c r="D8" s="15" t="s">
        <v>9</v>
      </c>
      <c r="E8" s="84">
        <f t="shared" si="0"/>
        <v>35385</v>
      </c>
      <c r="F8" s="85">
        <f t="shared" si="1"/>
        <v>6723</v>
      </c>
      <c r="G8" s="86">
        <f t="shared" si="2"/>
        <v>42108</v>
      </c>
      <c r="H8" s="7">
        <v>42108</v>
      </c>
      <c r="J8" s="95">
        <v>38000</v>
      </c>
      <c r="K8" s="96">
        <f t="shared" si="3"/>
        <v>7220</v>
      </c>
      <c r="L8" s="97">
        <f t="shared" si="4"/>
        <v>45220</v>
      </c>
      <c r="N8" s="111">
        <v>40000</v>
      </c>
      <c r="O8" s="112">
        <f t="shared" si="5"/>
        <v>7600</v>
      </c>
      <c r="P8" s="113">
        <f t="shared" si="6"/>
        <v>47600</v>
      </c>
      <c r="R8" s="25">
        <f t="shared" si="7"/>
        <v>35385</v>
      </c>
      <c r="S8" s="26">
        <f t="shared" si="8"/>
        <v>6723</v>
      </c>
      <c r="T8" s="27">
        <f t="shared" si="9"/>
        <v>42108</v>
      </c>
      <c r="V8" s="28">
        <f t="shared" ref="V8:V23" si="13">+E8</f>
        <v>35385</v>
      </c>
      <c r="W8" s="6">
        <f t="shared" si="10"/>
        <v>6723</v>
      </c>
      <c r="X8" s="28">
        <f t="shared" si="11"/>
        <v>42108</v>
      </c>
    </row>
    <row r="9" spans="1:24" ht="28.5" customHeight="1" x14ac:dyDescent="0.2">
      <c r="A9" s="13">
        <f t="shared" si="12"/>
        <v>5</v>
      </c>
      <c r="B9" s="2" t="s">
        <v>13</v>
      </c>
      <c r="C9" s="14">
        <v>1</v>
      </c>
      <c r="D9" s="15" t="s">
        <v>9</v>
      </c>
      <c r="E9" s="84">
        <f t="shared" si="0"/>
        <v>45465</v>
      </c>
      <c r="F9" s="85">
        <f t="shared" si="1"/>
        <v>8638</v>
      </c>
      <c r="G9" s="86">
        <f t="shared" si="2"/>
        <v>54103</v>
      </c>
      <c r="H9" s="7">
        <v>54103</v>
      </c>
      <c r="J9" s="95">
        <v>52000</v>
      </c>
      <c r="K9" s="96">
        <f t="shared" si="3"/>
        <v>9880</v>
      </c>
      <c r="L9" s="97">
        <f t="shared" si="4"/>
        <v>61880</v>
      </c>
      <c r="N9" s="111">
        <v>55000</v>
      </c>
      <c r="O9" s="112">
        <f t="shared" si="5"/>
        <v>10450</v>
      </c>
      <c r="P9" s="113">
        <f t="shared" si="6"/>
        <v>65450</v>
      </c>
      <c r="R9" s="25">
        <f t="shared" si="7"/>
        <v>45465</v>
      </c>
      <c r="S9" s="26">
        <f t="shared" si="8"/>
        <v>8638</v>
      </c>
      <c r="T9" s="27">
        <f t="shared" si="9"/>
        <v>54103</v>
      </c>
      <c r="V9" s="28">
        <f t="shared" si="13"/>
        <v>45465</v>
      </c>
      <c r="W9" s="6">
        <f t="shared" si="10"/>
        <v>8638</v>
      </c>
      <c r="X9" s="28">
        <f t="shared" si="11"/>
        <v>54103</v>
      </c>
    </row>
    <row r="10" spans="1:24" ht="42" customHeight="1" x14ac:dyDescent="0.2">
      <c r="A10" s="13">
        <f t="shared" si="12"/>
        <v>6</v>
      </c>
      <c r="B10" s="2" t="s">
        <v>14</v>
      </c>
      <c r="C10" s="14">
        <v>1</v>
      </c>
      <c r="D10" s="15" t="s">
        <v>9</v>
      </c>
      <c r="E10" s="84">
        <f t="shared" si="0"/>
        <v>39218</v>
      </c>
      <c r="F10" s="85">
        <f t="shared" si="1"/>
        <v>7451</v>
      </c>
      <c r="G10" s="86">
        <f t="shared" si="2"/>
        <v>46669</v>
      </c>
      <c r="H10" s="7">
        <v>46669</v>
      </c>
      <c r="J10" s="95">
        <v>45000</v>
      </c>
      <c r="K10" s="96">
        <f t="shared" si="3"/>
        <v>8550</v>
      </c>
      <c r="L10" s="97">
        <f t="shared" si="4"/>
        <v>53550</v>
      </c>
      <c r="N10" s="111">
        <v>48000</v>
      </c>
      <c r="O10" s="112">
        <f t="shared" si="5"/>
        <v>9120</v>
      </c>
      <c r="P10" s="113">
        <f t="shared" si="6"/>
        <v>57120</v>
      </c>
      <c r="R10" s="25">
        <f t="shared" si="7"/>
        <v>39218</v>
      </c>
      <c r="S10" s="26">
        <f t="shared" si="8"/>
        <v>7451</v>
      </c>
      <c r="T10" s="27">
        <f t="shared" si="9"/>
        <v>46669</v>
      </c>
      <c r="V10" s="28">
        <f t="shared" si="13"/>
        <v>39218</v>
      </c>
      <c r="W10" s="6">
        <f t="shared" si="10"/>
        <v>7451</v>
      </c>
      <c r="X10" s="28">
        <f t="shared" si="11"/>
        <v>46669</v>
      </c>
    </row>
    <row r="11" spans="1:24" ht="34.5" customHeight="1" x14ac:dyDescent="0.2">
      <c r="A11" s="13">
        <f t="shared" si="12"/>
        <v>7</v>
      </c>
      <c r="B11" s="2" t="s">
        <v>15</v>
      </c>
      <c r="C11" s="14">
        <v>1</v>
      </c>
      <c r="D11" s="15" t="s">
        <v>9</v>
      </c>
      <c r="E11" s="84">
        <f t="shared" si="0"/>
        <v>65021</v>
      </c>
      <c r="F11" s="85">
        <f t="shared" si="1"/>
        <v>12354</v>
      </c>
      <c r="G11" s="86">
        <f t="shared" si="2"/>
        <v>77375</v>
      </c>
      <c r="H11" s="7">
        <v>77375</v>
      </c>
      <c r="J11" s="95">
        <v>70000</v>
      </c>
      <c r="K11" s="96">
        <f t="shared" si="3"/>
        <v>13300</v>
      </c>
      <c r="L11" s="97">
        <f t="shared" si="4"/>
        <v>83300</v>
      </c>
      <c r="N11" s="111">
        <v>72000</v>
      </c>
      <c r="O11" s="112">
        <f t="shared" si="5"/>
        <v>13680</v>
      </c>
      <c r="P11" s="113">
        <f t="shared" si="6"/>
        <v>85680</v>
      </c>
      <c r="R11" s="25">
        <f t="shared" si="7"/>
        <v>65021</v>
      </c>
      <c r="S11" s="26">
        <f t="shared" si="8"/>
        <v>12354</v>
      </c>
      <c r="T11" s="27">
        <f t="shared" si="9"/>
        <v>77375</v>
      </c>
      <c r="V11" s="28">
        <f t="shared" si="13"/>
        <v>65021</v>
      </c>
      <c r="W11" s="6">
        <f t="shared" si="10"/>
        <v>12354</v>
      </c>
      <c r="X11" s="28">
        <f t="shared" si="11"/>
        <v>77375</v>
      </c>
    </row>
    <row r="12" spans="1:24" ht="44.25" customHeight="1" x14ac:dyDescent="0.2">
      <c r="A12" s="13">
        <f t="shared" si="12"/>
        <v>8</v>
      </c>
      <c r="B12" s="2" t="s">
        <v>16</v>
      </c>
      <c r="C12" s="14">
        <v>1</v>
      </c>
      <c r="D12" s="15" t="s">
        <v>9</v>
      </c>
      <c r="E12" s="84">
        <f>+ROUND((H12/1.19),0)</f>
        <v>87606</v>
      </c>
      <c r="F12" s="85">
        <f t="shared" si="1"/>
        <v>16645</v>
      </c>
      <c r="G12" s="86">
        <f t="shared" si="2"/>
        <v>104251</v>
      </c>
      <c r="H12" s="7">
        <v>104251</v>
      </c>
      <c r="J12" s="95">
        <v>100000</v>
      </c>
      <c r="K12" s="96">
        <f t="shared" si="3"/>
        <v>19000</v>
      </c>
      <c r="L12" s="97">
        <f t="shared" si="4"/>
        <v>119000</v>
      </c>
      <c r="N12" s="111">
        <v>96000</v>
      </c>
      <c r="O12" s="112">
        <f t="shared" si="5"/>
        <v>18240</v>
      </c>
      <c r="P12" s="113">
        <f t="shared" si="6"/>
        <v>114240</v>
      </c>
      <c r="R12" s="25">
        <f t="shared" si="7"/>
        <v>87606</v>
      </c>
      <c r="S12" s="26">
        <f t="shared" si="8"/>
        <v>16645</v>
      </c>
      <c r="T12" s="27">
        <f t="shared" si="9"/>
        <v>104251</v>
      </c>
      <c r="V12" s="28">
        <f t="shared" si="13"/>
        <v>87606</v>
      </c>
      <c r="W12" s="6">
        <f t="shared" si="10"/>
        <v>16645</v>
      </c>
      <c r="X12" s="28">
        <f t="shared" si="11"/>
        <v>104251</v>
      </c>
    </row>
    <row r="13" spans="1:24" ht="35.25" customHeight="1" x14ac:dyDescent="0.2">
      <c r="A13" s="13">
        <f t="shared" si="12"/>
        <v>9</v>
      </c>
      <c r="B13" s="2" t="s">
        <v>17</v>
      </c>
      <c r="C13" s="14">
        <v>1</v>
      </c>
      <c r="D13" s="15" t="s">
        <v>9</v>
      </c>
      <c r="E13" s="84">
        <f t="shared" si="0"/>
        <v>104423</v>
      </c>
      <c r="F13" s="85">
        <f t="shared" si="1"/>
        <v>19840</v>
      </c>
      <c r="G13" s="86">
        <f t="shared" si="2"/>
        <v>124263</v>
      </c>
      <c r="H13" s="7">
        <v>124263</v>
      </c>
      <c r="J13" s="95">
        <v>110000</v>
      </c>
      <c r="K13" s="96">
        <f t="shared" si="3"/>
        <v>20900</v>
      </c>
      <c r="L13" s="97">
        <f t="shared" si="4"/>
        <v>130900</v>
      </c>
      <c r="N13" s="111">
        <v>110000</v>
      </c>
      <c r="O13" s="112">
        <f t="shared" si="5"/>
        <v>20900</v>
      </c>
      <c r="P13" s="113">
        <f t="shared" si="6"/>
        <v>130900</v>
      </c>
      <c r="R13" s="25">
        <f t="shared" si="7"/>
        <v>104423</v>
      </c>
      <c r="S13" s="26">
        <f t="shared" si="8"/>
        <v>19840</v>
      </c>
      <c r="T13" s="27">
        <f t="shared" si="9"/>
        <v>124263</v>
      </c>
      <c r="V13" s="28">
        <f t="shared" si="13"/>
        <v>104423</v>
      </c>
      <c r="W13" s="6">
        <f t="shared" si="10"/>
        <v>19840</v>
      </c>
      <c r="X13" s="28">
        <f t="shared" si="11"/>
        <v>124263</v>
      </c>
    </row>
    <row r="14" spans="1:24" ht="30.75" customHeight="1" x14ac:dyDescent="0.2">
      <c r="A14" s="13">
        <f t="shared" si="12"/>
        <v>10</v>
      </c>
      <c r="B14" s="2" t="s">
        <v>18</v>
      </c>
      <c r="C14" s="14">
        <v>1</v>
      </c>
      <c r="D14" s="15" t="s">
        <v>9</v>
      </c>
      <c r="E14" s="84">
        <f t="shared" si="0"/>
        <v>44258</v>
      </c>
      <c r="F14" s="85">
        <f t="shared" si="1"/>
        <v>8409</v>
      </c>
      <c r="G14" s="86">
        <f t="shared" si="2"/>
        <v>52667</v>
      </c>
      <c r="H14" s="7">
        <v>52667</v>
      </c>
      <c r="J14" s="95">
        <v>50000</v>
      </c>
      <c r="K14" s="96">
        <f t="shared" si="3"/>
        <v>9500</v>
      </c>
      <c r="L14" s="97">
        <f t="shared" si="4"/>
        <v>59500</v>
      </c>
      <c r="N14" s="111">
        <v>50000</v>
      </c>
      <c r="O14" s="112">
        <f t="shared" si="5"/>
        <v>9500</v>
      </c>
      <c r="P14" s="113">
        <f t="shared" si="6"/>
        <v>59500</v>
      </c>
      <c r="R14" s="25">
        <f t="shared" si="7"/>
        <v>44258</v>
      </c>
      <c r="S14" s="26">
        <f t="shared" si="8"/>
        <v>8409</v>
      </c>
      <c r="T14" s="27">
        <f t="shared" si="9"/>
        <v>52667</v>
      </c>
      <c r="V14" s="28">
        <f t="shared" si="13"/>
        <v>44258</v>
      </c>
      <c r="W14" s="6">
        <f t="shared" si="10"/>
        <v>8409</v>
      </c>
      <c r="X14" s="28">
        <f t="shared" si="11"/>
        <v>52667</v>
      </c>
    </row>
    <row r="15" spans="1:24" ht="42.75" customHeight="1" x14ac:dyDescent="0.2">
      <c r="A15" s="13">
        <f t="shared" si="12"/>
        <v>11</v>
      </c>
      <c r="B15" s="2" t="s">
        <v>19</v>
      </c>
      <c r="C15" s="14">
        <v>1</v>
      </c>
      <c r="D15" s="15" t="s">
        <v>9</v>
      </c>
      <c r="E15" s="84">
        <f t="shared" si="0"/>
        <v>300851</v>
      </c>
      <c r="F15" s="85">
        <f>+ROUND(E15*0.19,0)</f>
        <v>57162</v>
      </c>
      <c r="G15" s="86">
        <f t="shared" si="2"/>
        <v>358013</v>
      </c>
      <c r="H15" s="7">
        <v>358013</v>
      </c>
      <c r="J15" s="95">
        <v>350000</v>
      </c>
      <c r="K15" s="96">
        <f t="shared" si="3"/>
        <v>66500</v>
      </c>
      <c r="L15" s="97">
        <f t="shared" si="4"/>
        <v>416500</v>
      </c>
      <c r="N15" s="111">
        <v>350000</v>
      </c>
      <c r="O15" s="112">
        <f t="shared" si="5"/>
        <v>66500</v>
      </c>
      <c r="P15" s="113">
        <f t="shared" si="6"/>
        <v>416500</v>
      </c>
      <c r="R15" s="25">
        <f t="shared" si="7"/>
        <v>300851</v>
      </c>
      <c r="S15" s="26">
        <f t="shared" si="8"/>
        <v>57162</v>
      </c>
      <c r="T15" s="27">
        <f t="shared" si="9"/>
        <v>358013</v>
      </c>
      <c r="V15" s="28">
        <f t="shared" si="13"/>
        <v>300851</v>
      </c>
      <c r="W15" s="6">
        <f t="shared" si="10"/>
        <v>57162</v>
      </c>
      <c r="X15" s="28">
        <f t="shared" si="11"/>
        <v>358013</v>
      </c>
    </row>
    <row r="16" spans="1:24" ht="36" customHeight="1" x14ac:dyDescent="0.2">
      <c r="A16" s="13">
        <f t="shared" si="12"/>
        <v>12</v>
      </c>
      <c r="B16" s="2" t="s">
        <v>20</v>
      </c>
      <c r="C16" s="14">
        <v>1</v>
      </c>
      <c r="D16" s="15" t="s">
        <v>9</v>
      </c>
      <c r="E16" s="84">
        <f t="shared" si="0"/>
        <v>429791</v>
      </c>
      <c r="F16" s="85">
        <f t="shared" si="1"/>
        <v>81660</v>
      </c>
      <c r="G16" s="86">
        <f t="shared" si="2"/>
        <v>511451</v>
      </c>
      <c r="H16" s="7">
        <v>511451</v>
      </c>
      <c r="J16" s="95">
        <f>+ROUND(431790.756,0)</f>
        <v>431791</v>
      </c>
      <c r="K16" s="96">
        <f t="shared" si="3"/>
        <v>82040</v>
      </c>
      <c r="L16" s="97">
        <f t="shared" si="4"/>
        <v>513831</v>
      </c>
      <c r="N16" s="111">
        <v>500000</v>
      </c>
      <c r="O16" s="112">
        <f t="shared" si="5"/>
        <v>95000</v>
      </c>
      <c r="P16" s="113">
        <f t="shared" si="6"/>
        <v>595000</v>
      </c>
      <c r="R16" s="25">
        <f t="shared" si="7"/>
        <v>429791</v>
      </c>
      <c r="S16" s="26">
        <f t="shared" si="8"/>
        <v>81660</v>
      </c>
      <c r="T16" s="27">
        <f t="shared" si="9"/>
        <v>511451</v>
      </c>
      <c r="V16" s="28">
        <f t="shared" si="13"/>
        <v>429791</v>
      </c>
      <c r="W16" s="6">
        <f t="shared" si="10"/>
        <v>81660</v>
      </c>
      <c r="X16" s="28">
        <f t="shared" si="11"/>
        <v>511451</v>
      </c>
    </row>
    <row r="17" spans="1:24" ht="39.75" customHeight="1" x14ac:dyDescent="0.2">
      <c r="A17" s="13">
        <f t="shared" si="12"/>
        <v>13</v>
      </c>
      <c r="B17" s="2" t="s">
        <v>21</v>
      </c>
      <c r="C17" s="14">
        <v>1</v>
      </c>
      <c r="D17" s="15" t="s">
        <v>9</v>
      </c>
      <c r="E17" s="84">
        <f>+ROUND((H17/1.19),0)</f>
        <v>91455</v>
      </c>
      <c r="F17" s="85">
        <f t="shared" si="1"/>
        <v>17376</v>
      </c>
      <c r="G17" s="86">
        <f t="shared" si="2"/>
        <v>108831</v>
      </c>
      <c r="H17" s="7">
        <v>108831</v>
      </c>
      <c r="J17" s="95">
        <f>+ROUND(93454.6218487395,0)</f>
        <v>93455</v>
      </c>
      <c r="K17" s="96">
        <f>ROUND(+J17*0.19,0)</f>
        <v>17756</v>
      </c>
      <c r="L17" s="97">
        <f t="shared" si="4"/>
        <v>111211</v>
      </c>
      <c r="N17" s="111">
        <v>145000</v>
      </c>
      <c r="O17" s="112">
        <f t="shared" si="5"/>
        <v>27550</v>
      </c>
      <c r="P17" s="113">
        <f t="shared" si="6"/>
        <v>172550</v>
      </c>
      <c r="R17" s="25">
        <f t="shared" si="7"/>
        <v>91455</v>
      </c>
      <c r="S17" s="26">
        <f t="shared" si="8"/>
        <v>17376</v>
      </c>
      <c r="T17" s="27">
        <f t="shared" si="9"/>
        <v>108831</v>
      </c>
      <c r="V17" s="28">
        <f t="shared" si="13"/>
        <v>91455</v>
      </c>
      <c r="W17" s="6">
        <f t="shared" si="10"/>
        <v>17376</v>
      </c>
      <c r="X17" s="28">
        <f t="shared" si="11"/>
        <v>108831</v>
      </c>
    </row>
    <row r="18" spans="1:24" ht="31.5" customHeight="1" x14ac:dyDescent="0.2">
      <c r="A18" s="13">
        <f t="shared" si="12"/>
        <v>14</v>
      </c>
      <c r="B18" s="2" t="s">
        <v>22</v>
      </c>
      <c r="C18" s="14">
        <v>1</v>
      </c>
      <c r="D18" s="15" t="s">
        <v>9</v>
      </c>
      <c r="E18" s="84">
        <f t="shared" si="0"/>
        <v>33613</v>
      </c>
      <c r="F18" s="85">
        <f t="shared" si="1"/>
        <v>6386</v>
      </c>
      <c r="G18" s="86">
        <f t="shared" si="2"/>
        <v>39999</v>
      </c>
      <c r="H18" s="7">
        <v>40000</v>
      </c>
      <c r="J18" s="95">
        <f>+ROUND(35613.4453781513,0)</f>
        <v>35613</v>
      </c>
      <c r="K18" s="96">
        <f t="shared" si="3"/>
        <v>6766</v>
      </c>
      <c r="L18" s="97">
        <f t="shared" si="4"/>
        <v>42379</v>
      </c>
      <c r="N18" s="111">
        <v>33613</v>
      </c>
      <c r="O18" s="112">
        <f t="shared" si="5"/>
        <v>6386</v>
      </c>
      <c r="P18" s="113">
        <f t="shared" si="6"/>
        <v>39999</v>
      </c>
      <c r="R18" s="25">
        <f t="shared" si="7"/>
        <v>33613</v>
      </c>
      <c r="S18" s="26">
        <f t="shared" si="8"/>
        <v>6386</v>
      </c>
      <c r="T18" s="27">
        <f t="shared" si="9"/>
        <v>39999</v>
      </c>
      <c r="V18" s="28">
        <f t="shared" si="13"/>
        <v>33613</v>
      </c>
      <c r="W18" s="6">
        <f t="shared" si="10"/>
        <v>6386</v>
      </c>
      <c r="X18" s="28">
        <f t="shared" si="11"/>
        <v>39999</v>
      </c>
    </row>
    <row r="19" spans="1:24" ht="31.5" customHeight="1" x14ac:dyDescent="0.2">
      <c r="A19" s="13">
        <f t="shared" si="12"/>
        <v>15</v>
      </c>
      <c r="B19" s="2" t="s">
        <v>23</v>
      </c>
      <c r="C19" s="14">
        <v>1</v>
      </c>
      <c r="D19" s="15" t="s">
        <v>9</v>
      </c>
      <c r="E19" s="84">
        <f t="shared" si="0"/>
        <v>50420</v>
      </c>
      <c r="F19" s="85">
        <f t="shared" si="1"/>
        <v>9580</v>
      </c>
      <c r="G19" s="86">
        <f t="shared" si="2"/>
        <v>60000</v>
      </c>
      <c r="H19" s="7">
        <v>60000</v>
      </c>
      <c r="J19" s="95">
        <f>+ROUND(52420.1680672269,0)</f>
        <v>52420</v>
      </c>
      <c r="K19" s="96">
        <f t="shared" si="3"/>
        <v>9960</v>
      </c>
      <c r="L19" s="97">
        <f t="shared" si="4"/>
        <v>62380</v>
      </c>
      <c r="N19" s="111">
        <v>100000</v>
      </c>
      <c r="O19" s="112">
        <f t="shared" si="5"/>
        <v>19000</v>
      </c>
      <c r="P19" s="113">
        <f t="shared" si="6"/>
        <v>119000</v>
      </c>
      <c r="R19" s="25">
        <f t="shared" si="7"/>
        <v>50420</v>
      </c>
      <c r="S19" s="26">
        <f t="shared" si="8"/>
        <v>9580</v>
      </c>
      <c r="T19" s="27">
        <f t="shared" si="9"/>
        <v>60000</v>
      </c>
      <c r="V19" s="28">
        <f t="shared" si="13"/>
        <v>50420</v>
      </c>
      <c r="W19" s="6">
        <f t="shared" si="10"/>
        <v>9580</v>
      </c>
      <c r="X19" s="28">
        <f t="shared" si="11"/>
        <v>60000</v>
      </c>
    </row>
    <row r="20" spans="1:24" ht="33.75" x14ac:dyDescent="0.2">
      <c r="A20" s="13">
        <f t="shared" si="12"/>
        <v>16</v>
      </c>
      <c r="B20" s="2" t="s">
        <v>24</v>
      </c>
      <c r="C20" s="14">
        <v>1</v>
      </c>
      <c r="D20" s="15" t="s">
        <v>25</v>
      </c>
      <c r="E20" s="84">
        <f t="shared" si="0"/>
        <v>168067</v>
      </c>
      <c r="F20" s="85">
        <f t="shared" si="1"/>
        <v>31933</v>
      </c>
      <c r="G20" s="86">
        <f t="shared" si="2"/>
        <v>200000</v>
      </c>
      <c r="H20" s="7">
        <v>200000</v>
      </c>
      <c r="J20" s="95">
        <v>280000</v>
      </c>
      <c r="K20" s="96">
        <f t="shared" si="3"/>
        <v>53200</v>
      </c>
      <c r="L20" s="97">
        <f t="shared" si="4"/>
        <v>333200</v>
      </c>
      <c r="N20" s="111">
        <v>210000</v>
      </c>
      <c r="O20" s="112">
        <f t="shared" si="5"/>
        <v>39900</v>
      </c>
      <c r="P20" s="113">
        <f t="shared" si="6"/>
        <v>249900</v>
      </c>
      <c r="R20" s="25">
        <f t="shared" si="7"/>
        <v>168067</v>
      </c>
      <c r="S20" s="26">
        <f t="shared" si="8"/>
        <v>31933</v>
      </c>
      <c r="T20" s="27">
        <f t="shared" si="9"/>
        <v>200000</v>
      </c>
      <c r="V20" s="28">
        <f t="shared" si="13"/>
        <v>168067</v>
      </c>
      <c r="W20" s="6">
        <f t="shared" si="10"/>
        <v>31933</v>
      </c>
      <c r="X20" s="28">
        <f t="shared" si="11"/>
        <v>200000</v>
      </c>
    </row>
    <row r="21" spans="1:24" ht="27" customHeight="1" x14ac:dyDescent="0.2">
      <c r="A21" s="13">
        <f t="shared" si="12"/>
        <v>17</v>
      </c>
      <c r="B21" s="2" t="s">
        <v>26</v>
      </c>
      <c r="C21" s="14">
        <v>1</v>
      </c>
      <c r="D21" s="15" t="s">
        <v>25</v>
      </c>
      <c r="E21" s="84">
        <f t="shared" si="0"/>
        <v>241500</v>
      </c>
      <c r="F21" s="85">
        <f>+ROUND(E21*0.19,0)</f>
        <v>45885</v>
      </c>
      <c r="G21" s="86">
        <f t="shared" si="2"/>
        <v>287385</v>
      </c>
      <c r="H21" s="7">
        <v>287385</v>
      </c>
      <c r="J21" s="95">
        <v>310000</v>
      </c>
      <c r="K21" s="96">
        <f t="shared" si="3"/>
        <v>58900</v>
      </c>
      <c r="L21" s="97">
        <f t="shared" si="4"/>
        <v>368900</v>
      </c>
      <c r="N21" s="111">
        <v>300000</v>
      </c>
      <c r="O21" s="112">
        <f t="shared" si="5"/>
        <v>57000</v>
      </c>
      <c r="P21" s="113">
        <f t="shared" si="6"/>
        <v>357000</v>
      </c>
      <c r="R21" s="25">
        <f t="shared" si="7"/>
        <v>241500</v>
      </c>
      <c r="S21" s="26">
        <f t="shared" si="8"/>
        <v>45885</v>
      </c>
      <c r="T21" s="27">
        <f t="shared" si="9"/>
        <v>287385</v>
      </c>
      <c r="V21" s="28">
        <f t="shared" si="13"/>
        <v>241500</v>
      </c>
      <c r="W21" s="6">
        <f t="shared" si="10"/>
        <v>45885</v>
      </c>
      <c r="X21" s="28">
        <f t="shared" si="11"/>
        <v>287385</v>
      </c>
    </row>
    <row r="22" spans="1:24" ht="25.5" customHeight="1" x14ac:dyDescent="0.2">
      <c r="A22" s="13">
        <f t="shared" si="12"/>
        <v>18</v>
      </c>
      <c r="B22" s="2" t="s">
        <v>27</v>
      </c>
      <c r="C22" s="14">
        <v>1</v>
      </c>
      <c r="D22" s="15" t="s">
        <v>9</v>
      </c>
      <c r="E22" s="84">
        <f t="shared" si="0"/>
        <v>109244</v>
      </c>
      <c r="F22" s="85">
        <f t="shared" si="1"/>
        <v>20756</v>
      </c>
      <c r="G22" s="86">
        <f t="shared" si="2"/>
        <v>130000</v>
      </c>
      <c r="H22" s="7">
        <v>130000</v>
      </c>
      <c r="J22" s="95">
        <f>+ROUND(111243.697478992,0)</f>
        <v>111244</v>
      </c>
      <c r="K22" s="96">
        <f t="shared" si="3"/>
        <v>21136</v>
      </c>
      <c r="L22" s="97">
        <f t="shared" si="4"/>
        <v>132380</v>
      </c>
      <c r="N22" s="111">
        <v>109244</v>
      </c>
      <c r="O22" s="112">
        <f t="shared" si="5"/>
        <v>20756</v>
      </c>
      <c r="P22" s="113">
        <f t="shared" si="6"/>
        <v>130000</v>
      </c>
      <c r="R22" s="25">
        <f t="shared" si="7"/>
        <v>109244</v>
      </c>
      <c r="S22" s="26">
        <f t="shared" si="8"/>
        <v>20756</v>
      </c>
      <c r="T22" s="27">
        <f t="shared" si="9"/>
        <v>130000</v>
      </c>
      <c r="V22" s="28">
        <f t="shared" si="13"/>
        <v>109244</v>
      </c>
      <c r="W22" s="6">
        <f t="shared" si="10"/>
        <v>20756</v>
      </c>
      <c r="X22" s="28">
        <f t="shared" si="11"/>
        <v>130000</v>
      </c>
    </row>
    <row r="23" spans="1:24" ht="67.5" x14ac:dyDescent="0.2">
      <c r="A23" s="13">
        <f t="shared" si="12"/>
        <v>19</v>
      </c>
      <c r="B23" s="2" t="s">
        <v>28</v>
      </c>
      <c r="C23" s="14">
        <v>1</v>
      </c>
      <c r="D23" s="15" t="s">
        <v>9</v>
      </c>
      <c r="E23" s="84">
        <f t="shared" si="0"/>
        <v>84034</v>
      </c>
      <c r="F23" s="85">
        <f t="shared" si="1"/>
        <v>15966</v>
      </c>
      <c r="G23" s="86">
        <f t="shared" si="2"/>
        <v>100000</v>
      </c>
      <c r="H23" s="7">
        <v>100000</v>
      </c>
      <c r="J23" s="95">
        <f>+ROUND(86033.6134453782,0)</f>
        <v>86034</v>
      </c>
      <c r="K23" s="96">
        <f t="shared" si="3"/>
        <v>16346</v>
      </c>
      <c r="L23" s="97">
        <f t="shared" si="4"/>
        <v>102380</v>
      </c>
      <c r="N23" s="111">
        <v>84034</v>
      </c>
      <c r="O23" s="112">
        <f t="shared" si="5"/>
        <v>15966</v>
      </c>
      <c r="P23" s="113">
        <f t="shared" si="6"/>
        <v>100000</v>
      </c>
      <c r="R23" s="25">
        <f t="shared" si="7"/>
        <v>84034</v>
      </c>
      <c r="S23" s="26">
        <f t="shared" si="8"/>
        <v>15966</v>
      </c>
      <c r="T23" s="27">
        <f t="shared" si="9"/>
        <v>100000</v>
      </c>
      <c r="V23" s="28">
        <f t="shared" si="13"/>
        <v>84034</v>
      </c>
      <c r="W23" s="6">
        <f t="shared" si="10"/>
        <v>15966</v>
      </c>
      <c r="X23" s="28">
        <f t="shared" si="11"/>
        <v>100000</v>
      </c>
    </row>
    <row r="24" spans="1:24" s="34" customFormat="1" ht="56.25" x14ac:dyDescent="0.2">
      <c r="A24" s="29">
        <f t="shared" si="12"/>
        <v>20</v>
      </c>
      <c r="B24" s="3" t="s">
        <v>29</v>
      </c>
      <c r="C24" s="30">
        <v>1</v>
      </c>
      <c r="D24" s="31" t="s">
        <v>30</v>
      </c>
      <c r="E24" s="84">
        <f>+ROUND((H24/1.19),0)</f>
        <v>420168</v>
      </c>
      <c r="F24" s="85">
        <f t="shared" si="1"/>
        <v>79832</v>
      </c>
      <c r="G24" s="86">
        <f t="shared" si="2"/>
        <v>500000</v>
      </c>
      <c r="H24" s="33">
        <v>500000</v>
      </c>
      <c r="J24" s="95">
        <v>310000</v>
      </c>
      <c r="K24" s="96">
        <f t="shared" si="3"/>
        <v>58900</v>
      </c>
      <c r="L24" s="97">
        <f t="shared" si="4"/>
        <v>368900</v>
      </c>
      <c r="N24" s="111">
        <v>308000</v>
      </c>
      <c r="O24" s="112">
        <f t="shared" si="5"/>
        <v>58520</v>
      </c>
      <c r="P24" s="113">
        <f t="shared" si="6"/>
        <v>366520</v>
      </c>
      <c r="Q24" s="5"/>
      <c r="R24" s="25">
        <f t="shared" si="7"/>
        <v>420168</v>
      </c>
      <c r="S24" s="26">
        <f t="shared" si="8"/>
        <v>79832</v>
      </c>
      <c r="T24" s="27">
        <f t="shared" si="9"/>
        <v>500000</v>
      </c>
      <c r="V24" s="80">
        <f>+N24</f>
        <v>308000</v>
      </c>
      <c r="W24" s="6">
        <f t="shared" si="10"/>
        <v>58520</v>
      </c>
      <c r="X24" s="28">
        <f t="shared" si="11"/>
        <v>366520</v>
      </c>
    </row>
    <row r="25" spans="1:24" ht="45" x14ac:dyDescent="0.2">
      <c r="A25" s="13">
        <f t="shared" si="12"/>
        <v>21</v>
      </c>
      <c r="B25" s="2" t="s">
        <v>31</v>
      </c>
      <c r="C25" s="14">
        <v>1</v>
      </c>
      <c r="D25" s="15" t="s">
        <v>9</v>
      </c>
      <c r="E25" s="84">
        <f t="shared" si="0"/>
        <v>483193</v>
      </c>
      <c r="F25" s="85">
        <f t="shared" si="1"/>
        <v>91807</v>
      </c>
      <c r="G25" s="86">
        <f t="shared" si="2"/>
        <v>575000</v>
      </c>
      <c r="H25" s="7">
        <v>575000</v>
      </c>
      <c r="J25" s="95">
        <f>+ROUND(485193.277310924,0)</f>
        <v>485193</v>
      </c>
      <c r="K25" s="96">
        <f t="shared" si="3"/>
        <v>92187</v>
      </c>
      <c r="L25" s="97">
        <f t="shared" si="4"/>
        <v>577380</v>
      </c>
      <c r="N25" s="111">
        <v>720000</v>
      </c>
      <c r="O25" s="112">
        <f t="shared" si="5"/>
        <v>136800</v>
      </c>
      <c r="P25" s="113">
        <f t="shared" si="6"/>
        <v>856800</v>
      </c>
      <c r="R25" s="25">
        <f t="shared" si="7"/>
        <v>483193</v>
      </c>
      <c r="S25" s="26">
        <f t="shared" si="8"/>
        <v>91807</v>
      </c>
      <c r="T25" s="27">
        <f t="shared" si="9"/>
        <v>575000</v>
      </c>
      <c r="V25" s="28">
        <f>+E25</f>
        <v>483193</v>
      </c>
      <c r="W25" s="6">
        <f t="shared" si="10"/>
        <v>91807</v>
      </c>
      <c r="X25" s="28">
        <f t="shared" si="11"/>
        <v>575000</v>
      </c>
    </row>
    <row r="26" spans="1:24" ht="26.25" customHeight="1" x14ac:dyDescent="0.2">
      <c r="A26" s="13">
        <f t="shared" si="12"/>
        <v>22</v>
      </c>
      <c r="B26" s="2" t="s">
        <v>32</v>
      </c>
      <c r="C26" s="14">
        <v>1</v>
      </c>
      <c r="D26" s="15" t="s">
        <v>9</v>
      </c>
      <c r="E26" s="84">
        <f>+ROUND((H26/1.19),0)</f>
        <v>603750</v>
      </c>
      <c r="F26" s="85">
        <f t="shared" si="1"/>
        <v>114713</v>
      </c>
      <c r="G26" s="86">
        <f t="shared" si="2"/>
        <v>718463</v>
      </c>
      <c r="H26" s="7">
        <v>718463</v>
      </c>
      <c r="J26" s="95">
        <f>+ROUND(605750.420168067,0)</f>
        <v>605750</v>
      </c>
      <c r="K26" s="96">
        <f t="shared" si="3"/>
        <v>115093</v>
      </c>
      <c r="L26" s="97">
        <f t="shared" si="4"/>
        <v>720843</v>
      </c>
      <c r="N26" s="111">
        <v>603750</v>
      </c>
      <c r="O26" s="112">
        <f t="shared" si="5"/>
        <v>114713</v>
      </c>
      <c r="P26" s="113">
        <f t="shared" si="6"/>
        <v>718463</v>
      </c>
      <c r="R26" s="25">
        <f t="shared" si="7"/>
        <v>603750</v>
      </c>
      <c r="S26" s="26">
        <f t="shared" si="8"/>
        <v>114713</v>
      </c>
      <c r="T26" s="27">
        <f t="shared" si="9"/>
        <v>718463</v>
      </c>
      <c r="V26" s="28">
        <f>+E26</f>
        <v>603750</v>
      </c>
      <c r="W26" s="6">
        <f t="shared" si="10"/>
        <v>114713</v>
      </c>
      <c r="X26" s="28">
        <f t="shared" si="11"/>
        <v>718463</v>
      </c>
    </row>
    <row r="27" spans="1:24" ht="56.25" x14ac:dyDescent="0.2">
      <c r="A27" s="13">
        <f t="shared" si="12"/>
        <v>23</v>
      </c>
      <c r="B27" s="2" t="s">
        <v>33</v>
      </c>
      <c r="C27" s="14">
        <v>1</v>
      </c>
      <c r="D27" s="15" t="s">
        <v>30</v>
      </c>
      <c r="E27" s="84">
        <f t="shared" si="0"/>
        <v>125950</v>
      </c>
      <c r="F27" s="85">
        <f t="shared" si="1"/>
        <v>23931</v>
      </c>
      <c r="G27" s="86">
        <f t="shared" si="2"/>
        <v>149881</v>
      </c>
      <c r="H27" s="7">
        <v>149881</v>
      </c>
      <c r="J27" s="98">
        <v>175000</v>
      </c>
      <c r="K27" s="96">
        <f t="shared" si="3"/>
        <v>33250</v>
      </c>
      <c r="L27" s="97">
        <f t="shared" si="4"/>
        <v>208250</v>
      </c>
      <c r="N27" s="114">
        <v>170000</v>
      </c>
      <c r="O27" s="112">
        <f t="shared" si="5"/>
        <v>32300</v>
      </c>
      <c r="P27" s="113">
        <f t="shared" si="6"/>
        <v>202300</v>
      </c>
      <c r="R27" s="25">
        <f t="shared" si="7"/>
        <v>125950</v>
      </c>
      <c r="S27" s="26">
        <f t="shared" si="8"/>
        <v>23931</v>
      </c>
      <c r="T27" s="27">
        <f t="shared" si="9"/>
        <v>149881</v>
      </c>
      <c r="V27" s="28">
        <f>+E27</f>
        <v>125950</v>
      </c>
      <c r="W27" s="6">
        <f t="shared" si="10"/>
        <v>23931</v>
      </c>
      <c r="X27" s="28">
        <f t="shared" si="11"/>
        <v>149881</v>
      </c>
    </row>
    <row r="28" spans="1:24" ht="48.75" customHeight="1" thickBot="1" x14ac:dyDescent="0.25">
      <c r="A28" s="13">
        <f t="shared" si="12"/>
        <v>24</v>
      </c>
      <c r="B28" s="2" t="s">
        <v>34</v>
      </c>
      <c r="C28" s="14">
        <v>1</v>
      </c>
      <c r="D28" s="15" t="s">
        <v>30</v>
      </c>
      <c r="E28" s="84">
        <f t="shared" si="0"/>
        <v>204160</v>
      </c>
      <c r="F28" s="85">
        <f t="shared" si="1"/>
        <v>38790</v>
      </c>
      <c r="G28" s="86">
        <f t="shared" si="2"/>
        <v>242950</v>
      </c>
      <c r="H28" s="7">
        <v>242950</v>
      </c>
      <c r="J28" s="98">
        <v>211000</v>
      </c>
      <c r="K28" s="96">
        <f t="shared" si="3"/>
        <v>40090</v>
      </c>
      <c r="L28" s="97">
        <f t="shared" si="4"/>
        <v>251090</v>
      </c>
      <c r="N28" s="114">
        <v>210000</v>
      </c>
      <c r="O28" s="112">
        <f t="shared" si="5"/>
        <v>39900</v>
      </c>
      <c r="P28" s="113">
        <f t="shared" si="6"/>
        <v>249900</v>
      </c>
      <c r="R28" s="36">
        <f t="shared" si="7"/>
        <v>204160</v>
      </c>
      <c r="S28" s="37">
        <f t="shared" si="8"/>
        <v>38790</v>
      </c>
      <c r="T28" s="38">
        <f t="shared" si="9"/>
        <v>242950</v>
      </c>
      <c r="V28" s="28">
        <f>+E28</f>
        <v>204160</v>
      </c>
      <c r="W28" s="6">
        <f t="shared" si="10"/>
        <v>38790</v>
      </c>
      <c r="X28" s="28">
        <f t="shared" si="11"/>
        <v>242950</v>
      </c>
    </row>
    <row r="29" spans="1:24" ht="23.25" thickBot="1" x14ac:dyDescent="0.25">
      <c r="A29" s="13">
        <v>2</v>
      </c>
      <c r="B29" s="39" t="s">
        <v>35</v>
      </c>
      <c r="C29" s="40"/>
      <c r="D29" s="40"/>
      <c r="E29" s="87"/>
      <c r="F29" s="87"/>
      <c r="G29" s="88"/>
      <c r="J29" s="241" t="str">
        <f>+B29</f>
        <v>AGREGADOS</v>
      </c>
      <c r="K29" s="241"/>
      <c r="L29" s="241"/>
      <c r="N29" s="216" t="str">
        <f>+J29</f>
        <v>AGREGADOS</v>
      </c>
      <c r="O29" s="216"/>
      <c r="P29" s="216"/>
      <c r="R29" s="223" t="str">
        <f>+N29</f>
        <v>AGREGADOS</v>
      </c>
      <c r="S29" s="223"/>
      <c r="T29" s="223"/>
      <c r="W29" s="6">
        <f t="shared" si="10"/>
        <v>0</v>
      </c>
      <c r="X29" s="28">
        <f t="shared" si="11"/>
        <v>0</v>
      </c>
    </row>
    <row r="30" spans="1:24" ht="40.5" customHeight="1" x14ac:dyDescent="0.2">
      <c r="A30" s="13">
        <v>2.1</v>
      </c>
      <c r="B30" s="2" t="s">
        <v>36</v>
      </c>
      <c r="C30" s="14">
        <v>1</v>
      </c>
      <c r="D30" s="15" t="s">
        <v>9</v>
      </c>
      <c r="E30" s="84">
        <f t="shared" si="0"/>
        <v>45465</v>
      </c>
      <c r="F30" s="85">
        <f>+ROUND(E30*0.19,0)</f>
        <v>8638</v>
      </c>
      <c r="G30" s="86">
        <f t="shared" si="2"/>
        <v>54103</v>
      </c>
      <c r="H30" s="7">
        <v>54103</v>
      </c>
      <c r="J30" s="95">
        <f>+ROUND(47464.7058823529,0)</f>
        <v>47465</v>
      </c>
      <c r="K30" s="99">
        <f>+ROUND(J30*0.19,0)</f>
        <v>9018</v>
      </c>
      <c r="L30" s="97">
        <f t="shared" si="4"/>
        <v>56483</v>
      </c>
      <c r="N30" s="115">
        <v>60000</v>
      </c>
      <c r="O30" s="116">
        <f t="shared" ref="O30:O37" si="14">+N30*0.19</f>
        <v>11400</v>
      </c>
      <c r="P30" s="113">
        <f t="shared" ref="P30:P40" si="15">+O30+N30</f>
        <v>71400</v>
      </c>
      <c r="R30" s="43">
        <f>+E30</f>
        <v>45465</v>
      </c>
      <c r="S30" s="44">
        <f>+F30</f>
        <v>8638</v>
      </c>
      <c r="T30" s="24">
        <f>+G30</f>
        <v>54103</v>
      </c>
      <c r="V30" s="28">
        <f t="shared" ref="V30:V40" si="16">+E30</f>
        <v>45465</v>
      </c>
      <c r="W30" s="6">
        <f t="shared" si="10"/>
        <v>8638</v>
      </c>
      <c r="X30" s="28">
        <f t="shared" si="11"/>
        <v>54103</v>
      </c>
    </row>
    <row r="31" spans="1:24" ht="47.25" customHeight="1" x14ac:dyDescent="0.2">
      <c r="A31" s="13">
        <v>2.2000000000000002</v>
      </c>
      <c r="B31" s="2" t="s">
        <v>37</v>
      </c>
      <c r="C31" s="14">
        <v>1</v>
      </c>
      <c r="D31" s="15" t="s">
        <v>9</v>
      </c>
      <c r="E31" s="84">
        <f t="shared" si="0"/>
        <v>45465</v>
      </c>
      <c r="F31" s="85">
        <f t="shared" ref="F31:F33" si="17">+ROUND(E31*0.19,0)</f>
        <v>8638</v>
      </c>
      <c r="G31" s="86">
        <f t="shared" si="2"/>
        <v>54103</v>
      </c>
      <c r="H31" s="7">
        <v>54103</v>
      </c>
      <c r="J31" s="95">
        <f>+ROUND(47464.7058823529,0)</f>
        <v>47465</v>
      </c>
      <c r="K31" s="99">
        <f t="shared" ref="K31:K39" si="18">+ROUND(J31*0.19,0)</f>
        <v>9018</v>
      </c>
      <c r="L31" s="97">
        <f t="shared" si="4"/>
        <v>56483</v>
      </c>
      <c r="N31" s="115">
        <v>55000</v>
      </c>
      <c r="O31" s="116">
        <f t="shared" si="14"/>
        <v>10450</v>
      </c>
      <c r="P31" s="113">
        <f t="shared" si="15"/>
        <v>65450</v>
      </c>
      <c r="R31" s="45">
        <f t="shared" ref="R31:R40" si="19">+E31</f>
        <v>45465</v>
      </c>
      <c r="S31" s="21">
        <f t="shared" ref="S31:S40" si="20">+F31</f>
        <v>8638</v>
      </c>
      <c r="T31" s="27">
        <f t="shared" ref="T31:T40" si="21">+G31</f>
        <v>54103</v>
      </c>
      <c r="V31" s="28">
        <f t="shared" si="16"/>
        <v>45465</v>
      </c>
      <c r="W31" s="6">
        <f t="shared" si="10"/>
        <v>8638</v>
      </c>
      <c r="X31" s="28">
        <f t="shared" si="11"/>
        <v>54103</v>
      </c>
    </row>
    <row r="32" spans="1:24" ht="33" customHeight="1" x14ac:dyDescent="0.2">
      <c r="A32" s="13">
        <v>2.2999999999999998</v>
      </c>
      <c r="B32" s="2" t="s">
        <v>38</v>
      </c>
      <c r="C32" s="14">
        <v>1</v>
      </c>
      <c r="D32" s="15" t="s">
        <v>9</v>
      </c>
      <c r="E32" s="84">
        <f t="shared" si="0"/>
        <v>34388</v>
      </c>
      <c r="F32" s="85">
        <f t="shared" si="17"/>
        <v>6534</v>
      </c>
      <c r="G32" s="86">
        <f t="shared" si="2"/>
        <v>40922</v>
      </c>
      <c r="H32" s="7">
        <v>40922</v>
      </c>
      <c r="J32" s="95">
        <f>+ROUND(36388.2352941177,0)</f>
        <v>36388</v>
      </c>
      <c r="K32" s="99">
        <f t="shared" si="18"/>
        <v>6914</v>
      </c>
      <c r="L32" s="97">
        <f t="shared" si="4"/>
        <v>43302</v>
      </c>
      <c r="N32" s="115">
        <v>35000</v>
      </c>
      <c r="O32" s="116">
        <f t="shared" si="14"/>
        <v>6650</v>
      </c>
      <c r="P32" s="113">
        <f t="shared" si="15"/>
        <v>41650</v>
      </c>
      <c r="R32" s="45">
        <f t="shared" si="19"/>
        <v>34388</v>
      </c>
      <c r="S32" s="21">
        <f t="shared" si="20"/>
        <v>6534</v>
      </c>
      <c r="T32" s="27">
        <f t="shared" si="21"/>
        <v>40922</v>
      </c>
      <c r="V32" s="28">
        <f t="shared" si="16"/>
        <v>34388</v>
      </c>
      <c r="W32" s="6">
        <f t="shared" si="10"/>
        <v>6534</v>
      </c>
      <c r="X32" s="28">
        <f t="shared" si="11"/>
        <v>40922</v>
      </c>
    </row>
    <row r="33" spans="1:24" ht="56.25" x14ac:dyDescent="0.2">
      <c r="A33" s="13">
        <v>2.4</v>
      </c>
      <c r="B33" s="2" t="s">
        <v>39</v>
      </c>
      <c r="C33" s="14">
        <v>1</v>
      </c>
      <c r="D33" s="15" t="s">
        <v>9</v>
      </c>
      <c r="E33" s="84">
        <f t="shared" si="0"/>
        <v>39218</v>
      </c>
      <c r="F33" s="85">
        <f t="shared" si="17"/>
        <v>7451</v>
      </c>
      <c r="G33" s="86">
        <f t="shared" si="2"/>
        <v>46669</v>
      </c>
      <c r="H33" s="7">
        <v>46669</v>
      </c>
      <c r="J33" s="95">
        <f>+ROUND(41217.6470588235,0)</f>
        <v>41218</v>
      </c>
      <c r="K33" s="99">
        <f t="shared" si="18"/>
        <v>7831</v>
      </c>
      <c r="L33" s="97">
        <f t="shared" si="4"/>
        <v>49049</v>
      </c>
      <c r="N33" s="115">
        <v>45000</v>
      </c>
      <c r="O33" s="116">
        <f t="shared" si="14"/>
        <v>8550</v>
      </c>
      <c r="P33" s="113">
        <f t="shared" si="15"/>
        <v>53550</v>
      </c>
      <c r="R33" s="45">
        <f t="shared" si="19"/>
        <v>39218</v>
      </c>
      <c r="S33" s="21">
        <f t="shared" si="20"/>
        <v>7451</v>
      </c>
      <c r="T33" s="27">
        <f t="shared" si="21"/>
        <v>46669</v>
      </c>
      <c r="V33" s="28">
        <f t="shared" si="16"/>
        <v>39218</v>
      </c>
      <c r="W33" s="6">
        <f t="shared" si="10"/>
        <v>7451</v>
      </c>
      <c r="X33" s="28">
        <f t="shared" si="11"/>
        <v>46669</v>
      </c>
    </row>
    <row r="34" spans="1:24" ht="25.5" customHeight="1" x14ac:dyDescent="0.2">
      <c r="A34" s="13">
        <v>2.5</v>
      </c>
      <c r="B34" s="2" t="s">
        <v>40</v>
      </c>
      <c r="C34" s="14">
        <v>1</v>
      </c>
      <c r="D34" s="15" t="s">
        <v>9</v>
      </c>
      <c r="E34" s="84">
        <f t="shared" si="0"/>
        <v>33613</v>
      </c>
      <c r="F34" s="85">
        <f>+ROUND(E34*0.19,0)</f>
        <v>6386</v>
      </c>
      <c r="G34" s="86">
        <f t="shared" si="2"/>
        <v>39999</v>
      </c>
      <c r="H34" s="7">
        <v>40000</v>
      </c>
      <c r="J34" s="95">
        <f>+ROUND(35613.4453781513,0)</f>
        <v>35613</v>
      </c>
      <c r="K34" s="99">
        <f t="shared" si="18"/>
        <v>6766</v>
      </c>
      <c r="L34" s="97">
        <f t="shared" si="4"/>
        <v>42379</v>
      </c>
      <c r="N34" s="115">
        <v>45000</v>
      </c>
      <c r="O34" s="116">
        <f t="shared" si="14"/>
        <v>8550</v>
      </c>
      <c r="P34" s="113">
        <f t="shared" si="15"/>
        <v>53550</v>
      </c>
      <c r="R34" s="45">
        <f t="shared" si="19"/>
        <v>33613</v>
      </c>
      <c r="S34" s="21">
        <f t="shared" si="20"/>
        <v>6386</v>
      </c>
      <c r="T34" s="27">
        <f t="shared" si="21"/>
        <v>39999</v>
      </c>
      <c r="V34" s="28">
        <f t="shared" si="16"/>
        <v>33613</v>
      </c>
      <c r="W34" s="6">
        <f t="shared" si="10"/>
        <v>6386</v>
      </c>
      <c r="X34" s="28">
        <f t="shared" si="11"/>
        <v>39999</v>
      </c>
    </row>
    <row r="35" spans="1:24" ht="27" customHeight="1" x14ac:dyDescent="0.2">
      <c r="A35" s="13">
        <v>2.6</v>
      </c>
      <c r="B35" s="2" t="s">
        <v>41</v>
      </c>
      <c r="C35" s="14">
        <v>1</v>
      </c>
      <c r="D35" s="15" t="s">
        <v>9</v>
      </c>
      <c r="E35" s="84">
        <f t="shared" si="0"/>
        <v>33613</v>
      </c>
      <c r="F35" s="85">
        <f t="shared" ref="F35:F74" si="22">+ROUND(E35*0.19,0)</f>
        <v>6386</v>
      </c>
      <c r="G35" s="86">
        <f t="shared" si="2"/>
        <v>39999</v>
      </c>
      <c r="H35" s="7">
        <v>40000</v>
      </c>
      <c r="J35" s="95">
        <f>+ROUND(35613.4453781513,0)</f>
        <v>35613</v>
      </c>
      <c r="K35" s="99">
        <f t="shared" si="18"/>
        <v>6766</v>
      </c>
      <c r="L35" s="97">
        <f t="shared" si="4"/>
        <v>42379</v>
      </c>
      <c r="N35" s="115">
        <v>45000</v>
      </c>
      <c r="O35" s="116">
        <f t="shared" si="14"/>
        <v>8550</v>
      </c>
      <c r="P35" s="113">
        <f t="shared" si="15"/>
        <v>53550</v>
      </c>
      <c r="R35" s="45">
        <f t="shared" si="19"/>
        <v>33613</v>
      </c>
      <c r="S35" s="21">
        <f t="shared" si="20"/>
        <v>6386</v>
      </c>
      <c r="T35" s="27">
        <f t="shared" si="21"/>
        <v>39999</v>
      </c>
      <c r="V35" s="28">
        <f t="shared" si="16"/>
        <v>33613</v>
      </c>
      <c r="W35" s="6">
        <f t="shared" si="10"/>
        <v>6386</v>
      </c>
      <c r="X35" s="28">
        <f t="shared" si="11"/>
        <v>39999</v>
      </c>
    </row>
    <row r="36" spans="1:24" ht="26.25" customHeight="1" x14ac:dyDescent="0.2">
      <c r="A36" s="13">
        <v>2.7</v>
      </c>
      <c r="B36" s="2" t="s">
        <v>42</v>
      </c>
      <c r="C36" s="14">
        <v>1</v>
      </c>
      <c r="D36" s="15" t="s">
        <v>9</v>
      </c>
      <c r="E36" s="84">
        <f t="shared" si="0"/>
        <v>35595</v>
      </c>
      <c r="F36" s="85">
        <f t="shared" si="22"/>
        <v>6763</v>
      </c>
      <c r="G36" s="86">
        <f t="shared" si="2"/>
        <v>42358</v>
      </c>
      <c r="H36" s="7">
        <v>42358</v>
      </c>
      <c r="J36" s="95">
        <f>+ROUND(37594.9579831933,0)</f>
        <v>37595</v>
      </c>
      <c r="K36" s="99">
        <f t="shared" si="18"/>
        <v>7143</v>
      </c>
      <c r="L36" s="97">
        <f t="shared" si="4"/>
        <v>44738</v>
      </c>
      <c r="N36" s="115">
        <v>40000</v>
      </c>
      <c r="O36" s="116">
        <f t="shared" si="14"/>
        <v>7600</v>
      </c>
      <c r="P36" s="113">
        <f t="shared" si="15"/>
        <v>47600</v>
      </c>
      <c r="R36" s="45">
        <f t="shared" si="19"/>
        <v>35595</v>
      </c>
      <c r="S36" s="21">
        <f t="shared" si="20"/>
        <v>6763</v>
      </c>
      <c r="T36" s="27">
        <f t="shared" si="21"/>
        <v>42358</v>
      </c>
      <c r="V36" s="28">
        <f t="shared" si="16"/>
        <v>35595</v>
      </c>
      <c r="W36" s="6">
        <f t="shared" si="10"/>
        <v>6763</v>
      </c>
      <c r="X36" s="28">
        <f t="shared" si="11"/>
        <v>42358</v>
      </c>
    </row>
    <row r="37" spans="1:24" ht="31.5" customHeight="1" x14ac:dyDescent="0.2">
      <c r="A37" s="13">
        <v>2.8</v>
      </c>
      <c r="B37" s="2" t="s">
        <v>43</v>
      </c>
      <c r="C37" s="14">
        <v>1</v>
      </c>
      <c r="D37" s="15" t="s">
        <v>9</v>
      </c>
      <c r="E37" s="84">
        <f t="shared" si="0"/>
        <v>35595</v>
      </c>
      <c r="F37" s="85">
        <f t="shared" si="22"/>
        <v>6763</v>
      </c>
      <c r="G37" s="86">
        <f t="shared" si="2"/>
        <v>42358</v>
      </c>
      <c r="H37" s="7">
        <v>42358</v>
      </c>
      <c r="J37" s="95">
        <f>+ROUND(37594.9579831933,0)</f>
        <v>37595</v>
      </c>
      <c r="K37" s="99">
        <f t="shared" si="18"/>
        <v>7143</v>
      </c>
      <c r="L37" s="97">
        <f t="shared" si="4"/>
        <v>44738</v>
      </c>
      <c r="N37" s="115">
        <v>40000</v>
      </c>
      <c r="O37" s="116">
        <f t="shared" si="14"/>
        <v>7600</v>
      </c>
      <c r="P37" s="113">
        <f t="shared" si="15"/>
        <v>47600</v>
      </c>
      <c r="R37" s="45">
        <f t="shared" si="19"/>
        <v>35595</v>
      </c>
      <c r="S37" s="21">
        <f t="shared" si="20"/>
        <v>6763</v>
      </c>
      <c r="T37" s="27">
        <f t="shared" si="21"/>
        <v>42358</v>
      </c>
      <c r="V37" s="28">
        <f t="shared" si="16"/>
        <v>35595</v>
      </c>
      <c r="W37" s="6">
        <f t="shared" si="10"/>
        <v>6763</v>
      </c>
      <c r="X37" s="28">
        <f t="shared" si="11"/>
        <v>42358</v>
      </c>
    </row>
    <row r="38" spans="1:24" ht="39.75" customHeight="1" x14ac:dyDescent="0.2">
      <c r="A38" s="13">
        <v>2.9</v>
      </c>
      <c r="B38" s="2" t="s">
        <v>44</v>
      </c>
      <c r="C38" s="14">
        <v>1</v>
      </c>
      <c r="D38" s="15" t="s">
        <v>9</v>
      </c>
      <c r="E38" s="84">
        <f t="shared" si="0"/>
        <v>84034</v>
      </c>
      <c r="F38" s="85">
        <f t="shared" si="22"/>
        <v>15966</v>
      </c>
      <c r="G38" s="86">
        <f t="shared" si="2"/>
        <v>100000</v>
      </c>
      <c r="H38" s="7">
        <v>100000</v>
      </c>
      <c r="J38" s="95">
        <f>+ROUND(86033.6134453782,0)</f>
        <v>86034</v>
      </c>
      <c r="K38" s="99">
        <f t="shared" si="18"/>
        <v>16346</v>
      </c>
      <c r="L38" s="97">
        <f t="shared" si="4"/>
        <v>102380</v>
      </c>
      <c r="N38" s="115">
        <v>100000</v>
      </c>
      <c r="O38" s="116">
        <f>+ROUND(N38*0.19,0)</f>
        <v>19000</v>
      </c>
      <c r="P38" s="113">
        <f t="shared" si="15"/>
        <v>119000</v>
      </c>
      <c r="R38" s="45">
        <f t="shared" si="19"/>
        <v>84034</v>
      </c>
      <c r="S38" s="21">
        <f t="shared" si="20"/>
        <v>15966</v>
      </c>
      <c r="T38" s="27">
        <f t="shared" si="21"/>
        <v>100000</v>
      </c>
      <c r="V38" s="28">
        <f t="shared" si="16"/>
        <v>84034</v>
      </c>
      <c r="W38" s="6">
        <f t="shared" si="10"/>
        <v>15966</v>
      </c>
      <c r="X38" s="28">
        <f t="shared" si="11"/>
        <v>100000</v>
      </c>
    </row>
    <row r="39" spans="1:24" ht="38.25" customHeight="1" x14ac:dyDescent="0.2">
      <c r="A39" s="13">
        <v>2.1</v>
      </c>
      <c r="B39" s="2" t="s">
        <v>45</v>
      </c>
      <c r="C39" s="14">
        <v>1</v>
      </c>
      <c r="D39" s="15" t="s">
        <v>9</v>
      </c>
      <c r="E39" s="84">
        <f t="shared" si="0"/>
        <v>226891</v>
      </c>
      <c r="F39" s="85">
        <f t="shared" si="22"/>
        <v>43109</v>
      </c>
      <c r="G39" s="86">
        <f t="shared" si="2"/>
        <v>270000</v>
      </c>
      <c r="H39" s="7">
        <v>270000</v>
      </c>
      <c r="J39" s="95">
        <f>+ROUND(228890.756302521,0)</f>
        <v>228891</v>
      </c>
      <c r="K39" s="99">
        <f t="shared" si="18"/>
        <v>43489</v>
      </c>
      <c r="L39" s="97">
        <f t="shared" si="4"/>
        <v>272380</v>
      </c>
      <c r="N39" s="115">
        <v>226891</v>
      </c>
      <c r="O39" s="116">
        <f t="shared" ref="O39:O40" si="23">+ROUND(N39*0.19,0)</f>
        <v>43109</v>
      </c>
      <c r="P39" s="113">
        <f t="shared" si="15"/>
        <v>270000</v>
      </c>
      <c r="R39" s="45">
        <f t="shared" si="19"/>
        <v>226891</v>
      </c>
      <c r="S39" s="21">
        <f t="shared" si="20"/>
        <v>43109</v>
      </c>
      <c r="T39" s="27">
        <f t="shared" si="21"/>
        <v>270000</v>
      </c>
      <c r="V39" s="28">
        <f t="shared" si="16"/>
        <v>226891</v>
      </c>
      <c r="W39" s="6">
        <f t="shared" si="10"/>
        <v>43109</v>
      </c>
      <c r="X39" s="28">
        <f t="shared" si="11"/>
        <v>270000</v>
      </c>
    </row>
    <row r="40" spans="1:24" ht="47.25" customHeight="1" thickBot="1" x14ac:dyDescent="0.25">
      <c r="A40" s="13">
        <v>2.11</v>
      </c>
      <c r="B40" s="2" t="s">
        <v>46</v>
      </c>
      <c r="C40" s="14">
        <v>1</v>
      </c>
      <c r="D40" s="15" t="s">
        <v>9</v>
      </c>
      <c r="E40" s="84">
        <f t="shared" si="0"/>
        <v>41843</v>
      </c>
      <c r="F40" s="85">
        <f t="shared" si="22"/>
        <v>7950</v>
      </c>
      <c r="G40" s="86">
        <f t="shared" si="2"/>
        <v>49793</v>
      </c>
      <c r="H40" s="7">
        <v>49793</v>
      </c>
      <c r="J40" s="95">
        <f>+ROUND(43842.8571428571,0)</f>
        <v>43843</v>
      </c>
      <c r="K40" s="99">
        <f>+ROUND(J40*0.19,0)</f>
        <v>8330</v>
      </c>
      <c r="L40" s="97">
        <f t="shared" si="4"/>
        <v>52173</v>
      </c>
      <c r="N40" s="115">
        <v>70000</v>
      </c>
      <c r="O40" s="116">
        <f t="shared" si="23"/>
        <v>13300</v>
      </c>
      <c r="P40" s="113">
        <f t="shared" si="15"/>
        <v>83300</v>
      </c>
      <c r="R40" s="46">
        <f t="shared" si="19"/>
        <v>41843</v>
      </c>
      <c r="S40" s="47">
        <f t="shared" si="20"/>
        <v>7950</v>
      </c>
      <c r="T40" s="38">
        <f t="shared" si="21"/>
        <v>49793</v>
      </c>
      <c r="V40" s="28">
        <f t="shared" si="16"/>
        <v>41843</v>
      </c>
      <c r="W40" s="6">
        <f t="shared" si="10"/>
        <v>7950</v>
      </c>
      <c r="X40" s="28">
        <f t="shared" si="11"/>
        <v>49793</v>
      </c>
    </row>
    <row r="41" spans="1:24" ht="23.25" thickBot="1" x14ac:dyDescent="0.25">
      <c r="A41" s="48">
        <v>3</v>
      </c>
      <c r="B41" s="39" t="s">
        <v>47</v>
      </c>
      <c r="C41" s="40"/>
      <c r="D41" s="40"/>
      <c r="E41" s="87"/>
      <c r="F41" s="87"/>
      <c r="G41" s="88"/>
      <c r="J41" s="241" t="str">
        <f>+B41</f>
        <v>CONCRETOS</v>
      </c>
      <c r="K41" s="241"/>
      <c r="L41" s="241"/>
      <c r="N41" s="216" t="str">
        <f>+J41</f>
        <v>CONCRETOS</v>
      </c>
      <c r="O41" s="216"/>
      <c r="P41" s="216"/>
      <c r="R41" s="223" t="str">
        <f>+N41</f>
        <v>CONCRETOS</v>
      </c>
      <c r="S41" s="223"/>
      <c r="T41" s="223"/>
      <c r="W41" s="6">
        <f t="shared" si="10"/>
        <v>0</v>
      </c>
      <c r="X41" s="28">
        <f t="shared" si="11"/>
        <v>0</v>
      </c>
    </row>
    <row r="42" spans="1:24" ht="36" customHeight="1" x14ac:dyDescent="0.2">
      <c r="A42" s="13">
        <v>3.1</v>
      </c>
      <c r="B42" s="2" t="s">
        <v>48</v>
      </c>
      <c r="C42" s="14">
        <v>1</v>
      </c>
      <c r="D42" s="15" t="s">
        <v>9</v>
      </c>
      <c r="E42" s="84">
        <f t="shared" si="0"/>
        <v>414671</v>
      </c>
      <c r="F42" s="85">
        <f t="shared" si="22"/>
        <v>78787</v>
      </c>
      <c r="G42" s="86">
        <f t="shared" si="2"/>
        <v>493458</v>
      </c>
      <c r="H42" s="7">
        <v>493458</v>
      </c>
      <c r="J42" s="95">
        <f>+ROUND(416670.588235294,0)</f>
        <v>416671</v>
      </c>
      <c r="K42" s="99">
        <f>+ROUND(J42*0.19,0)</f>
        <v>79167</v>
      </c>
      <c r="L42" s="97">
        <f t="shared" si="4"/>
        <v>495838</v>
      </c>
      <c r="N42" s="111">
        <v>650000</v>
      </c>
      <c r="O42" s="116">
        <f t="shared" ref="O42" si="24">+N42*0.19</f>
        <v>123500</v>
      </c>
      <c r="P42" s="113">
        <f t="shared" ref="P42:P55" si="25">+O42+N42</f>
        <v>773500</v>
      </c>
      <c r="R42" s="43">
        <f>+E42</f>
        <v>414671</v>
      </c>
      <c r="S42" s="44">
        <f>+F42</f>
        <v>78787</v>
      </c>
      <c r="T42" s="24">
        <f>+S42+R42</f>
        <v>493458</v>
      </c>
      <c r="V42" s="28">
        <f t="shared" ref="V42:V55" si="26">+E42</f>
        <v>414671</v>
      </c>
      <c r="W42" s="6">
        <f t="shared" si="10"/>
        <v>78787</v>
      </c>
      <c r="X42" s="28">
        <f t="shared" si="11"/>
        <v>493458</v>
      </c>
    </row>
    <row r="43" spans="1:24" ht="30.75" customHeight="1" x14ac:dyDescent="0.2">
      <c r="A43" s="13">
        <v>3.2</v>
      </c>
      <c r="B43" s="2" t="s">
        <v>49</v>
      </c>
      <c r="C43" s="14">
        <v>1</v>
      </c>
      <c r="D43" s="15" t="s">
        <v>9</v>
      </c>
      <c r="E43" s="84">
        <f t="shared" si="0"/>
        <v>194211</v>
      </c>
      <c r="F43" s="85">
        <f t="shared" si="22"/>
        <v>36900</v>
      </c>
      <c r="G43" s="86">
        <f t="shared" si="2"/>
        <v>231111</v>
      </c>
      <c r="H43" s="7">
        <v>231111</v>
      </c>
      <c r="J43" s="95">
        <f>+ROUND(196210.924369748,0)</f>
        <v>196211</v>
      </c>
      <c r="K43" s="99">
        <f t="shared" ref="K43:K55" si="27">+ROUND(J43*0.19,0)</f>
        <v>37280</v>
      </c>
      <c r="L43" s="97">
        <f t="shared" si="4"/>
        <v>233491</v>
      </c>
      <c r="N43" s="111">
        <v>194211</v>
      </c>
      <c r="O43" s="116">
        <f>+ROUND(N43*0.19,0)</f>
        <v>36900</v>
      </c>
      <c r="P43" s="113">
        <f t="shared" si="25"/>
        <v>231111</v>
      </c>
      <c r="R43" s="45">
        <f t="shared" ref="R43:R55" si="28">+E43</f>
        <v>194211</v>
      </c>
      <c r="S43" s="21">
        <f t="shared" ref="S43:S55" si="29">+F43</f>
        <v>36900</v>
      </c>
      <c r="T43" s="27">
        <f t="shared" ref="T43:T55" si="30">+S43+R43</f>
        <v>231111</v>
      </c>
      <c r="V43" s="28">
        <f t="shared" si="26"/>
        <v>194211</v>
      </c>
      <c r="W43" s="6">
        <f t="shared" si="10"/>
        <v>36900</v>
      </c>
      <c r="X43" s="28">
        <f t="shared" si="11"/>
        <v>231111</v>
      </c>
    </row>
    <row r="44" spans="1:24" ht="27.75" customHeight="1" x14ac:dyDescent="0.2">
      <c r="A44" s="13">
        <v>3.3</v>
      </c>
      <c r="B44" s="2" t="s">
        <v>50</v>
      </c>
      <c r="C44" s="14">
        <v>1</v>
      </c>
      <c r="D44" s="15" t="s">
        <v>9</v>
      </c>
      <c r="E44" s="84">
        <f t="shared" si="0"/>
        <v>9188</v>
      </c>
      <c r="F44" s="85">
        <f t="shared" si="22"/>
        <v>1746</v>
      </c>
      <c r="G44" s="86">
        <f t="shared" si="2"/>
        <v>10934</v>
      </c>
      <c r="H44" s="7">
        <v>10934</v>
      </c>
      <c r="J44" s="95">
        <f>+ROUND(11188.2352941176,0)</f>
        <v>11188</v>
      </c>
      <c r="K44" s="99">
        <f t="shared" si="27"/>
        <v>2126</v>
      </c>
      <c r="L44" s="97">
        <f t="shared" si="4"/>
        <v>13314</v>
      </c>
      <c r="N44" s="111">
        <v>9350</v>
      </c>
      <c r="O44" s="116">
        <f t="shared" ref="O44:O55" si="31">+ROUND(N44*0.19,0)</f>
        <v>1777</v>
      </c>
      <c r="P44" s="113">
        <f t="shared" si="25"/>
        <v>11127</v>
      </c>
      <c r="R44" s="45">
        <f t="shared" si="28"/>
        <v>9188</v>
      </c>
      <c r="S44" s="21">
        <f t="shared" si="29"/>
        <v>1746</v>
      </c>
      <c r="T44" s="27">
        <f t="shared" si="30"/>
        <v>10934</v>
      </c>
      <c r="V44" s="28">
        <f t="shared" si="26"/>
        <v>9188</v>
      </c>
      <c r="W44" s="6">
        <f t="shared" si="10"/>
        <v>1746</v>
      </c>
      <c r="X44" s="28">
        <f t="shared" si="11"/>
        <v>10934</v>
      </c>
    </row>
    <row r="45" spans="1:24" ht="42.75" customHeight="1" x14ac:dyDescent="0.2">
      <c r="A45" s="13">
        <v>3.4</v>
      </c>
      <c r="B45" s="2" t="s">
        <v>51</v>
      </c>
      <c r="C45" s="14">
        <v>1</v>
      </c>
      <c r="D45" s="15" t="s">
        <v>9</v>
      </c>
      <c r="E45" s="84">
        <f t="shared" si="0"/>
        <v>12101</v>
      </c>
      <c r="F45" s="85">
        <f t="shared" si="22"/>
        <v>2299</v>
      </c>
      <c r="G45" s="86">
        <f t="shared" si="2"/>
        <v>14400</v>
      </c>
      <c r="H45" s="7">
        <v>14400</v>
      </c>
      <c r="J45" s="95">
        <f>+ROUND(14100.8403361345,0)</f>
        <v>14101</v>
      </c>
      <c r="K45" s="99">
        <f t="shared" si="27"/>
        <v>2679</v>
      </c>
      <c r="L45" s="97">
        <f t="shared" si="4"/>
        <v>16780</v>
      </c>
      <c r="N45" s="111">
        <v>15000</v>
      </c>
      <c r="O45" s="116">
        <f t="shared" si="31"/>
        <v>2850</v>
      </c>
      <c r="P45" s="113">
        <f t="shared" si="25"/>
        <v>17850</v>
      </c>
      <c r="R45" s="45">
        <f t="shared" si="28"/>
        <v>12101</v>
      </c>
      <c r="S45" s="21">
        <f t="shared" si="29"/>
        <v>2299</v>
      </c>
      <c r="T45" s="27">
        <f t="shared" si="30"/>
        <v>14400</v>
      </c>
      <c r="V45" s="28">
        <f t="shared" si="26"/>
        <v>12101</v>
      </c>
      <c r="W45" s="6">
        <f t="shared" si="10"/>
        <v>2299</v>
      </c>
      <c r="X45" s="28">
        <f t="shared" si="11"/>
        <v>14400</v>
      </c>
    </row>
    <row r="46" spans="1:24" ht="44.25" customHeight="1" x14ac:dyDescent="0.2">
      <c r="A46" s="13">
        <v>3.5</v>
      </c>
      <c r="B46" s="2" t="s">
        <v>52</v>
      </c>
      <c r="C46" s="14">
        <v>1</v>
      </c>
      <c r="D46" s="15" t="s">
        <v>9</v>
      </c>
      <c r="E46" s="84">
        <f t="shared" si="0"/>
        <v>20475</v>
      </c>
      <c r="F46" s="85">
        <f t="shared" si="22"/>
        <v>3890</v>
      </c>
      <c r="G46" s="86">
        <f t="shared" si="2"/>
        <v>24365</v>
      </c>
      <c r="H46" s="7">
        <v>24365</v>
      </c>
      <c r="J46" s="95">
        <f>+ROUND(22474.7899159664,0)</f>
        <v>22475</v>
      </c>
      <c r="K46" s="99">
        <f t="shared" si="27"/>
        <v>4270</v>
      </c>
      <c r="L46" s="97">
        <f t="shared" si="4"/>
        <v>26745</v>
      </c>
      <c r="N46" s="111">
        <v>20475</v>
      </c>
      <c r="O46" s="116">
        <f t="shared" si="31"/>
        <v>3890</v>
      </c>
      <c r="P46" s="113">
        <f t="shared" si="25"/>
        <v>24365</v>
      </c>
      <c r="R46" s="45">
        <f t="shared" si="28"/>
        <v>20475</v>
      </c>
      <c r="S46" s="21">
        <f t="shared" si="29"/>
        <v>3890</v>
      </c>
      <c r="T46" s="27">
        <f t="shared" si="30"/>
        <v>24365</v>
      </c>
      <c r="V46" s="28">
        <f t="shared" si="26"/>
        <v>20475</v>
      </c>
      <c r="W46" s="6">
        <f t="shared" si="10"/>
        <v>3890</v>
      </c>
      <c r="X46" s="28">
        <f t="shared" si="11"/>
        <v>24365</v>
      </c>
    </row>
    <row r="47" spans="1:24" ht="45.75" customHeight="1" x14ac:dyDescent="0.2">
      <c r="A47" s="13">
        <v>3.6</v>
      </c>
      <c r="B47" s="2" t="s">
        <v>53</v>
      </c>
      <c r="C47" s="14">
        <v>1</v>
      </c>
      <c r="D47" s="15" t="s">
        <v>9</v>
      </c>
      <c r="E47" s="84">
        <f t="shared" si="0"/>
        <v>136500</v>
      </c>
      <c r="F47" s="85">
        <f t="shared" si="22"/>
        <v>25935</v>
      </c>
      <c r="G47" s="86">
        <f t="shared" si="2"/>
        <v>162435</v>
      </c>
      <c r="H47" s="7">
        <v>162435</v>
      </c>
      <c r="J47" s="95">
        <v>138500</v>
      </c>
      <c r="K47" s="99">
        <f t="shared" si="27"/>
        <v>26315</v>
      </c>
      <c r="L47" s="97">
        <f t="shared" si="4"/>
        <v>164815</v>
      </c>
      <c r="N47" s="111">
        <v>150000</v>
      </c>
      <c r="O47" s="116">
        <f t="shared" si="31"/>
        <v>28500</v>
      </c>
      <c r="P47" s="113">
        <f t="shared" si="25"/>
        <v>178500</v>
      </c>
      <c r="R47" s="45">
        <f t="shared" si="28"/>
        <v>136500</v>
      </c>
      <c r="S47" s="21">
        <f t="shared" si="29"/>
        <v>25935</v>
      </c>
      <c r="T47" s="27">
        <f t="shared" si="30"/>
        <v>162435</v>
      </c>
      <c r="V47" s="28">
        <f t="shared" si="26"/>
        <v>136500</v>
      </c>
      <c r="W47" s="6">
        <f t="shared" si="10"/>
        <v>25935</v>
      </c>
      <c r="X47" s="28">
        <f t="shared" si="11"/>
        <v>162435</v>
      </c>
    </row>
    <row r="48" spans="1:24" ht="44.25" customHeight="1" x14ac:dyDescent="0.2">
      <c r="A48" s="13">
        <v>3.7</v>
      </c>
      <c r="B48" s="2" t="s">
        <v>54</v>
      </c>
      <c r="C48" s="14">
        <v>1</v>
      </c>
      <c r="D48" s="15" t="s">
        <v>9</v>
      </c>
      <c r="E48" s="84">
        <f t="shared" si="0"/>
        <v>232496</v>
      </c>
      <c r="F48" s="85">
        <f t="shared" si="22"/>
        <v>44174</v>
      </c>
      <c r="G48" s="86">
        <f t="shared" si="2"/>
        <v>276670</v>
      </c>
      <c r="H48" s="7">
        <v>276670</v>
      </c>
      <c r="J48" s="95">
        <f>+ROUND(234495.798319328,0)</f>
        <v>234496</v>
      </c>
      <c r="K48" s="99">
        <f t="shared" si="27"/>
        <v>44554</v>
      </c>
      <c r="L48" s="97">
        <f t="shared" si="4"/>
        <v>279050</v>
      </c>
      <c r="N48" s="111">
        <v>232496</v>
      </c>
      <c r="O48" s="116">
        <f t="shared" si="31"/>
        <v>44174</v>
      </c>
      <c r="P48" s="113">
        <f t="shared" si="25"/>
        <v>276670</v>
      </c>
      <c r="R48" s="45">
        <f t="shared" si="28"/>
        <v>232496</v>
      </c>
      <c r="S48" s="21">
        <f t="shared" si="29"/>
        <v>44174</v>
      </c>
      <c r="T48" s="27">
        <f t="shared" si="30"/>
        <v>276670</v>
      </c>
      <c r="V48" s="28">
        <f t="shared" si="26"/>
        <v>232496</v>
      </c>
      <c r="W48" s="6">
        <f t="shared" si="10"/>
        <v>44174</v>
      </c>
      <c r="X48" s="28">
        <f t="shared" si="11"/>
        <v>276670</v>
      </c>
    </row>
    <row r="49" spans="1:24" ht="26.25" customHeight="1" x14ac:dyDescent="0.2">
      <c r="A49" s="13">
        <v>3.8</v>
      </c>
      <c r="B49" s="2" t="s">
        <v>55</v>
      </c>
      <c r="C49" s="14">
        <v>1</v>
      </c>
      <c r="D49" s="15" t="s">
        <v>9</v>
      </c>
      <c r="E49" s="84">
        <f t="shared" si="0"/>
        <v>16538</v>
      </c>
      <c r="F49" s="85">
        <f t="shared" si="22"/>
        <v>3142</v>
      </c>
      <c r="G49" s="86">
        <f t="shared" si="2"/>
        <v>19680</v>
      </c>
      <c r="H49" s="7">
        <v>19680</v>
      </c>
      <c r="J49" s="95">
        <f>+ROUND(18537.8151260504,0)</f>
        <v>18538</v>
      </c>
      <c r="K49" s="99">
        <f t="shared" si="27"/>
        <v>3522</v>
      </c>
      <c r="L49" s="97">
        <f t="shared" si="4"/>
        <v>22060</v>
      </c>
      <c r="N49" s="111">
        <v>16538</v>
      </c>
      <c r="O49" s="116">
        <f t="shared" si="31"/>
        <v>3142</v>
      </c>
      <c r="P49" s="113">
        <f t="shared" si="25"/>
        <v>19680</v>
      </c>
      <c r="R49" s="45">
        <f t="shared" si="28"/>
        <v>16538</v>
      </c>
      <c r="S49" s="21">
        <f t="shared" si="29"/>
        <v>3142</v>
      </c>
      <c r="T49" s="27">
        <f t="shared" si="30"/>
        <v>19680</v>
      </c>
      <c r="V49" s="28">
        <f t="shared" si="26"/>
        <v>16538</v>
      </c>
      <c r="W49" s="6">
        <f t="shared" si="10"/>
        <v>3142</v>
      </c>
      <c r="X49" s="28">
        <f t="shared" si="11"/>
        <v>19680</v>
      </c>
    </row>
    <row r="50" spans="1:24" ht="36" customHeight="1" x14ac:dyDescent="0.2">
      <c r="A50" s="13">
        <v>3.9</v>
      </c>
      <c r="B50" s="2" t="s">
        <v>56</v>
      </c>
      <c r="C50" s="14">
        <v>1</v>
      </c>
      <c r="D50" s="15" t="s">
        <v>9</v>
      </c>
      <c r="E50" s="84">
        <f t="shared" si="0"/>
        <v>20213</v>
      </c>
      <c r="F50" s="85">
        <f t="shared" si="22"/>
        <v>3840</v>
      </c>
      <c r="G50" s="86">
        <f t="shared" si="2"/>
        <v>24053</v>
      </c>
      <c r="H50" s="7">
        <v>24053</v>
      </c>
      <c r="J50" s="95">
        <f>+ROUND(22212.6050420168,0)</f>
        <v>22213</v>
      </c>
      <c r="K50" s="99">
        <f t="shared" si="27"/>
        <v>4220</v>
      </c>
      <c r="L50" s="97">
        <f t="shared" si="4"/>
        <v>26433</v>
      </c>
      <c r="N50" s="111">
        <v>30000</v>
      </c>
      <c r="O50" s="116">
        <f t="shared" si="31"/>
        <v>5700</v>
      </c>
      <c r="P50" s="113">
        <f t="shared" si="25"/>
        <v>35700</v>
      </c>
      <c r="R50" s="45">
        <f t="shared" si="28"/>
        <v>20213</v>
      </c>
      <c r="S50" s="21">
        <f t="shared" si="29"/>
        <v>3840</v>
      </c>
      <c r="T50" s="27">
        <f t="shared" si="30"/>
        <v>24053</v>
      </c>
      <c r="V50" s="28">
        <f t="shared" si="26"/>
        <v>20213</v>
      </c>
      <c r="W50" s="6">
        <f t="shared" si="10"/>
        <v>3840</v>
      </c>
      <c r="X50" s="28">
        <f t="shared" si="11"/>
        <v>24053</v>
      </c>
    </row>
    <row r="51" spans="1:24" ht="43.5" customHeight="1" x14ac:dyDescent="0.2">
      <c r="A51" s="13">
        <v>3.1</v>
      </c>
      <c r="B51" s="2" t="s">
        <v>57</v>
      </c>
      <c r="C51" s="14">
        <v>1</v>
      </c>
      <c r="D51" s="15" t="s">
        <v>58</v>
      </c>
      <c r="E51" s="84">
        <f t="shared" si="0"/>
        <v>1261</v>
      </c>
      <c r="F51" s="85">
        <f t="shared" si="22"/>
        <v>240</v>
      </c>
      <c r="G51" s="86">
        <f t="shared" si="2"/>
        <v>1501</v>
      </c>
      <c r="H51" s="7">
        <v>1500</v>
      </c>
      <c r="J51" s="95">
        <f>+ROUND(3260.50420168067,0)</f>
        <v>3261</v>
      </c>
      <c r="K51" s="99">
        <f t="shared" si="27"/>
        <v>620</v>
      </c>
      <c r="L51" s="97">
        <f t="shared" si="4"/>
        <v>3881</v>
      </c>
      <c r="N51" s="111">
        <v>2500</v>
      </c>
      <c r="O51" s="116">
        <f t="shared" si="31"/>
        <v>475</v>
      </c>
      <c r="P51" s="113">
        <f t="shared" si="25"/>
        <v>2975</v>
      </c>
      <c r="R51" s="45">
        <f t="shared" si="28"/>
        <v>1261</v>
      </c>
      <c r="S51" s="21">
        <f t="shared" si="29"/>
        <v>240</v>
      </c>
      <c r="T51" s="27">
        <f t="shared" si="30"/>
        <v>1501</v>
      </c>
      <c r="V51" s="28">
        <f t="shared" si="26"/>
        <v>1261</v>
      </c>
      <c r="W51" s="6">
        <f t="shared" si="10"/>
        <v>240</v>
      </c>
      <c r="X51" s="28">
        <f t="shared" si="11"/>
        <v>1501</v>
      </c>
    </row>
    <row r="52" spans="1:24" ht="39" customHeight="1" x14ac:dyDescent="0.2">
      <c r="A52" s="13">
        <v>3.11</v>
      </c>
      <c r="B52" s="2" t="s">
        <v>59</v>
      </c>
      <c r="C52" s="14">
        <v>1</v>
      </c>
      <c r="D52" s="15" t="s">
        <v>9</v>
      </c>
      <c r="E52" s="84">
        <f t="shared" si="0"/>
        <v>11288</v>
      </c>
      <c r="F52" s="85">
        <f t="shared" si="22"/>
        <v>2145</v>
      </c>
      <c r="G52" s="86">
        <f t="shared" si="2"/>
        <v>13433</v>
      </c>
      <c r="H52" s="7">
        <v>13433</v>
      </c>
      <c r="J52" s="95">
        <f>+ROUND(13288.2352941176,0)</f>
        <v>13288</v>
      </c>
      <c r="K52" s="99">
        <f t="shared" si="27"/>
        <v>2525</v>
      </c>
      <c r="L52" s="97">
        <f t="shared" si="4"/>
        <v>15813</v>
      </c>
      <c r="N52" s="111">
        <v>14000</v>
      </c>
      <c r="O52" s="116">
        <f t="shared" si="31"/>
        <v>2660</v>
      </c>
      <c r="P52" s="113">
        <f t="shared" si="25"/>
        <v>16660</v>
      </c>
      <c r="R52" s="45">
        <f t="shared" si="28"/>
        <v>11288</v>
      </c>
      <c r="S52" s="21">
        <f t="shared" si="29"/>
        <v>2145</v>
      </c>
      <c r="T52" s="27">
        <f t="shared" si="30"/>
        <v>13433</v>
      </c>
      <c r="V52" s="28">
        <f t="shared" si="26"/>
        <v>11288</v>
      </c>
      <c r="W52" s="6">
        <f t="shared" si="10"/>
        <v>2145</v>
      </c>
      <c r="X52" s="28">
        <f t="shared" si="11"/>
        <v>13433</v>
      </c>
    </row>
    <row r="53" spans="1:24" ht="28.5" customHeight="1" x14ac:dyDescent="0.2">
      <c r="A53" s="13">
        <v>3.12</v>
      </c>
      <c r="B53" s="2" t="s">
        <v>60</v>
      </c>
      <c r="C53" s="14">
        <v>1</v>
      </c>
      <c r="D53" s="15" t="s">
        <v>9</v>
      </c>
      <c r="E53" s="84">
        <f t="shared" si="0"/>
        <v>391388</v>
      </c>
      <c r="F53" s="85">
        <f t="shared" si="22"/>
        <v>74364</v>
      </c>
      <c r="G53" s="86">
        <f t="shared" si="2"/>
        <v>465752</v>
      </c>
      <c r="H53" s="7">
        <v>465752</v>
      </c>
      <c r="J53" s="95">
        <f>+ROUND(393388.235294118,0)</f>
        <v>393388</v>
      </c>
      <c r="K53" s="99">
        <f t="shared" si="27"/>
        <v>74744</v>
      </c>
      <c r="L53" s="97">
        <f t="shared" si="4"/>
        <v>468132</v>
      </c>
      <c r="N53" s="111">
        <v>500000</v>
      </c>
      <c r="O53" s="116">
        <f t="shared" si="31"/>
        <v>95000</v>
      </c>
      <c r="P53" s="113">
        <f t="shared" si="25"/>
        <v>595000</v>
      </c>
      <c r="R53" s="45">
        <f t="shared" si="28"/>
        <v>391388</v>
      </c>
      <c r="S53" s="21">
        <f t="shared" si="29"/>
        <v>74364</v>
      </c>
      <c r="T53" s="27">
        <f t="shared" si="30"/>
        <v>465752</v>
      </c>
      <c r="V53" s="28">
        <f t="shared" si="26"/>
        <v>391388</v>
      </c>
      <c r="W53" s="6">
        <f t="shared" si="10"/>
        <v>74364</v>
      </c>
      <c r="X53" s="28">
        <f t="shared" si="11"/>
        <v>465752</v>
      </c>
    </row>
    <row r="54" spans="1:24" ht="23.25" customHeight="1" x14ac:dyDescent="0.2">
      <c r="A54" s="13">
        <v>3.13</v>
      </c>
      <c r="B54" s="2" t="s">
        <v>61</v>
      </c>
      <c r="C54" s="14">
        <v>1</v>
      </c>
      <c r="D54" s="15" t="s">
        <v>9</v>
      </c>
      <c r="E54" s="84">
        <f t="shared" si="0"/>
        <v>11288</v>
      </c>
      <c r="F54" s="85">
        <f t="shared" si="22"/>
        <v>2145</v>
      </c>
      <c r="G54" s="86">
        <f t="shared" si="2"/>
        <v>13433</v>
      </c>
      <c r="H54" s="7">
        <v>13433</v>
      </c>
      <c r="J54" s="95">
        <f>+ROUND(13288.2352941176,0)</f>
        <v>13288</v>
      </c>
      <c r="K54" s="99">
        <f t="shared" si="27"/>
        <v>2525</v>
      </c>
      <c r="L54" s="97">
        <f t="shared" si="4"/>
        <v>15813</v>
      </c>
      <c r="N54" s="111">
        <v>15000</v>
      </c>
      <c r="O54" s="116">
        <f t="shared" si="31"/>
        <v>2850</v>
      </c>
      <c r="P54" s="113">
        <f t="shared" si="25"/>
        <v>17850</v>
      </c>
      <c r="R54" s="45">
        <f t="shared" si="28"/>
        <v>11288</v>
      </c>
      <c r="S54" s="21">
        <f t="shared" si="29"/>
        <v>2145</v>
      </c>
      <c r="T54" s="27">
        <f t="shared" si="30"/>
        <v>13433</v>
      </c>
      <c r="V54" s="28">
        <f t="shared" si="26"/>
        <v>11288</v>
      </c>
      <c r="W54" s="6">
        <f t="shared" si="10"/>
        <v>2145</v>
      </c>
      <c r="X54" s="28">
        <f t="shared" si="11"/>
        <v>13433</v>
      </c>
    </row>
    <row r="55" spans="1:24" ht="24" customHeight="1" thickBot="1" x14ac:dyDescent="0.25">
      <c r="A55" s="13">
        <v>3.14</v>
      </c>
      <c r="B55" s="2" t="s">
        <v>62</v>
      </c>
      <c r="C55" s="14">
        <v>1</v>
      </c>
      <c r="D55" s="15" t="s">
        <v>9</v>
      </c>
      <c r="E55" s="84">
        <f t="shared" si="0"/>
        <v>76309</v>
      </c>
      <c r="F55" s="85">
        <f t="shared" si="22"/>
        <v>14499</v>
      </c>
      <c r="G55" s="86">
        <f t="shared" si="2"/>
        <v>90808</v>
      </c>
      <c r="H55" s="7">
        <v>90808</v>
      </c>
      <c r="J55" s="95">
        <f>+ROUND(78309.243697479,0)</f>
        <v>78309</v>
      </c>
      <c r="K55" s="99">
        <f t="shared" si="27"/>
        <v>14879</v>
      </c>
      <c r="L55" s="97">
        <f t="shared" si="4"/>
        <v>93188</v>
      </c>
      <c r="N55" s="111">
        <v>76309</v>
      </c>
      <c r="O55" s="116">
        <f t="shared" si="31"/>
        <v>14499</v>
      </c>
      <c r="P55" s="113">
        <f t="shared" si="25"/>
        <v>90808</v>
      </c>
      <c r="R55" s="49">
        <f t="shared" si="28"/>
        <v>76309</v>
      </c>
      <c r="S55" s="50">
        <f t="shared" si="29"/>
        <v>14499</v>
      </c>
      <c r="T55" s="51">
        <f t="shared" si="30"/>
        <v>90808</v>
      </c>
      <c r="V55" s="28">
        <f t="shared" si="26"/>
        <v>76309</v>
      </c>
      <c r="W55" s="6">
        <f t="shared" si="10"/>
        <v>14499</v>
      </c>
      <c r="X55" s="28">
        <f t="shared" si="11"/>
        <v>90808</v>
      </c>
    </row>
    <row r="56" spans="1:24" ht="22.5" x14ac:dyDescent="0.2">
      <c r="A56" s="48">
        <v>4</v>
      </c>
      <c r="B56" s="39" t="s">
        <v>63</v>
      </c>
      <c r="C56" s="40"/>
      <c r="D56" s="40"/>
      <c r="E56" s="87"/>
      <c r="F56" s="87"/>
      <c r="G56" s="88"/>
      <c r="J56" s="241" t="str">
        <f>+B56</f>
        <v>ASFALTOS</v>
      </c>
      <c r="K56" s="241"/>
      <c r="L56" s="241"/>
      <c r="N56" s="216" t="str">
        <f>+J56</f>
        <v>ASFALTOS</v>
      </c>
      <c r="O56" s="216"/>
      <c r="P56" s="216"/>
      <c r="R56" s="224" t="str">
        <f>+N56</f>
        <v>ASFALTOS</v>
      </c>
      <c r="S56" s="225"/>
      <c r="T56" s="226"/>
      <c r="W56" s="6">
        <f t="shared" si="10"/>
        <v>0</v>
      </c>
      <c r="X56" s="28">
        <f t="shared" si="11"/>
        <v>0</v>
      </c>
    </row>
    <row r="57" spans="1:24" ht="33.75" x14ac:dyDescent="0.2">
      <c r="A57" s="13">
        <v>4.0999999999999996</v>
      </c>
      <c r="B57" s="2" t="s">
        <v>64</v>
      </c>
      <c r="C57" s="14">
        <v>1</v>
      </c>
      <c r="D57" s="15" t="s">
        <v>9</v>
      </c>
      <c r="E57" s="84">
        <f t="shared" si="0"/>
        <v>47696</v>
      </c>
      <c r="F57" s="85">
        <f t="shared" si="22"/>
        <v>9062</v>
      </c>
      <c r="G57" s="86">
        <f t="shared" si="2"/>
        <v>56758</v>
      </c>
      <c r="H57" s="7">
        <v>56758</v>
      </c>
      <c r="J57" s="98">
        <f>+ROUND(49695.7983193277,0)</f>
        <v>49696</v>
      </c>
      <c r="K57" s="99">
        <f>+ROUND(J57*0.19,0)</f>
        <v>9442</v>
      </c>
      <c r="L57" s="100">
        <f t="shared" ref="L57:L63" si="32">+K57+J57</f>
        <v>59138</v>
      </c>
      <c r="N57" s="114">
        <v>50000</v>
      </c>
      <c r="O57" s="116">
        <f>+ROUND(N57*0.19,0)</f>
        <v>9500</v>
      </c>
      <c r="P57" s="117">
        <f t="shared" ref="P57:P63" si="33">+O57+N57</f>
        <v>59500</v>
      </c>
      <c r="R57" s="45">
        <f>+E57</f>
        <v>47696</v>
      </c>
      <c r="S57" s="21">
        <f>+F57</f>
        <v>9062</v>
      </c>
      <c r="T57" s="27">
        <f>+R57+S57</f>
        <v>56758</v>
      </c>
      <c r="V57" s="28">
        <f t="shared" ref="V57:V63" si="34">+E57</f>
        <v>47696</v>
      </c>
      <c r="W57" s="6">
        <f t="shared" si="10"/>
        <v>9062</v>
      </c>
      <c r="X57" s="28">
        <f t="shared" si="11"/>
        <v>56758</v>
      </c>
    </row>
    <row r="58" spans="1:24" ht="21.75" customHeight="1" x14ac:dyDescent="0.2">
      <c r="A58" s="13">
        <v>4.2</v>
      </c>
      <c r="B58" s="2" t="s">
        <v>65</v>
      </c>
      <c r="C58" s="14">
        <v>1</v>
      </c>
      <c r="D58" s="15" t="s">
        <v>9</v>
      </c>
      <c r="E58" s="84">
        <f t="shared" si="0"/>
        <v>45465</v>
      </c>
      <c r="F58" s="85">
        <f t="shared" si="22"/>
        <v>8638</v>
      </c>
      <c r="G58" s="86">
        <f t="shared" si="2"/>
        <v>54103</v>
      </c>
      <c r="H58" s="7">
        <v>54103</v>
      </c>
      <c r="J58" s="98">
        <f>+ROUND(47464.7058823529,0)</f>
        <v>47465</v>
      </c>
      <c r="K58" s="99">
        <f t="shared" ref="K58:K63" si="35">+ROUND(J58*0.19,0)</f>
        <v>9018</v>
      </c>
      <c r="L58" s="100">
        <f t="shared" si="32"/>
        <v>56483</v>
      </c>
      <c r="N58" s="114">
        <v>55000</v>
      </c>
      <c r="O58" s="116">
        <f t="shared" ref="O58:O63" si="36">+ROUND(N58*0.19,0)</f>
        <v>10450</v>
      </c>
      <c r="P58" s="117">
        <f t="shared" si="33"/>
        <v>65450</v>
      </c>
      <c r="R58" s="45">
        <f t="shared" ref="R58:R63" si="37">+E58</f>
        <v>45465</v>
      </c>
      <c r="S58" s="21">
        <f t="shared" ref="S58:S63" si="38">+F58</f>
        <v>8638</v>
      </c>
      <c r="T58" s="27">
        <f t="shared" ref="T58:T63" si="39">+R58+S58</f>
        <v>54103</v>
      </c>
      <c r="V58" s="28">
        <f t="shared" si="34"/>
        <v>45465</v>
      </c>
      <c r="W58" s="6">
        <f t="shared" si="10"/>
        <v>8638</v>
      </c>
      <c r="X58" s="28">
        <f t="shared" si="11"/>
        <v>54103</v>
      </c>
    </row>
    <row r="59" spans="1:24" ht="21" customHeight="1" x14ac:dyDescent="0.2">
      <c r="A59" s="13">
        <v>4.3</v>
      </c>
      <c r="B59" s="2" t="s">
        <v>66</v>
      </c>
      <c r="C59" s="14">
        <v>1</v>
      </c>
      <c r="D59" s="15" t="s">
        <v>9</v>
      </c>
      <c r="E59" s="84">
        <f t="shared" si="0"/>
        <v>10395</v>
      </c>
      <c r="F59" s="85">
        <f t="shared" si="22"/>
        <v>1975</v>
      </c>
      <c r="G59" s="86">
        <f t="shared" si="2"/>
        <v>12370</v>
      </c>
      <c r="H59" s="7">
        <v>12370</v>
      </c>
      <c r="J59" s="98">
        <f>+ROUND(12394.9579831933,0)</f>
        <v>12395</v>
      </c>
      <c r="K59" s="99">
        <f t="shared" si="35"/>
        <v>2355</v>
      </c>
      <c r="L59" s="100">
        <f t="shared" si="32"/>
        <v>14750</v>
      </c>
      <c r="N59" s="114">
        <v>12000</v>
      </c>
      <c r="O59" s="116">
        <f t="shared" si="36"/>
        <v>2280</v>
      </c>
      <c r="P59" s="117">
        <f t="shared" si="33"/>
        <v>14280</v>
      </c>
      <c r="R59" s="45">
        <f t="shared" si="37"/>
        <v>10395</v>
      </c>
      <c r="S59" s="21">
        <f t="shared" si="38"/>
        <v>1975</v>
      </c>
      <c r="T59" s="27">
        <f t="shared" si="39"/>
        <v>12370</v>
      </c>
      <c r="V59" s="28">
        <f t="shared" si="34"/>
        <v>10395</v>
      </c>
      <c r="W59" s="6">
        <f t="shared" si="10"/>
        <v>1975</v>
      </c>
      <c r="X59" s="28">
        <f t="shared" si="11"/>
        <v>12370</v>
      </c>
    </row>
    <row r="60" spans="1:24" ht="45" x14ac:dyDescent="0.2">
      <c r="A60" s="13">
        <v>4.4000000000000004</v>
      </c>
      <c r="B60" s="2" t="s">
        <v>67</v>
      </c>
      <c r="C60" s="14">
        <v>1</v>
      </c>
      <c r="D60" s="15" t="s">
        <v>9</v>
      </c>
      <c r="E60" s="84">
        <f t="shared" si="0"/>
        <v>33613</v>
      </c>
      <c r="F60" s="85">
        <f t="shared" si="22"/>
        <v>6386</v>
      </c>
      <c r="G60" s="86">
        <f t="shared" si="2"/>
        <v>39999</v>
      </c>
      <c r="H60" s="7">
        <v>40000</v>
      </c>
      <c r="J60" s="98">
        <f>+ROUND(35613.4453781513,0)</f>
        <v>35613</v>
      </c>
      <c r="K60" s="99">
        <f t="shared" si="35"/>
        <v>6766</v>
      </c>
      <c r="L60" s="100">
        <f t="shared" si="32"/>
        <v>42379</v>
      </c>
      <c r="N60" s="114">
        <v>33613</v>
      </c>
      <c r="O60" s="116">
        <f t="shared" si="36"/>
        <v>6386</v>
      </c>
      <c r="P60" s="117">
        <f t="shared" si="33"/>
        <v>39999</v>
      </c>
      <c r="R60" s="45">
        <f t="shared" si="37"/>
        <v>33613</v>
      </c>
      <c r="S60" s="21">
        <f t="shared" si="38"/>
        <v>6386</v>
      </c>
      <c r="T60" s="27">
        <f t="shared" si="39"/>
        <v>39999</v>
      </c>
      <c r="V60" s="28">
        <f t="shared" si="34"/>
        <v>33613</v>
      </c>
      <c r="W60" s="6">
        <f t="shared" si="10"/>
        <v>6386</v>
      </c>
      <c r="X60" s="28">
        <f t="shared" si="11"/>
        <v>39999</v>
      </c>
    </row>
    <row r="61" spans="1:24" ht="29.25" customHeight="1" x14ac:dyDescent="0.2">
      <c r="A61" s="13">
        <v>4.5</v>
      </c>
      <c r="B61" s="2" t="s">
        <v>68</v>
      </c>
      <c r="C61" s="14">
        <v>1</v>
      </c>
      <c r="D61" s="15" t="s">
        <v>9</v>
      </c>
      <c r="E61" s="84">
        <f t="shared" si="0"/>
        <v>42017</v>
      </c>
      <c r="F61" s="85">
        <f t="shared" si="22"/>
        <v>7983</v>
      </c>
      <c r="G61" s="86">
        <f t="shared" si="2"/>
        <v>50000</v>
      </c>
      <c r="H61" s="7">
        <v>50000</v>
      </c>
      <c r="J61" s="98">
        <f>+ROUND(44016.8067226891,0)</f>
        <v>44017</v>
      </c>
      <c r="K61" s="99">
        <f t="shared" si="35"/>
        <v>8363</v>
      </c>
      <c r="L61" s="100">
        <f t="shared" si="32"/>
        <v>52380</v>
      </c>
      <c r="N61" s="114">
        <v>42017</v>
      </c>
      <c r="O61" s="116">
        <f t="shared" si="36"/>
        <v>7983</v>
      </c>
      <c r="P61" s="117">
        <f t="shared" si="33"/>
        <v>50000</v>
      </c>
      <c r="R61" s="45">
        <f t="shared" si="37"/>
        <v>42017</v>
      </c>
      <c r="S61" s="21">
        <f t="shared" si="38"/>
        <v>7983</v>
      </c>
      <c r="T61" s="27">
        <f t="shared" si="39"/>
        <v>50000</v>
      </c>
      <c r="V61" s="28">
        <f t="shared" si="34"/>
        <v>42017</v>
      </c>
      <c r="W61" s="6">
        <f t="shared" si="10"/>
        <v>7983</v>
      </c>
      <c r="X61" s="28">
        <f t="shared" si="11"/>
        <v>50000</v>
      </c>
    </row>
    <row r="62" spans="1:24" ht="30.75" customHeight="1" x14ac:dyDescent="0.2">
      <c r="A62" s="13">
        <v>4.5999999999999996</v>
      </c>
      <c r="B62" s="2" t="s">
        <v>69</v>
      </c>
      <c r="C62" s="14">
        <v>1</v>
      </c>
      <c r="D62" s="15" t="s">
        <v>9</v>
      </c>
      <c r="E62" s="84">
        <f t="shared" si="0"/>
        <v>126050</v>
      </c>
      <c r="F62" s="85">
        <f t="shared" si="22"/>
        <v>23950</v>
      </c>
      <c r="G62" s="86">
        <f t="shared" si="2"/>
        <v>150000</v>
      </c>
      <c r="H62" s="7">
        <v>150000</v>
      </c>
      <c r="J62" s="98">
        <f>+ROUND(128050.420168067,0)</f>
        <v>128050</v>
      </c>
      <c r="K62" s="99">
        <f t="shared" si="35"/>
        <v>24330</v>
      </c>
      <c r="L62" s="100">
        <f t="shared" si="32"/>
        <v>152380</v>
      </c>
      <c r="N62" s="114">
        <v>200000</v>
      </c>
      <c r="O62" s="116">
        <f t="shared" si="36"/>
        <v>38000</v>
      </c>
      <c r="P62" s="117">
        <f t="shared" si="33"/>
        <v>238000</v>
      </c>
      <c r="R62" s="45">
        <f t="shared" si="37"/>
        <v>126050</v>
      </c>
      <c r="S62" s="21">
        <f t="shared" si="38"/>
        <v>23950</v>
      </c>
      <c r="T62" s="27">
        <f t="shared" si="39"/>
        <v>150000</v>
      </c>
      <c r="V62" s="28">
        <f t="shared" si="34"/>
        <v>126050</v>
      </c>
      <c r="W62" s="6">
        <f t="shared" si="10"/>
        <v>23950</v>
      </c>
      <c r="X62" s="28">
        <f t="shared" si="11"/>
        <v>150000</v>
      </c>
    </row>
    <row r="63" spans="1:24" ht="36.75" customHeight="1" x14ac:dyDescent="0.2">
      <c r="A63" s="13">
        <v>4.7</v>
      </c>
      <c r="B63" s="2" t="s">
        <v>70</v>
      </c>
      <c r="C63" s="14">
        <v>1</v>
      </c>
      <c r="D63" s="15" t="s">
        <v>9</v>
      </c>
      <c r="E63" s="84">
        <f t="shared" si="0"/>
        <v>1050000</v>
      </c>
      <c r="F63" s="85">
        <f t="shared" si="22"/>
        <v>199500</v>
      </c>
      <c r="G63" s="86">
        <f t="shared" si="2"/>
        <v>1249500</v>
      </c>
      <c r="H63" s="7">
        <v>1249500</v>
      </c>
      <c r="J63" s="98">
        <v>1052000</v>
      </c>
      <c r="K63" s="99">
        <f t="shared" si="35"/>
        <v>199880</v>
      </c>
      <c r="L63" s="100">
        <f t="shared" si="32"/>
        <v>1251880</v>
      </c>
      <c r="N63" s="114">
        <v>1050000</v>
      </c>
      <c r="O63" s="116">
        <f t="shared" si="36"/>
        <v>199500</v>
      </c>
      <c r="P63" s="117">
        <f t="shared" si="33"/>
        <v>1249500</v>
      </c>
      <c r="R63" s="45">
        <f t="shared" si="37"/>
        <v>1050000</v>
      </c>
      <c r="S63" s="21">
        <f t="shared" si="38"/>
        <v>199500</v>
      </c>
      <c r="T63" s="27">
        <f t="shared" si="39"/>
        <v>1249500</v>
      </c>
      <c r="V63" s="28">
        <f t="shared" si="34"/>
        <v>1050000</v>
      </c>
      <c r="W63" s="6">
        <f t="shared" si="10"/>
        <v>199500</v>
      </c>
      <c r="X63" s="28">
        <f t="shared" si="11"/>
        <v>1249500</v>
      </c>
    </row>
    <row r="64" spans="1:24" ht="56.25" x14ac:dyDescent="0.2">
      <c r="A64" s="48">
        <v>5</v>
      </c>
      <c r="B64" s="39" t="s">
        <v>71</v>
      </c>
      <c r="C64" s="40"/>
      <c r="D64" s="40"/>
      <c r="E64" s="87"/>
      <c r="F64" s="87"/>
      <c r="G64" s="88"/>
      <c r="J64" s="241" t="str">
        <f>+B64</f>
        <v>MAMPOSTERÍA EN CONCRETO</v>
      </c>
      <c r="K64" s="241"/>
      <c r="L64" s="241"/>
      <c r="N64" s="216" t="str">
        <f>+J64</f>
        <v>MAMPOSTERÍA EN CONCRETO</v>
      </c>
      <c r="O64" s="216"/>
      <c r="P64" s="216"/>
      <c r="R64" s="227" t="str">
        <f>+N64</f>
        <v>MAMPOSTERÍA EN CONCRETO</v>
      </c>
      <c r="S64" s="228"/>
      <c r="T64" s="229"/>
      <c r="W64" s="6">
        <f t="shared" si="10"/>
        <v>0</v>
      </c>
      <c r="X64" s="28">
        <f t="shared" si="11"/>
        <v>0</v>
      </c>
    </row>
    <row r="65" spans="1:24" ht="78.75" x14ac:dyDescent="0.2">
      <c r="A65" s="13">
        <v>5.0999999999999996</v>
      </c>
      <c r="B65" s="2" t="s">
        <v>72</v>
      </c>
      <c r="C65" s="14">
        <v>1</v>
      </c>
      <c r="D65" s="15" t="s">
        <v>9</v>
      </c>
      <c r="E65" s="84">
        <f t="shared" si="0"/>
        <v>16643</v>
      </c>
      <c r="F65" s="85">
        <f t="shared" si="22"/>
        <v>3162</v>
      </c>
      <c r="G65" s="86">
        <f t="shared" si="2"/>
        <v>19805</v>
      </c>
      <c r="H65" s="7">
        <v>19805</v>
      </c>
      <c r="J65" s="95">
        <f>+ROUND(18642.8571428571,0)</f>
        <v>18643</v>
      </c>
      <c r="K65" s="99">
        <f>+ROUND(J65*0.19,0)</f>
        <v>3542</v>
      </c>
      <c r="L65" s="100">
        <f t="shared" ref="L65:L66" si="40">+K65+J65</f>
        <v>22185</v>
      </c>
      <c r="N65" s="111">
        <v>20000</v>
      </c>
      <c r="O65" s="116">
        <f t="shared" ref="O65:O66" si="41">+N65*0.19</f>
        <v>3800</v>
      </c>
      <c r="P65" s="117">
        <f t="shared" ref="P65:P66" si="42">+O65+N65</f>
        <v>23800</v>
      </c>
      <c r="R65" s="45">
        <f t="shared" ref="R65:T66" si="43">+E65</f>
        <v>16643</v>
      </c>
      <c r="S65" s="21">
        <f t="shared" si="43"/>
        <v>3162</v>
      </c>
      <c r="T65" s="27">
        <f t="shared" si="43"/>
        <v>19805</v>
      </c>
      <c r="V65" s="28">
        <f>+E65</f>
        <v>16643</v>
      </c>
      <c r="W65" s="6">
        <f t="shared" si="10"/>
        <v>3162</v>
      </c>
      <c r="X65" s="28">
        <f t="shared" si="11"/>
        <v>19805</v>
      </c>
    </row>
    <row r="66" spans="1:24" ht="79.5" thickBot="1" x14ac:dyDescent="0.25">
      <c r="A66" s="13">
        <v>5.2</v>
      </c>
      <c r="B66" s="2" t="s">
        <v>73</v>
      </c>
      <c r="C66" s="14">
        <v>1</v>
      </c>
      <c r="D66" s="15" t="s">
        <v>9</v>
      </c>
      <c r="E66" s="84">
        <f t="shared" si="0"/>
        <v>15488</v>
      </c>
      <c r="F66" s="85">
        <f t="shared" si="22"/>
        <v>2943</v>
      </c>
      <c r="G66" s="86">
        <f t="shared" si="2"/>
        <v>18431</v>
      </c>
      <c r="H66" s="7">
        <v>18431</v>
      </c>
      <c r="J66" s="95">
        <f>+ROUND(17488.2352941176,0)</f>
        <v>17488</v>
      </c>
      <c r="K66" s="99">
        <f>+ROUND(J66*0.19,0)</f>
        <v>3323</v>
      </c>
      <c r="L66" s="100">
        <f t="shared" si="40"/>
        <v>20811</v>
      </c>
      <c r="N66" s="111">
        <v>20000</v>
      </c>
      <c r="O66" s="116">
        <f t="shared" si="41"/>
        <v>3800</v>
      </c>
      <c r="P66" s="117">
        <f t="shared" si="42"/>
        <v>23800</v>
      </c>
      <c r="R66" s="49">
        <f t="shared" si="43"/>
        <v>15488</v>
      </c>
      <c r="S66" s="50">
        <f t="shared" si="43"/>
        <v>2943</v>
      </c>
      <c r="T66" s="51">
        <f t="shared" si="43"/>
        <v>18431</v>
      </c>
      <c r="V66" s="28">
        <f>+E66</f>
        <v>15488</v>
      </c>
      <c r="W66" s="6">
        <f t="shared" si="10"/>
        <v>2943</v>
      </c>
      <c r="X66" s="28">
        <f t="shared" si="11"/>
        <v>18431</v>
      </c>
    </row>
    <row r="67" spans="1:24" ht="56.25" x14ac:dyDescent="0.2">
      <c r="A67" s="48">
        <v>6</v>
      </c>
      <c r="B67" s="39" t="s">
        <v>74</v>
      </c>
      <c r="C67" s="40"/>
      <c r="D67" s="40"/>
      <c r="E67" s="87"/>
      <c r="F67" s="87"/>
      <c r="G67" s="88"/>
      <c r="J67" s="241" t="str">
        <f>+N67</f>
        <v>MAMPOSTERÍA EN ARCILLA</v>
      </c>
      <c r="K67" s="241"/>
      <c r="L67" s="241"/>
      <c r="N67" s="216" t="str">
        <f>+B67</f>
        <v>MAMPOSTERÍA EN ARCILLA</v>
      </c>
      <c r="O67" s="216"/>
      <c r="P67" s="216"/>
      <c r="R67" s="224" t="str">
        <f>+N67</f>
        <v>MAMPOSTERÍA EN ARCILLA</v>
      </c>
      <c r="S67" s="225"/>
      <c r="T67" s="226"/>
      <c r="W67" s="6">
        <f t="shared" si="10"/>
        <v>0</v>
      </c>
      <c r="X67" s="28">
        <f t="shared" si="11"/>
        <v>0</v>
      </c>
    </row>
    <row r="68" spans="1:24" ht="78.75" x14ac:dyDescent="0.2">
      <c r="A68" s="13">
        <v>6.1</v>
      </c>
      <c r="B68" s="2" t="s">
        <v>75</v>
      </c>
      <c r="C68" s="14">
        <v>1</v>
      </c>
      <c r="D68" s="15" t="s">
        <v>9</v>
      </c>
      <c r="E68" s="84">
        <f t="shared" ref="E68:E69" si="44">(H68)/1.19</f>
        <v>16642.857142857145</v>
      </c>
      <c r="F68" s="85">
        <f t="shared" si="22"/>
        <v>3162</v>
      </c>
      <c r="G68" s="86">
        <f>+ROUND(F68+E68,0)</f>
        <v>19805</v>
      </c>
      <c r="H68" s="7">
        <v>19805</v>
      </c>
      <c r="J68" s="95">
        <f>+ROUND(18642.8571428571,0)</f>
        <v>18643</v>
      </c>
      <c r="K68" s="99">
        <f>+ROUND(J68*0.19,0)</f>
        <v>3542</v>
      </c>
      <c r="L68" s="100">
        <f t="shared" ref="L68:L69" si="45">+K68+J68</f>
        <v>22185</v>
      </c>
      <c r="N68" s="111">
        <v>20000</v>
      </c>
      <c r="O68" s="116">
        <f t="shared" ref="O68:O69" si="46">+N68*0.19</f>
        <v>3800</v>
      </c>
      <c r="P68" s="117">
        <f t="shared" ref="P68:P69" si="47">+O68+N68</f>
        <v>23800</v>
      </c>
      <c r="R68" s="45">
        <f t="shared" ref="R68:T69" si="48">+E68</f>
        <v>16642.857142857145</v>
      </c>
      <c r="S68" s="21">
        <f t="shared" si="48"/>
        <v>3162</v>
      </c>
      <c r="T68" s="27">
        <f t="shared" si="48"/>
        <v>19805</v>
      </c>
      <c r="V68" s="28">
        <f>+E68</f>
        <v>16642.857142857145</v>
      </c>
      <c r="W68" s="6">
        <f t="shared" si="10"/>
        <v>3162</v>
      </c>
      <c r="X68" s="28">
        <f t="shared" si="11"/>
        <v>19804.857142857145</v>
      </c>
    </row>
    <row r="69" spans="1:24" ht="33.75" customHeight="1" x14ac:dyDescent="0.2">
      <c r="A69" s="13">
        <v>6.2</v>
      </c>
      <c r="B69" s="2" t="s">
        <v>76</v>
      </c>
      <c r="C69" s="14">
        <v>1</v>
      </c>
      <c r="D69" s="15" t="s">
        <v>9</v>
      </c>
      <c r="E69" s="84">
        <f t="shared" si="44"/>
        <v>13388.235294117647</v>
      </c>
      <c r="F69" s="85">
        <f t="shared" si="22"/>
        <v>2544</v>
      </c>
      <c r="G69" s="86">
        <f>+ROUND(F69+E69,0)</f>
        <v>15932</v>
      </c>
      <c r="H69" s="7">
        <v>15932</v>
      </c>
      <c r="J69" s="95">
        <f>+ROUND(15388.2352941176,0)</f>
        <v>15388</v>
      </c>
      <c r="K69" s="99">
        <f>+ROUND(J69*0.19,0)</f>
        <v>2924</v>
      </c>
      <c r="L69" s="100">
        <f t="shared" si="45"/>
        <v>18312</v>
      </c>
      <c r="N69" s="111">
        <v>15000</v>
      </c>
      <c r="O69" s="116">
        <f t="shared" si="46"/>
        <v>2850</v>
      </c>
      <c r="P69" s="117">
        <f t="shared" si="47"/>
        <v>17850</v>
      </c>
      <c r="R69" s="45">
        <f t="shared" si="48"/>
        <v>13388.235294117647</v>
      </c>
      <c r="S69" s="21">
        <f t="shared" si="48"/>
        <v>2544</v>
      </c>
      <c r="T69" s="27">
        <f t="shared" si="48"/>
        <v>15932</v>
      </c>
      <c r="V69" s="28">
        <f>+E69</f>
        <v>13388.235294117647</v>
      </c>
      <c r="W69" s="6">
        <f t="shared" si="10"/>
        <v>2544</v>
      </c>
      <c r="X69" s="28">
        <f t="shared" si="11"/>
        <v>15932.235294117647</v>
      </c>
    </row>
    <row r="70" spans="1:24" x14ac:dyDescent="0.2">
      <c r="A70" s="48">
        <v>7</v>
      </c>
      <c r="B70" s="39" t="s">
        <v>77</v>
      </c>
      <c r="C70" s="40"/>
      <c r="D70" s="40"/>
      <c r="E70" s="87"/>
      <c r="F70" s="87"/>
      <c r="G70" s="88"/>
      <c r="J70" s="241" t="str">
        <f>+B70</f>
        <v>OTROS</v>
      </c>
      <c r="K70" s="241"/>
      <c r="L70" s="241"/>
      <c r="N70" s="216" t="str">
        <f>+B70</f>
        <v>OTROS</v>
      </c>
      <c r="O70" s="216"/>
      <c r="P70" s="216"/>
      <c r="R70" s="227" t="str">
        <f>+N70</f>
        <v>OTROS</v>
      </c>
      <c r="S70" s="228"/>
      <c r="T70" s="229"/>
      <c r="W70" s="6">
        <f t="shared" ref="W70:W74" si="49">ROUND(V70*0.19,)</f>
        <v>0</v>
      </c>
      <c r="X70" s="28">
        <f t="shared" ref="X70:X74" si="50">+W70+V70</f>
        <v>0</v>
      </c>
    </row>
    <row r="71" spans="1:24" ht="39" customHeight="1" x14ac:dyDescent="0.2">
      <c r="A71" s="13">
        <v>7.1</v>
      </c>
      <c r="B71" s="2" t="s">
        <v>78</v>
      </c>
      <c r="C71" s="14">
        <v>1</v>
      </c>
      <c r="D71" s="15" t="s">
        <v>30</v>
      </c>
      <c r="E71" s="84">
        <v>779243</v>
      </c>
      <c r="F71" s="85">
        <f t="shared" si="22"/>
        <v>148056</v>
      </c>
      <c r="G71" s="86">
        <f t="shared" ref="G71:G74" si="51">+F71+E71</f>
        <v>927299</v>
      </c>
      <c r="J71" s="101">
        <v>980000</v>
      </c>
      <c r="K71" s="102">
        <f t="shared" ref="K71:K74" si="52">+J71*0.19</f>
        <v>186200</v>
      </c>
      <c r="L71" s="103">
        <f t="shared" ref="L71:L74" si="53">+K71+J71</f>
        <v>1166200</v>
      </c>
      <c r="N71" s="118">
        <v>960000</v>
      </c>
      <c r="O71" s="119">
        <f t="shared" ref="O71:O73" si="54">+N71*0.19</f>
        <v>182400</v>
      </c>
      <c r="P71" s="120">
        <f t="shared" ref="P71:P74" si="55">+O71+N71</f>
        <v>1142400</v>
      </c>
      <c r="R71" s="25">
        <f>+E71</f>
        <v>779243</v>
      </c>
      <c r="S71" s="26">
        <f>+F71</f>
        <v>148056</v>
      </c>
      <c r="T71" s="58">
        <f>+G71</f>
        <v>927299</v>
      </c>
      <c r="V71" s="28">
        <f>+E71</f>
        <v>779243</v>
      </c>
      <c r="W71" s="6">
        <f t="shared" si="49"/>
        <v>148056</v>
      </c>
      <c r="X71" s="28">
        <f t="shared" si="50"/>
        <v>927299</v>
      </c>
    </row>
    <row r="72" spans="1:24" ht="45" customHeight="1" x14ac:dyDescent="0.2">
      <c r="A72" s="13">
        <v>7.2</v>
      </c>
      <c r="B72" s="2" t="s">
        <v>79</v>
      </c>
      <c r="C72" s="14">
        <v>1</v>
      </c>
      <c r="D72" s="15" t="s">
        <v>30</v>
      </c>
      <c r="E72" s="84">
        <v>486229</v>
      </c>
      <c r="F72" s="85">
        <f t="shared" si="22"/>
        <v>92384</v>
      </c>
      <c r="G72" s="86">
        <f t="shared" si="51"/>
        <v>578613</v>
      </c>
      <c r="J72" s="101">
        <v>510000</v>
      </c>
      <c r="K72" s="102">
        <f t="shared" si="52"/>
        <v>96900</v>
      </c>
      <c r="L72" s="103">
        <f t="shared" si="53"/>
        <v>606900</v>
      </c>
      <c r="N72" s="118">
        <v>500000</v>
      </c>
      <c r="O72" s="119">
        <f t="shared" si="54"/>
        <v>95000</v>
      </c>
      <c r="P72" s="120">
        <f t="shared" si="55"/>
        <v>595000</v>
      </c>
      <c r="R72" s="25">
        <f t="shared" ref="R72:R74" si="56">+E72</f>
        <v>486229</v>
      </c>
      <c r="S72" s="26">
        <f t="shared" ref="S72:S74" si="57">+F72</f>
        <v>92384</v>
      </c>
      <c r="T72" s="58">
        <f t="shared" ref="T72:T74" si="58">+G72</f>
        <v>578613</v>
      </c>
      <c r="V72" s="28">
        <f>+E72</f>
        <v>486229</v>
      </c>
      <c r="W72" s="6">
        <f t="shared" si="49"/>
        <v>92384</v>
      </c>
      <c r="X72" s="28">
        <f t="shared" si="50"/>
        <v>578613</v>
      </c>
    </row>
    <row r="73" spans="1:24" ht="36.75" customHeight="1" x14ac:dyDescent="0.2">
      <c r="A73" s="13">
        <v>7.3</v>
      </c>
      <c r="B73" s="2" t="s">
        <v>80</v>
      </c>
      <c r="C73" s="14">
        <v>1</v>
      </c>
      <c r="D73" s="15" t="s">
        <v>81</v>
      </c>
      <c r="E73" s="84">
        <v>409455</v>
      </c>
      <c r="F73" s="85">
        <f t="shared" si="22"/>
        <v>77796</v>
      </c>
      <c r="G73" s="86">
        <f t="shared" si="51"/>
        <v>487251</v>
      </c>
      <c r="H73" s="7">
        <v>350000</v>
      </c>
      <c r="J73" s="101">
        <v>450000</v>
      </c>
      <c r="K73" s="102">
        <f t="shared" si="52"/>
        <v>85500</v>
      </c>
      <c r="L73" s="103">
        <f t="shared" si="53"/>
        <v>535500</v>
      </c>
      <c r="N73" s="118">
        <v>420000</v>
      </c>
      <c r="O73" s="119">
        <f t="shared" si="54"/>
        <v>79800</v>
      </c>
      <c r="P73" s="120">
        <f t="shared" si="55"/>
        <v>499800</v>
      </c>
      <c r="R73" s="25">
        <f t="shared" si="56"/>
        <v>409455</v>
      </c>
      <c r="S73" s="26">
        <f t="shared" si="57"/>
        <v>77796</v>
      </c>
      <c r="T73" s="58">
        <f t="shared" si="58"/>
        <v>487251</v>
      </c>
      <c r="V73" s="28">
        <f>+E73</f>
        <v>409455</v>
      </c>
      <c r="W73" s="6">
        <f t="shared" si="49"/>
        <v>77796</v>
      </c>
      <c r="X73" s="28">
        <f t="shared" si="50"/>
        <v>487251</v>
      </c>
    </row>
    <row r="74" spans="1:24" ht="50.25" customHeight="1" thickBot="1" x14ac:dyDescent="0.25">
      <c r="A74" s="59">
        <v>7.4</v>
      </c>
      <c r="B74" s="4" t="s">
        <v>82</v>
      </c>
      <c r="C74" s="60">
        <v>1</v>
      </c>
      <c r="D74" s="61" t="s">
        <v>81</v>
      </c>
      <c r="E74" s="89">
        <v>249900</v>
      </c>
      <c r="F74" s="85">
        <f t="shared" si="22"/>
        <v>47481</v>
      </c>
      <c r="G74" s="90">
        <f t="shared" si="51"/>
        <v>297381</v>
      </c>
      <c r="H74" s="7">
        <v>193673</v>
      </c>
      <c r="J74" s="104">
        <v>300000</v>
      </c>
      <c r="K74" s="105">
        <f t="shared" si="52"/>
        <v>57000</v>
      </c>
      <c r="L74" s="106">
        <f t="shared" si="53"/>
        <v>357000</v>
      </c>
      <c r="N74" s="121">
        <v>273974</v>
      </c>
      <c r="O74" s="122">
        <f>+ROUND(N74*0.19,0)</f>
        <v>52055</v>
      </c>
      <c r="P74" s="123">
        <f t="shared" si="55"/>
        <v>326029</v>
      </c>
      <c r="R74" s="36">
        <f t="shared" si="56"/>
        <v>249900</v>
      </c>
      <c r="S74" s="37">
        <f t="shared" si="57"/>
        <v>47481</v>
      </c>
      <c r="T74" s="70">
        <f t="shared" si="58"/>
        <v>297381</v>
      </c>
      <c r="V74" s="28">
        <f>+E74</f>
        <v>249900</v>
      </c>
      <c r="W74" s="6">
        <f t="shared" si="49"/>
        <v>47481</v>
      </c>
      <c r="X74" s="28">
        <f t="shared" si="50"/>
        <v>297381</v>
      </c>
    </row>
    <row r="75" spans="1:24" ht="12" thickBot="1" x14ac:dyDescent="0.25">
      <c r="A75" s="236" t="s">
        <v>83</v>
      </c>
      <c r="B75" s="237"/>
      <c r="C75" s="237"/>
      <c r="D75" s="237"/>
      <c r="E75" s="237"/>
      <c r="F75" s="237"/>
      <c r="G75" s="91">
        <f>SUM(G5:G74)</f>
        <v>11184867</v>
      </c>
      <c r="J75" s="242"/>
      <c r="K75" s="243"/>
      <c r="L75" s="107">
        <f>SUM(L5:L74)</f>
        <v>11938724</v>
      </c>
      <c r="N75" s="217"/>
      <c r="O75" s="218"/>
      <c r="P75" s="124">
        <f>SUM(P5:P74)</f>
        <v>12818138</v>
      </c>
      <c r="R75" s="210">
        <f>SUM(T5:T74)</f>
        <v>11184867</v>
      </c>
      <c r="S75" s="211"/>
      <c r="T75" s="212"/>
    </row>
    <row r="76" spans="1:24" ht="12" thickBot="1" x14ac:dyDescent="0.25">
      <c r="C76" s="207" t="s">
        <v>88</v>
      </c>
      <c r="D76" s="208"/>
      <c r="E76" s="208"/>
      <c r="F76" s="208"/>
      <c r="G76" s="209"/>
      <c r="R76" s="213" t="s">
        <v>89</v>
      </c>
      <c r="S76" s="214"/>
      <c r="T76" s="215"/>
      <c r="X76" s="28">
        <f>+SUM(X5:X74)</f>
        <v>11051350.092436975</v>
      </c>
    </row>
  </sheetData>
  <mergeCells count="33">
    <mergeCell ref="B4:G4"/>
    <mergeCell ref="A75:F75"/>
    <mergeCell ref="E2:G2"/>
    <mergeCell ref="J4:L4"/>
    <mergeCell ref="J29:L29"/>
    <mergeCell ref="J41:L41"/>
    <mergeCell ref="J56:L56"/>
    <mergeCell ref="J64:L64"/>
    <mergeCell ref="J67:L67"/>
    <mergeCell ref="J70:L70"/>
    <mergeCell ref="J75:K75"/>
    <mergeCell ref="J2:L2"/>
    <mergeCell ref="R56:T56"/>
    <mergeCell ref="R64:T64"/>
    <mergeCell ref="R67:T67"/>
    <mergeCell ref="R70:T70"/>
    <mergeCell ref="N2:P2"/>
    <mergeCell ref="N4:P4"/>
    <mergeCell ref="N29:P29"/>
    <mergeCell ref="N41:P41"/>
    <mergeCell ref="N56:P56"/>
    <mergeCell ref="R1:T1"/>
    <mergeCell ref="R2:T2"/>
    <mergeCell ref="R4:T4"/>
    <mergeCell ref="R29:T29"/>
    <mergeCell ref="R41:T41"/>
    <mergeCell ref="C76:G76"/>
    <mergeCell ref="R75:T75"/>
    <mergeCell ref="R76:T76"/>
    <mergeCell ref="N64:P64"/>
    <mergeCell ref="N67:P67"/>
    <mergeCell ref="N70:P70"/>
    <mergeCell ref="N75:O75"/>
  </mergeCells>
  <pageMargins left="0.7" right="0.7" top="0.75" bottom="0.75" header="0.3" footer="0.3"/>
  <pageSetup paperSize="9" scale="33" orientation="portrait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DE46E-37DD-4BB2-95D7-F8EFD2CB8861}">
  <dimension ref="A2:G12"/>
  <sheetViews>
    <sheetView workbookViewId="0">
      <selection activeCell="F16" sqref="F16"/>
    </sheetView>
  </sheetViews>
  <sheetFormatPr baseColWidth="10" defaultRowHeight="15" x14ac:dyDescent="0.25"/>
  <cols>
    <col min="1" max="1" width="18" customWidth="1"/>
    <col min="2" max="2" width="20.85546875" customWidth="1"/>
    <col min="3" max="3" width="17.85546875" customWidth="1"/>
    <col min="6" max="6" width="16.7109375" bestFit="1" customWidth="1"/>
    <col min="7" max="7" width="15" customWidth="1"/>
  </cols>
  <sheetData>
    <row r="2" spans="1:7" ht="23.25" x14ac:dyDescent="0.25">
      <c r="A2" s="74" t="s">
        <v>90</v>
      </c>
      <c r="B2" s="74" t="s">
        <v>91</v>
      </c>
      <c r="C2" s="74" t="s">
        <v>92</v>
      </c>
      <c r="D2" s="74" t="s">
        <v>93</v>
      </c>
      <c r="F2" s="73"/>
      <c r="G2" s="77" t="s">
        <v>99</v>
      </c>
    </row>
    <row r="3" spans="1:7" x14ac:dyDescent="0.25">
      <c r="A3" s="72" t="s">
        <v>94</v>
      </c>
      <c r="B3" s="72" t="s">
        <v>97</v>
      </c>
      <c r="C3" s="75">
        <v>60750000</v>
      </c>
      <c r="D3" s="72">
        <f>+(C3/300000000)*100</f>
        <v>20.25</v>
      </c>
      <c r="F3" s="78">
        <f>+C3+C8</f>
        <v>89250000</v>
      </c>
      <c r="G3" s="73"/>
    </row>
    <row r="4" spans="1:7" x14ac:dyDescent="0.25">
      <c r="A4" s="72" t="s">
        <v>95</v>
      </c>
      <c r="B4" s="72" t="s">
        <v>97</v>
      </c>
      <c r="C4" s="75">
        <f>+C3</f>
        <v>60750000</v>
      </c>
      <c r="D4" s="72">
        <f t="shared" ref="D4:D5" si="0">+(C4/300000000)*100</f>
        <v>20.25</v>
      </c>
      <c r="F4" s="78">
        <f>+C4+C9</f>
        <v>89250000</v>
      </c>
      <c r="G4" s="73"/>
    </row>
    <row r="5" spans="1:7" x14ac:dyDescent="0.25">
      <c r="A5" s="72" t="s">
        <v>96</v>
      </c>
      <c r="B5" s="72" t="s">
        <v>97</v>
      </c>
      <c r="C5" s="75">
        <f>+C4</f>
        <v>60750000</v>
      </c>
      <c r="D5" s="72">
        <f t="shared" si="0"/>
        <v>20.25</v>
      </c>
      <c r="F5" s="78">
        <f>+C3+C10</f>
        <v>121500000</v>
      </c>
      <c r="G5" s="73" t="s">
        <v>100</v>
      </c>
    </row>
    <row r="7" spans="1:7" x14ac:dyDescent="0.25">
      <c r="A7" s="74" t="s">
        <v>90</v>
      </c>
      <c r="B7" s="74" t="s">
        <v>91</v>
      </c>
      <c r="C7" s="74" t="s">
        <v>92</v>
      </c>
      <c r="D7" s="74" t="s">
        <v>93</v>
      </c>
    </row>
    <row r="8" spans="1:7" x14ac:dyDescent="0.25">
      <c r="A8" s="72" t="s">
        <v>94</v>
      </c>
      <c r="B8" s="72" t="s">
        <v>98</v>
      </c>
      <c r="C8" s="75">
        <f>+C9</f>
        <v>28500000</v>
      </c>
      <c r="D8" s="72">
        <f>+(C8/300000000)*100</f>
        <v>9.5</v>
      </c>
    </row>
    <row r="9" spans="1:7" x14ac:dyDescent="0.25">
      <c r="A9" s="72" t="s">
        <v>95</v>
      </c>
      <c r="B9" s="72" t="s">
        <v>98</v>
      </c>
      <c r="C9" s="75">
        <v>28500000</v>
      </c>
      <c r="D9" s="72">
        <f t="shared" ref="D9:D10" si="1">+(C9/300000000)*100</f>
        <v>9.5</v>
      </c>
    </row>
    <row r="10" spans="1:7" x14ac:dyDescent="0.25">
      <c r="A10" s="72" t="s">
        <v>96</v>
      </c>
      <c r="B10" s="72" t="s">
        <v>98</v>
      </c>
      <c r="C10" s="76">
        <f>+C5</f>
        <v>60750000</v>
      </c>
      <c r="D10" s="72">
        <f t="shared" si="1"/>
        <v>20.25</v>
      </c>
    </row>
    <row r="12" spans="1:7" x14ac:dyDescent="0.25">
      <c r="D12" s="79">
        <f>+D10+D9+D8+D5+D4+D3</f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A3A0C-1CA7-4EB2-8A36-DBCEE6EB96AA}">
  <dimension ref="A1:V76"/>
  <sheetViews>
    <sheetView view="pageBreakPreview" topLeftCell="A71" zoomScale="130" zoomScaleNormal="80" zoomScaleSheetLayoutView="130" workbookViewId="0">
      <selection activeCell="V76" sqref="V76"/>
    </sheetView>
  </sheetViews>
  <sheetFormatPr baseColWidth="10" defaultColWidth="11.42578125" defaultRowHeight="11.25" x14ac:dyDescent="0.2"/>
  <cols>
    <col min="1" max="1" width="7.140625" style="6" customWidth="1"/>
    <col min="2" max="2" width="20.85546875" style="5" customWidth="1"/>
    <col min="3" max="3" width="10.140625" style="5" customWidth="1"/>
    <col min="4" max="4" width="12.28515625" style="5" customWidth="1"/>
    <col min="5" max="6" width="12.28515625" style="5" hidden="1" customWidth="1"/>
    <col min="7" max="7" width="12.28515625" style="5" customWidth="1"/>
    <col min="8" max="8" width="12.28515625" style="7" hidden="1" customWidth="1"/>
    <col min="9" max="11" width="12.28515625" style="5" hidden="1" customWidth="1"/>
    <col min="12" max="12" width="12.28515625" style="5" customWidth="1"/>
    <col min="13" max="15" width="12.28515625" style="5" hidden="1" customWidth="1"/>
    <col min="16" max="16" width="12.28515625" style="5" customWidth="1"/>
    <col min="17" max="18" width="12.28515625" style="5" hidden="1" customWidth="1"/>
    <col min="19" max="19" width="20" style="5" hidden="1" customWidth="1"/>
    <col min="20" max="20" width="16.5703125" style="5" hidden="1" customWidth="1"/>
    <col min="21" max="21" width="0" style="5" hidden="1" customWidth="1"/>
    <col min="22" max="22" width="12.5703125" style="5" bestFit="1" customWidth="1"/>
    <col min="23" max="16384" width="11.42578125" style="5"/>
  </cols>
  <sheetData>
    <row r="1" spans="1:22" ht="30" customHeight="1" thickBot="1" x14ac:dyDescent="0.25">
      <c r="R1" s="219" t="s">
        <v>87</v>
      </c>
      <c r="S1" s="220"/>
      <c r="T1" s="221"/>
    </row>
    <row r="2" spans="1:22" ht="15.75" customHeight="1" thickBot="1" x14ac:dyDescent="0.25">
      <c r="A2" s="8"/>
      <c r="B2" s="8"/>
      <c r="C2" s="8"/>
      <c r="D2" s="8"/>
      <c r="E2" s="247" t="s">
        <v>84</v>
      </c>
      <c r="F2" s="248"/>
      <c r="G2" s="249"/>
      <c r="J2" s="247" t="s">
        <v>85</v>
      </c>
      <c r="K2" s="248"/>
      <c r="L2" s="249"/>
      <c r="N2" s="247" t="s">
        <v>86</v>
      </c>
      <c r="O2" s="248"/>
      <c r="P2" s="249"/>
      <c r="R2" s="207" t="str">
        <f>+E2</f>
        <v>SOINCO</v>
      </c>
      <c r="S2" s="208"/>
      <c r="T2" s="209"/>
    </row>
    <row r="3" spans="1:22" ht="34.5" thickBot="1" x14ac:dyDescent="0.25">
      <c r="A3" s="9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0" t="s">
        <v>6</v>
      </c>
      <c r="J3" s="1" t="str">
        <f>+E3</f>
        <v>VALOR UNITARIO SIN IVA</v>
      </c>
      <c r="K3" s="1" t="str">
        <f>+F3</f>
        <v xml:space="preserve"> IVA 19% </v>
      </c>
      <c r="L3" s="10" t="str">
        <f>+G3</f>
        <v>VALOR TOTAL</v>
      </c>
      <c r="N3" s="1" t="str">
        <f>+J3</f>
        <v>VALOR UNITARIO SIN IVA</v>
      </c>
      <c r="O3" s="1" t="str">
        <f>+J3</f>
        <v>VALOR UNITARIO SIN IVA</v>
      </c>
      <c r="P3" s="10" t="str">
        <f>+K3</f>
        <v xml:space="preserve"> IVA 19% </v>
      </c>
      <c r="R3" s="11" t="str">
        <f>+N3</f>
        <v>VALOR UNITARIO SIN IVA</v>
      </c>
      <c r="S3" s="11" t="str">
        <f>+O3</f>
        <v>VALOR UNITARIO SIN IVA</v>
      </c>
      <c r="T3" s="11" t="str">
        <f>+P3</f>
        <v xml:space="preserve"> IVA 19% </v>
      </c>
    </row>
    <row r="4" spans="1:22" ht="12" thickBot="1" x14ac:dyDescent="0.25">
      <c r="A4" s="12"/>
      <c r="B4" s="233" t="s">
        <v>7</v>
      </c>
      <c r="C4" s="234"/>
      <c r="D4" s="234"/>
      <c r="E4" s="234"/>
      <c r="F4" s="234"/>
      <c r="G4" s="235"/>
      <c r="J4" s="228" t="str">
        <f>+B4</f>
        <v>ENSAYOS EN SUELO</v>
      </c>
      <c r="K4" s="228"/>
      <c r="L4" s="228"/>
      <c r="N4" s="228" t="str">
        <f>+J4</f>
        <v>ENSAYOS EN SUELO</v>
      </c>
      <c r="O4" s="228"/>
      <c r="P4" s="228"/>
      <c r="R4" s="222" t="str">
        <f>+N4</f>
        <v>ENSAYOS EN SUELO</v>
      </c>
      <c r="S4" s="222"/>
      <c r="T4" s="222"/>
    </row>
    <row r="5" spans="1:22" x14ac:dyDescent="0.2">
      <c r="A5" s="13">
        <v>1</v>
      </c>
      <c r="B5" s="2" t="s">
        <v>8</v>
      </c>
      <c r="C5" s="14">
        <v>1</v>
      </c>
      <c r="D5" s="15" t="s">
        <v>9</v>
      </c>
      <c r="E5" s="16">
        <f>+ROUND((H5/1.19),0)</f>
        <v>8697</v>
      </c>
      <c r="F5" s="17">
        <f>+ROUND(E5*0.19,0)</f>
        <v>1652</v>
      </c>
      <c r="G5" s="18">
        <f>+F5+E5</f>
        <v>10349</v>
      </c>
      <c r="H5" s="7">
        <v>10350</v>
      </c>
      <c r="J5" s="19">
        <v>12000</v>
      </c>
      <c r="K5" s="20">
        <f>ROUND(+J5*0.19,0)</f>
        <v>2280</v>
      </c>
      <c r="L5" s="21">
        <f>+K5+J5</f>
        <v>14280</v>
      </c>
      <c r="N5" s="19">
        <v>12500</v>
      </c>
      <c r="O5" s="20">
        <f>+ROUND(N5*0.19,0)</f>
        <v>2375</v>
      </c>
      <c r="P5" s="21">
        <f>+O5+N5</f>
        <v>14875</v>
      </c>
      <c r="R5" s="22">
        <f>+E5</f>
        <v>8697</v>
      </c>
      <c r="S5" s="23">
        <f>+F5</f>
        <v>1652</v>
      </c>
      <c r="T5" s="24">
        <f>+S5+R5</f>
        <v>10349</v>
      </c>
      <c r="V5" s="28">
        <f>+G5</f>
        <v>10349</v>
      </c>
    </row>
    <row r="6" spans="1:22" ht="24.75" customHeight="1" x14ac:dyDescent="0.2">
      <c r="A6" s="13">
        <f>+A5+1</f>
        <v>2</v>
      </c>
      <c r="B6" s="2" t="s">
        <v>10</v>
      </c>
      <c r="C6" s="14">
        <v>1</v>
      </c>
      <c r="D6" s="15" t="s">
        <v>9</v>
      </c>
      <c r="E6" s="16">
        <f t="shared" ref="E6:E66" si="0">+ROUND((H6/1.19),0)</f>
        <v>36881</v>
      </c>
      <c r="F6" s="17">
        <f t="shared" ref="F6:F28" si="1">+ROUND(E6*0.19,0)</f>
        <v>7007</v>
      </c>
      <c r="G6" s="18">
        <f t="shared" ref="G6:G66" si="2">+F6+E6</f>
        <v>43888</v>
      </c>
      <c r="H6" s="7">
        <v>43888</v>
      </c>
      <c r="J6" s="19">
        <v>45000</v>
      </c>
      <c r="K6" s="20">
        <f t="shared" ref="K6:K28" si="3">ROUND(+J6*0.19,0)</f>
        <v>8550</v>
      </c>
      <c r="L6" s="21">
        <f t="shared" ref="L6:L55" si="4">+K6+J6</f>
        <v>53550</v>
      </c>
      <c r="N6" s="19">
        <v>45000</v>
      </c>
      <c r="O6" s="20">
        <f t="shared" ref="O6:O28" si="5">+ROUND(N6*0.19,0)</f>
        <v>8550</v>
      </c>
      <c r="P6" s="21">
        <f t="shared" ref="P6:P28" si="6">+O6+N6</f>
        <v>53550</v>
      </c>
      <c r="R6" s="25">
        <f t="shared" ref="R6:S28" si="7">+E6</f>
        <v>36881</v>
      </c>
      <c r="S6" s="26">
        <f t="shared" si="7"/>
        <v>7007</v>
      </c>
      <c r="T6" s="27">
        <f t="shared" ref="T6:T28" si="8">+S6+R6</f>
        <v>43888</v>
      </c>
      <c r="V6" s="28">
        <f>+G6</f>
        <v>43888</v>
      </c>
    </row>
    <row r="7" spans="1:22" ht="33" customHeight="1" x14ac:dyDescent="0.2">
      <c r="A7" s="13">
        <f t="shared" ref="A7:A28" si="9">+A6+1</f>
        <v>3</v>
      </c>
      <c r="B7" s="2" t="s">
        <v>11</v>
      </c>
      <c r="C7" s="14">
        <v>1</v>
      </c>
      <c r="D7" s="15" t="s">
        <v>9</v>
      </c>
      <c r="E7" s="16">
        <f t="shared" si="0"/>
        <v>40031</v>
      </c>
      <c r="F7" s="17">
        <f t="shared" si="1"/>
        <v>7606</v>
      </c>
      <c r="G7" s="18">
        <f t="shared" si="2"/>
        <v>47637</v>
      </c>
      <c r="H7" s="7">
        <v>47637</v>
      </c>
      <c r="J7" s="19">
        <v>40000</v>
      </c>
      <c r="K7" s="20">
        <f t="shared" si="3"/>
        <v>7600</v>
      </c>
      <c r="L7" s="21">
        <f t="shared" si="4"/>
        <v>47600</v>
      </c>
      <c r="N7" s="19">
        <v>40031</v>
      </c>
      <c r="O7" s="20">
        <f t="shared" si="5"/>
        <v>7606</v>
      </c>
      <c r="P7" s="21">
        <f t="shared" si="6"/>
        <v>47637</v>
      </c>
      <c r="R7" s="25">
        <f t="shared" si="7"/>
        <v>40031</v>
      </c>
      <c r="S7" s="26">
        <f t="shared" si="7"/>
        <v>7606</v>
      </c>
      <c r="T7" s="27">
        <f t="shared" si="8"/>
        <v>47637</v>
      </c>
      <c r="U7" s="28">
        <f>+ROUND(E5,0)</f>
        <v>8697</v>
      </c>
      <c r="V7" s="28">
        <f>+L7</f>
        <v>47600</v>
      </c>
    </row>
    <row r="8" spans="1:22" ht="24" customHeight="1" x14ac:dyDescent="0.2">
      <c r="A8" s="13">
        <f t="shared" si="9"/>
        <v>4</v>
      </c>
      <c r="B8" s="2" t="s">
        <v>12</v>
      </c>
      <c r="C8" s="14">
        <v>1</v>
      </c>
      <c r="D8" s="15" t="s">
        <v>9</v>
      </c>
      <c r="E8" s="16">
        <f t="shared" si="0"/>
        <v>35385</v>
      </c>
      <c r="F8" s="17">
        <f t="shared" si="1"/>
        <v>6723</v>
      </c>
      <c r="G8" s="18">
        <f t="shared" si="2"/>
        <v>42108</v>
      </c>
      <c r="H8" s="7">
        <v>42108</v>
      </c>
      <c r="J8" s="19">
        <v>38000</v>
      </c>
      <c r="K8" s="20">
        <f t="shared" si="3"/>
        <v>7220</v>
      </c>
      <c r="L8" s="21">
        <f t="shared" si="4"/>
        <v>45220</v>
      </c>
      <c r="N8" s="19">
        <v>40000</v>
      </c>
      <c r="O8" s="20">
        <f t="shared" si="5"/>
        <v>7600</v>
      </c>
      <c r="P8" s="21">
        <f t="shared" si="6"/>
        <v>47600</v>
      </c>
      <c r="R8" s="25">
        <f t="shared" si="7"/>
        <v>35385</v>
      </c>
      <c r="S8" s="26">
        <f t="shared" si="7"/>
        <v>6723</v>
      </c>
      <c r="T8" s="27">
        <f t="shared" si="8"/>
        <v>42108</v>
      </c>
      <c r="V8" s="28">
        <f t="shared" ref="V8:V23" si="10">+G8</f>
        <v>42108</v>
      </c>
    </row>
    <row r="9" spans="1:22" ht="28.5" customHeight="1" x14ac:dyDescent="0.2">
      <c r="A9" s="13">
        <f t="shared" si="9"/>
        <v>5</v>
      </c>
      <c r="B9" s="2" t="s">
        <v>13</v>
      </c>
      <c r="C9" s="14">
        <v>1</v>
      </c>
      <c r="D9" s="15" t="s">
        <v>9</v>
      </c>
      <c r="E9" s="16">
        <f t="shared" si="0"/>
        <v>45465</v>
      </c>
      <c r="F9" s="17">
        <f t="shared" si="1"/>
        <v>8638</v>
      </c>
      <c r="G9" s="18">
        <f t="shared" si="2"/>
        <v>54103</v>
      </c>
      <c r="H9" s="7">
        <v>54103</v>
      </c>
      <c r="J9" s="19">
        <v>52000</v>
      </c>
      <c r="K9" s="20">
        <f t="shared" si="3"/>
        <v>9880</v>
      </c>
      <c r="L9" s="21">
        <f t="shared" si="4"/>
        <v>61880</v>
      </c>
      <c r="N9" s="19">
        <v>55000</v>
      </c>
      <c r="O9" s="20">
        <f t="shared" si="5"/>
        <v>10450</v>
      </c>
      <c r="P9" s="21">
        <f t="shared" si="6"/>
        <v>65450</v>
      </c>
      <c r="R9" s="25">
        <f t="shared" si="7"/>
        <v>45465</v>
      </c>
      <c r="S9" s="26">
        <f t="shared" si="7"/>
        <v>8638</v>
      </c>
      <c r="T9" s="27">
        <f t="shared" si="8"/>
        <v>54103</v>
      </c>
      <c r="V9" s="28">
        <f t="shared" si="10"/>
        <v>54103</v>
      </c>
    </row>
    <row r="10" spans="1:22" ht="42" customHeight="1" x14ac:dyDescent="0.2">
      <c r="A10" s="13">
        <f t="shared" si="9"/>
        <v>6</v>
      </c>
      <c r="B10" s="2" t="s">
        <v>14</v>
      </c>
      <c r="C10" s="14">
        <v>1</v>
      </c>
      <c r="D10" s="15" t="s">
        <v>9</v>
      </c>
      <c r="E10" s="16">
        <f t="shared" si="0"/>
        <v>39218</v>
      </c>
      <c r="F10" s="17">
        <f t="shared" si="1"/>
        <v>7451</v>
      </c>
      <c r="G10" s="18">
        <f t="shared" si="2"/>
        <v>46669</v>
      </c>
      <c r="H10" s="7">
        <v>46669</v>
      </c>
      <c r="J10" s="19">
        <v>45000</v>
      </c>
      <c r="K10" s="20">
        <f t="shared" si="3"/>
        <v>8550</v>
      </c>
      <c r="L10" s="21">
        <f t="shared" si="4"/>
        <v>53550</v>
      </c>
      <c r="N10" s="19">
        <v>48000</v>
      </c>
      <c r="O10" s="20">
        <f t="shared" si="5"/>
        <v>9120</v>
      </c>
      <c r="P10" s="21">
        <f t="shared" si="6"/>
        <v>57120</v>
      </c>
      <c r="R10" s="25">
        <f t="shared" si="7"/>
        <v>39218</v>
      </c>
      <c r="S10" s="26">
        <f t="shared" si="7"/>
        <v>7451</v>
      </c>
      <c r="T10" s="27">
        <f t="shared" si="8"/>
        <v>46669</v>
      </c>
      <c r="V10" s="28">
        <f t="shared" si="10"/>
        <v>46669</v>
      </c>
    </row>
    <row r="11" spans="1:22" ht="34.5" customHeight="1" x14ac:dyDescent="0.2">
      <c r="A11" s="13">
        <f t="shared" si="9"/>
        <v>7</v>
      </c>
      <c r="B11" s="2" t="s">
        <v>15</v>
      </c>
      <c r="C11" s="14">
        <v>1</v>
      </c>
      <c r="D11" s="15" t="s">
        <v>9</v>
      </c>
      <c r="E11" s="16">
        <f t="shared" si="0"/>
        <v>65021</v>
      </c>
      <c r="F11" s="17">
        <f t="shared" si="1"/>
        <v>12354</v>
      </c>
      <c r="G11" s="18">
        <f t="shared" si="2"/>
        <v>77375</v>
      </c>
      <c r="H11" s="7">
        <v>77375</v>
      </c>
      <c r="J11" s="19">
        <v>70000</v>
      </c>
      <c r="K11" s="20">
        <f t="shared" si="3"/>
        <v>13300</v>
      </c>
      <c r="L11" s="21">
        <f t="shared" si="4"/>
        <v>83300</v>
      </c>
      <c r="N11" s="19">
        <v>72000</v>
      </c>
      <c r="O11" s="20">
        <f t="shared" si="5"/>
        <v>13680</v>
      </c>
      <c r="P11" s="21">
        <f t="shared" si="6"/>
        <v>85680</v>
      </c>
      <c r="R11" s="25">
        <f t="shared" si="7"/>
        <v>65021</v>
      </c>
      <c r="S11" s="26">
        <f t="shared" si="7"/>
        <v>12354</v>
      </c>
      <c r="T11" s="27">
        <f t="shared" si="8"/>
        <v>77375</v>
      </c>
      <c r="V11" s="28">
        <f t="shared" si="10"/>
        <v>77375</v>
      </c>
    </row>
    <row r="12" spans="1:22" ht="44.25" customHeight="1" x14ac:dyDescent="0.2">
      <c r="A12" s="13">
        <f t="shared" si="9"/>
        <v>8</v>
      </c>
      <c r="B12" s="2" t="s">
        <v>16</v>
      </c>
      <c r="C12" s="14">
        <v>1</v>
      </c>
      <c r="D12" s="15" t="s">
        <v>9</v>
      </c>
      <c r="E12" s="16">
        <f>+ROUND((H12/1.19),0)</f>
        <v>87606</v>
      </c>
      <c r="F12" s="17">
        <f t="shared" si="1"/>
        <v>16645</v>
      </c>
      <c r="G12" s="18">
        <f t="shared" si="2"/>
        <v>104251</v>
      </c>
      <c r="H12" s="7">
        <v>104251</v>
      </c>
      <c r="J12" s="19">
        <v>100000</v>
      </c>
      <c r="K12" s="20">
        <f t="shared" si="3"/>
        <v>19000</v>
      </c>
      <c r="L12" s="21">
        <f t="shared" si="4"/>
        <v>119000</v>
      </c>
      <c r="N12" s="19">
        <v>96000</v>
      </c>
      <c r="O12" s="20">
        <f t="shared" si="5"/>
        <v>18240</v>
      </c>
      <c r="P12" s="21">
        <f t="shared" si="6"/>
        <v>114240</v>
      </c>
      <c r="R12" s="25">
        <f t="shared" si="7"/>
        <v>87606</v>
      </c>
      <c r="S12" s="26">
        <f t="shared" si="7"/>
        <v>16645</v>
      </c>
      <c r="T12" s="27">
        <f t="shared" si="8"/>
        <v>104251</v>
      </c>
      <c r="V12" s="28">
        <f t="shared" si="10"/>
        <v>104251</v>
      </c>
    </row>
    <row r="13" spans="1:22" ht="35.25" customHeight="1" x14ac:dyDescent="0.2">
      <c r="A13" s="13">
        <f t="shared" si="9"/>
        <v>9</v>
      </c>
      <c r="B13" s="2" t="s">
        <v>17</v>
      </c>
      <c r="C13" s="14">
        <v>1</v>
      </c>
      <c r="D13" s="15" t="s">
        <v>9</v>
      </c>
      <c r="E13" s="16">
        <f t="shared" si="0"/>
        <v>104423</v>
      </c>
      <c r="F13" s="17">
        <f t="shared" si="1"/>
        <v>19840</v>
      </c>
      <c r="G13" s="18">
        <f t="shared" si="2"/>
        <v>124263</v>
      </c>
      <c r="H13" s="7">
        <v>124263</v>
      </c>
      <c r="J13" s="19">
        <v>110000</v>
      </c>
      <c r="K13" s="20">
        <f t="shared" si="3"/>
        <v>20900</v>
      </c>
      <c r="L13" s="21">
        <f t="shared" si="4"/>
        <v>130900</v>
      </c>
      <c r="N13" s="19">
        <v>110000</v>
      </c>
      <c r="O13" s="20">
        <f t="shared" si="5"/>
        <v>20900</v>
      </c>
      <c r="P13" s="21">
        <f t="shared" si="6"/>
        <v>130900</v>
      </c>
      <c r="R13" s="25">
        <f t="shared" si="7"/>
        <v>104423</v>
      </c>
      <c r="S13" s="26">
        <f t="shared" si="7"/>
        <v>19840</v>
      </c>
      <c r="T13" s="27">
        <f t="shared" si="8"/>
        <v>124263</v>
      </c>
      <c r="V13" s="28">
        <f t="shared" si="10"/>
        <v>124263</v>
      </c>
    </row>
    <row r="14" spans="1:22" ht="30.75" customHeight="1" x14ac:dyDescent="0.2">
      <c r="A14" s="13">
        <f t="shared" si="9"/>
        <v>10</v>
      </c>
      <c r="B14" s="2" t="s">
        <v>18</v>
      </c>
      <c r="C14" s="14">
        <v>1</v>
      </c>
      <c r="D14" s="15" t="s">
        <v>9</v>
      </c>
      <c r="E14" s="16">
        <f t="shared" si="0"/>
        <v>44258</v>
      </c>
      <c r="F14" s="17">
        <f t="shared" si="1"/>
        <v>8409</v>
      </c>
      <c r="G14" s="18">
        <f t="shared" si="2"/>
        <v>52667</v>
      </c>
      <c r="H14" s="7">
        <v>52667</v>
      </c>
      <c r="J14" s="19">
        <v>50000</v>
      </c>
      <c r="K14" s="20">
        <f t="shared" si="3"/>
        <v>9500</v>
      </c>
      <c r="L14" s="21">
        <f t="shared" si="4"/>
        <v>59500</v>
      </c>
      <c r="N14" s="19">
        <v>50000</v>
      </c>
      <c r="O14" s="20">
        <f t="shared" si="5"/>
        <v>9500</v>
      </c>
      <c r="P14" s="21">
        <f t="shared" si="6"/>
        <v>59500</v>
      </c>
      <c r="R14" s="25">
        <f t="shared" si="7"/>
        <v>44258</v>
      </c>
      <c r="S14" s="26">
        <f t="shared" si="7"/>
        <v>8409</v>
      </c>
      <c r="T14" s="27">
        <f t="shared" si="8"/>
        <v>52667</v>
      </c>
      <c r="V14" s="28">
        <f t="shared" si="10"/>
        <v>52667</v>
      </c>
    </row>
    <row r="15" spans="1:22" ht="42.75" customHeight="1" x14ac:dyDescent="0.2">
      <c r="A15" s="13">
        <f t="shared" si="9"/>
        <v>11</v>
      </c>
      <c r="B15" s="2" t="s">
        <v>19</v>
      </c>
      <c r="C15" s="14">
        <v>1</v>
      </c>
      <c r="D15" s="15" t="s">
        <v>9</v>
      </c>
      <c r="E15" s="16">
        <f t="shared" si="0"/>
        <v>300851</v>
      </c>
      <c r="F15" s="17">
        <f>+ROUND(E15*0.19,0)</f>
        <v>57162</v>
      </c>
      <c r="G15" s="18">
        <f t="shared" si="2"/>
        <v>358013</v>
      </c>
      <c r="H15" s="7">
        <v>358013</v>
      </c>
      <c r="J15" s="19">
        <v>350000</v>
      </c>
      <c r="K15" s="20">
        <f t="shared" si="3"/>
        <v>66500</v>
      </c>
      <c r="L15" s="21">
        <f t="shared" si="4"/>
        <v>416500</v>
      </c>
      <c r="N15" s="19">
        <v>350000</v>
      </c>
      <c r="O15" s="20">
        <f t="shared" si="5"/>
        <v>66500</v>
      </c>
      <c r="P15" s="21">
        <f t="shared" si="6"/>
        <v>416500</v>
      </c>
      <c r="R15" s="25">
        <f t="shared" si="7"/>
        <v>300851</v>
      </c>
      <c r="S15" s="26">
        <f t="shared" si="7"/>
        <v>57162</v>
      </c>
      <c r="T15" s="27">
        <f t="shared" si="8"/>
        <v>358013</v>
      </c>
      <c r="V15" s="28">
        <f t="shared" si="10"/>
        <v>358013</v>
      </c>
    </row>
    <row r="16" spans="1:22" ht="36" customHeight="1" x14ac:dyDescent="0.2">
      <c r="A16" s="13">
        <f t="shared" si="9"/>
        <v>12</v>
      </c>
      <c r="B16" s="2" t="s">
        <v>20</v>
      </c>
      <c r="C16" s="14">
        <v>1</v>
      </c>
      <c r="D16" s="15" t="s">
        <v>9</v>
      </c>
      <c r="E16" s="16">
        <f t="shared" si="0"/>
        <v>429791</v>
      </c>
      <c r="F16" s="17">
        <f t="shared" si="1"/>
        <v>81660</v>
      </c>
      <c r="G16" s="18">
        <f t="shared" si="2"/>
        <v>511451</v>
      </c>
      <c r="H16" s="7">
        <v>511451</v>
      </c>
      <c r="J16" s="19">
        <f>+ROUND(431790.756,0)</f>
        <v>431791</v>
      </c>
      <c r="K16" s="20">
        <f t="shared" si="3"/>
        <v>82040</v>
      </c>
      <c r="L16" s="21">
        <f t="shared" si="4"/>
        <v>513831</v>
      </c>
      <c r="N16" s="19">
        <v>500000</v>
      </c>
      <c r="O16" s="20">
        <f t="shared" si="5"/>
        <v>95000</v>
      </c>
      <c r="P16" s="21">
        <f t="shared" si="6"/>
        <v>595000</v>
      </c>
      <c r="R16" s="25">
        <f t="shared" si="7"/>
        <v>429791</v>
      </c>
      <c r="S16" s="26">
        <f t="shared" si="7"/>
        <v>81660</v>
      </c>
      <c r="T16" s="27">
        <f t="shared" si="8"/>
        <v>511451</v>
      </c>
      <c r="V16" s="28">
        <f t="shared" si="10"/>
        <v>511451</v>
      </c>
    </row>
    <row r="17" spans="1:22" ht="39.75" customHeight="1" x14ac:dyDescent="0.2">
      <c r="A17" s="13">
        <f t="shared" si="9"/>
        <v>13</v>
      </c>
      <c r="B17" s="2" t="s">
        <v>21</v>
      </c>
      <c r="C17" s="14">
        <v>1</v>
      </c>
      <c r="D17" s="15" t="s">
        <v>9</v>
      </c>
      <c r="E17" s="16">
        <f>+ROUND((H17/1.19),0)</f>
        <v>91455</v>
      </c>
      <c r="F17" s="17">
        <f t="shared" si="1"/>
        <v>17376</v>
      </c>
      <c r="G17" s="18">
        <f t="shared" si="2"/>
        <v>108831</v>
      </c>
      <c r="H17" s="7">
        <v>108831</v>
      </c>
      <c r="J17" s="19">
        <f>+ROUND(93454.6218487395,0)</f>
        <v>93455</v>
      </c>
      <c r="K17" s="20">
        <f>ROUND(+J17*0.19,0)</f>
        <v>17756</v>
      </c>
      <c r="L17" s="21">
        <f t="shared" si="4"/>
        <v>111211</v>
      </c>
      <c r="N17" s="19">
        <v>145000</v>
      </c>
      <c r="O17" s="20">
        <f t="shared" si="5"/>
        <v>27550</v>
      </c>
      <c r="P17" s="21">
        <f t="shared" si="6"/>
        <v>172550</v>
      </c>
      <c r="R17" s="25">
        <f t="shared" si="7"/>
        <v>91455</v>
      </c>
      <c r="S17" s="26">
        <f t="shared" si="7"/>
        <v>17376</v>
      </c>
      <c r="T17" s="27">
        <f t="shared" si="8"/>
        <v>108831</v>
      </c>
      <c r="V17" s="28">
        <f t="shared" si="10"/>
        <v>108831</v>
      </c>
    </row>
    <row r="18" spans="1:22" ht="31.5" customHeight="1" x14ac:dyDescent="0.2">
      <c r="A18" s="13">
        <f t="shared" si="9"/>
        <v>14</v>
      </c>
      <c r="B18" s="2" t="s">
        <v>22</v>
      </c>
      <c r="C18" s="14">
        <v>1</v>
      </c>
      <c r="D18" s="15" t="s">
        <v>9</v>
      </c>
      <c r="E18" s="16">
        <f t="shared" si="0"/>
        <v>33613</v>
      </c>
      <c r="F18" s="17">
        <f t="shared" si="1"/>
        <v>6386</v>
      </c>
      <c r="G18" s="18">
        <f t="shared" si="2"/>
        <v>39999</v>
      </c>
      <c r="H18" s="7">
        <v>40000</v>
      </c>
      <c r="J18" s="19">
        <f>+ROUND(35613.4453781513,0)</f>
        <v>35613</v>
      </c>
      <c r="K18" s="20">
        <f t="shared" si="3"/>
        <v>6766</v>
      </c>
      <c r="L18" s="21">
        <f t="shared" si="4"/>
        <v>42379</v>
      </c>
      <c r="N18" s="19">
        <v>33613</v>
      </c>
      <c r="O18" s="20">
        <f t="shared" si="5"/>
        <v>6386</v>
      </c>
      <c r="P18" s="21">
        <f t="shared" si="6"/>
        <v>39999</v>
      </c>
      <c r="R18" s="25">
        <f t="shared" si="7"/>
        <v>33613</v>
      </c>
      <c r="S18" s="26">
        <f t="shared" si="7"/>
        <v>6386</v>
      </c>
      <c r="T18" s="27">
        <f t="shared" si="8"/>
        <v>39999</v>
      </c>
      <c r="V18" s="28">
        <f t="shared" si="10"/>
        <v>39999</v>
      </c>
    </row>
    <row r="19" spans="1:22" ht="31.5" customHeight="1" x14ac:dyDescent="0.2">
      <c r="A19" s="13">
        <f t="shared" si="9"/>
        <v>15</v>
      </c>
      <c r="B19" s="2" t="s">
        <v>23</v>
      </c>
      <c r="C19" s="14">
        <v>1</v>
      </c>
      <c r="D19" s="15" t="s">
        <v>9</v>
      </c>
      <c r="E19" s="16">
        <f t="shared" si="0"/>
        <v>50420</v>
      </c>
      <c r="F19" s="17">
        <f t="shared" si="1"/>
        <v>9580</v>
      </c>
      <c r="G19" s="18">
        <f t="shared" si="2"/>
        <v>60000</v>
      </c>
      <c r="H19" s="7">
        <v>60000</v>
      </c>
      <c r="J19" s="19">
        <f>+ROUND(52420.1680672269,0)</f>
        <v>52420</v>
      </c>
      <c r="K19" s="20">
        <f t="shared" si="3"/>
        <v>9960</v>
      </c>
      <c r="L19" s="21">
        <f t="shared" si="4"/>
        <v>62380</v>
      </c>
      <c r="N19" s="19">
        <v>100000</v>
      </c>
      <c r="O19" s="20">
        <f t="shared" si="5"/>
        <v>19000</v>
      </c>
      <c r="P19" s="21">
        <f t="shared" si="6"/>
        <v>119000</v>
      </c>
      <c r="R19" s="25">
        <f t="shared" si="7"/>
        <v>50420</v>
      </c>
      <c r="S19" s="26">
        <f t="shared" si="7"/>
        <v>9580</v>
      </c>
      <c r="T19" s="27">
        <f t="shared" si="8"/>
        <v>60000</v>
      </c>
      <c r="V19" s="28">
        <f t="shared" si="10"/>
        <v>60000</v>
      </c>
    </row>
    <row r="20" spans="1:22" x14ac:dyDescent="0.2">
      <c r="A20" s="13">
        <f t="shared" si="9"/>
        <v>16</v>
      </c>
      <c r="B20" s="2" t="s">
        <v>24</v>
      </c>
      <c r="C20" s="14">
        <v>1</v>
      </c>
      <c r="D20" s="15" t="s">
        <v>25</v>
      </c>
      <c r="E20" s="16">
        <f t="shared" si="0"/>
        <v>168067</v>
      </c>
      <c r="F20" s="17">
        <f t="shared" si="1"/>
        <v>31933</v>
      </c>
      <c r="G20" s="18">
        <f t="shared" si="2"/>
        <v>200000</v>
      </c>
      <c r="H20" s="7">
        <v>200000</v>
      </c>
      <c r="J20" s="19">
        <v>280000</v>
      </c>
      <c r="K20" s="20">
        <f t="shared" si="3"/>
        <v>53200</v>
      </c>
      <c r="L20" s="21">
        <f t="shared" si="4"/>
        <v>333200</v>
      </c>
      <c r="N20" s="19">
        <v>210000</v>
      </c>
      <c r="O20" s="20">
        <f t="shared" si="5"/>
        <v>39900</v>
      </c>
      <c r="P20" s="21">
        <f t="shared" si="6"/>
        <v>249900</v>
      </c>
      <c r="R20" s="25">
        <f t="shared" si="7"/>
        <v>168067</v>
      </c>
      <c r="S20" s="26">
        <f t="shared" si="7"/>
        <v>31933</v>
      </c>
      <c r="T20" s="27">
        <f t="shared" si="8"/>
        <v>200000</v>
      </c>
      <c r="V20" s="28">
        <f t="shared" si="10"/>
        <v>200000</v>
      </c>
    </row>
    <row r="21" spans="1:22" ht="27" customHeight="1" x14ac:dyDescent="0.2">
      <c r="A21" s="13">
        <f t="shared" si="9"/>
        <v>17</v>
      </c>
      <c r="B21" s="2" t="s">
        <v>26</v>
      </c>
      <c r="C21" s="14">
        <v>1</v>
      </c>
      <c r="D21" s="15" t="s">
        <v>25</v>
      </c>
      <c r="E21" s="16">
        <f t="shared" si="0"/>
        <v>241500</v>
      </c>
      <c r="F21" s="17">
        <f>+ROUND(E21*0.19,0)</f>
        <v>45885</v>
      </c>
      <c r="G21" s="18">
        <f t="shared" si="2"/>
        <v>287385</v>
      </c>
      <c r="H21" s="7">
        <v>287385</v>
      </c>
      <c r="J21" s="19">
        <v>310000</v>
      </c>
      <c r="K21" s="20">
        <f t="shared" si="3"/>
        <v>58900</v>
      </c>
      <c r="L21" s="21">
        <f t="shared" si="4"/>
        <v>368900</v>
      </c>
      <c r="N21" s="19">
        <v>300000</v>
      </c>
      <c r="O21" s="20">
        <f t="shared" si="5"/>
        <v>57000</v>
      </c>
      <c r="P21" s="21">
        <f t="shared" si="6"/>
        <v>357000</v>
      </c>
      <c r="R21" s="25">
        <f t="shared" si="7"/>
        <v>241500</v>
      </c>
      <c r="S21" s="26">
        <f t="shared" si="7"/>
        <v>45885</v>
      </c>
      <c r="T21" s="27">
        <f t="shared" si="8"/>
        <v>287385</v>
      </c>
      <c r="V21" s="28">
        <f t="shared" si="10"/>
        <v>287385</v>
      </c>
    </row>
    <row r="22" spans="1:22" ht="25.5" customHeight="1" x14ac:dyDescent="0.2">
      <c r="A22" s="13">
        <f t="shared" si="9"/>
        <v>18</v>
      </c>
      <c r="B22" s="2" t="s">
        <v>27</v>
      </c>
      <c r="C22" s="14">
        <v>1</v>
      </c>
      <c r="D22" s="15" t="s">
        <v>9</v>
      </c>
      <c r="E22" s="16">
        <f t="shared" si="0"/>
        <v>109244</v>
      </c>
      <c r="F22" s="17">
        <f t="shared" si="1"/>
        <v>20756</v>
      </c>
      <c r="G22" s="18">
        <f t="shared" si="2"/>
        <v>130000</v>
      </c>
      <c r="H22" s="7">
        <v>130000</v>
      </c>
      <c r="J22" s="19">
        <f>+ROUND(111243.697478992,0)</f>
        <v>111244</v>
      </c>
      <c r="K22" s="20">
        <f t="shared" si="3"/>
        <v>21136</v>
      </c>
      <c r="L22" s="21">
        <f t="shared" si="4"/>
        <v>132380</v>
      </c>
      <c r="N22" s="19">
        <v>109244</v>
      </c>
      <c r="O22" s="20">
        <f t="shared" si="5"/>
        <v>20756</v>
      </c>
      <c r="P22" s="21">
        <f t="shared" si="6"/>
        <v>130000</v>
      </c>
      <c r="R22" s="25">
        <f t="shared" si="7"/>
        <v>109244</v>
      </c>
      <c r="S22" s="26">
        <f t="shared" si="7"/>
        <v>20756</v>
      </c>
      <c r="T22" s="27">
        <f t="shared" si="8"/>
        <v>130000</v>
      </c>
      <c r="V22" s="28">
        <f t="shared" si="10"/>
        <v>130000</v>
      </c>
    </row>
    <row r="23" spans="1:22" ht="22.5" x14ac:dyDescent="0.2">
      <c r="A23" s="13">
        <f t="shared" si="9"/>
        <v>19</v>
      </c>
      <c r="B23" s="2" t="s">
        <v>28</v>
      </c>
      <c r="C23" s="14">
        <v>1</v>
      </c>
      <c r="D23" s="15" t="s">
        <v>9</v>
      </c>
      <c r="E23" s="16">
        <f t="shared" si="0"/>
        <v>84034</v>
      </c>
      <c r="F23" s="17">
        <f t="shared" si="1"/>
        <v>15966</v>
      </c>
      <c r="G23" s="18">
        <f t="shared" si="2"/>
        <v>100000</v>
      </c>
      <c r="H23" s="7">
        <v>100000</v>
      </c>
      <c r="J23" s="19">
        <f>+ROUND(86033.6134453782,0)</f>
        <v>86034</v>
      </c>
      <c r="K23" s="20">
        <f t="shared" si="3"/>
        <v>16346</v>
      </c>
      <c r="L23" s="21">
        <f t="shared" si="4"/>
        <v>102380</v>
      </c>
      <c r="N23" s="19">
        <v>84034</v>
      </c>
      <c r="O23" s="20">
        <f t="shared" si="5"/>
        <v>15966</v>
      </c>
      <c r="P23" s="21">
        <f t="shared" si="6"/>
        <v>100000</v>
      </c>
      <c r="R23" s="25">
        <f t="shared" si="7"/>
        <v>84034</v>
      </c>
      <c r="S23" s="26">
        <f t="shared" si="7"/>
        <v>15966</v>
      </c>
      <c r="T23" s="27">
        <f t="shared" si="8"/>
        <v>100000</v>
      </c>
      <c r="V23" s="28">
        <f t="shared" si="10"/>
        <v>100000</v>
      </c>
    </row>
    <row r="24" spans="1:22" s="34" customFormat="1" ht="22.5" x14ac:dyDescent="0.2">
      <c r="A24" s="29">
        <f t="shared" si="9"/>
        <v>20</v>
      </c>
      <c r="B24" s="3" t="s">
        <v>29</v>
      </c>
      <c r="C24" s="30">
        <v>1</v>
      </c>
      <c r="D24" s="31" t="s">
        <v>30</v>
      </c>
      <c r="E24" s="16">
        <f>+ROUND((H24/1.19),0)</f>
        <v>420168</v>
      </c>
      <c r="F24" s="17">
        <f t="shared" si="1"/>
        <v>79832</v>
      </c>
      <c r="G24" s="32">
        <f t="shared" si="2"/>
        <v>500000</v>
      </c>
      <c r="H24" s="33">
        <v>500000</v>
      </c>
      <c r="J24" s="19">
        <v>310000</v>
      </c>
      <c r="K24" s="20">
        <f t="shared" si="3"/>
        <v>58900</v>
      </c>
      <c r="L24" s="21">
        <f t="shared" si="4"/>
        <v>368900</v>
      </c>
      <c r="N24" s="19">
        <v>308000</v>
      </c>
      <c r="O24" s="20">
        <f t="shared" si="5"/>
        <v>58520</v>
      </c>
      <c r="P24" s="21">
        <f t="shared" si="6"/>
        <v>366520</v>
      </c>
      <c r="Q24" s="5"/>
      <c r="R24" s="25">
        <f t="shared" si="7"/>
        <v>420168</v>
      </c>
      <c r="S24" s="26">
        <f t="shared" si="7"/>
        <v>79832</v>
      </c>
      <c r="T24" s="27">
        <f t="shared" si="8"/>
        <v>500000</v>
      </c>
      <c r="V24" s="80">
        <f>+P24</f>
        <v>366520</v>
      </c>
    </row>
    <row r="25" spans="1:22" ht="22.5" x14ac:dyDescent="0.2">
      <c r="A25" s="13">
        <f t="shared" si="9"/>
        <v>21</v>
      </c>
      <c r="B25" s="2" t="s">
        <v>31</v>
      </c>
      <c r="C25" s="14">
        <v>1</v>
      </c>
      <c r="D25" s="15" t="s">
        <v>9</v>
      </c>
      <c r="E25" s="16">
        <f t="shared" si="0"/>
        <v>483193</v>
      </c>
      <c r="F25" s="17">
        <f t="shared" si="1"/>
        <v>91807</v>
      </c>
      <c r="G25" s="18">
        <f t="shared" si="2"/>
        <v>575000</v>
      </c>
      <c r="H25" s="7">
        <v>575000</v>
      </c>
      <c r="J25" s="19">
        <f>+ROUND(485193.277310924,0)</f>
        <v>485193</v>
      </c>
      <c r="K25" s="20">
        <f t="shared" si="3"/>
        <v>92187</v>
      </c>
      <c r="L25" s="21">
        <f t="shared" si="4"/>
        <v>577380</v>
      </c>
      <c r="N25" s="19">
        <v>720000</v>
      </c>
      <c r="O25" s="20">
        <f t="shared" si="5"/>
        <v>136800</v>
      </c>
      <c r="P25" s="21">
        <f t="shared" si="6"/>
        <v>856800</v>
      </c>
      <c r="R25" s="25">
        <f t="shared" si="7"/>
        <v>483193</v>
      </c>
      <c r="S25" s="26">
        <f t="shared" si="7"/>
        <v>91807</v>
      </c>
      <c r="T25" s="27">
        <f t="shared" si="8"/>
        <v>575000</v>
      </c>
      <c r="V25" s="28">
        <f>+G25</f>
        <v>575000</v>
      </c>
    </row>
    <row r="26" spans="1:22" ht="26.25" customHeight="1" x14ac:dyDescent="0.2">
      <c r="A26" s="13">
        <f t="shared" si="9"/>
        <v>22</v>
      </c>
      <c r="B26" s="2" t="s">
        <v>32</v>
      </c>
      <c r="C26" s="14">
        <v>1</v>
      </c>
      <c r="D26" s="15" t="s">
        <v>9</v>
      </c>
      <c r="E26" s="16">
        <f>+ROUND((H26/1.19),0)</f>
        <v>603750</v>
      </c>
      <c r="F26" s="17">
        <f t="shared" si="1"/>
        <v>114713</v>
      </c>
      <c r="G26" s="18">
        <f t="shared" si="2"/>
        <v>718463</v>
      </c>
      <c r="H26" s="7">
        <v>718463</v>
      </c>
      <c r="J26" s="19">
        <f>+ROUND(605750.420168067,0)</f>
        <v>605750</v>
      </c>
      <c r="K26" s="20">
        <f t="shared" si="3"/>
        <v>115093</v>
      </c>
      <c r="L26" s="21">
        <f t="shared" si="4"/>
        <v>720843</v>
      </c>
      <c r="N26" s="19">
        <v>603750</v>
      </c>
      <c r="O26" s="20">
        <f t="shared" si="5"/>
        <v>114713</v>
      </c>
      <c r="P26" s="21">
        <f t="shared" si="6"/>
        <v>718463</v>
      </c>
      <c r="R26" s="25">
        <f t="shared" si="7"/>
        <v>603750</v>
      </c>
      <c r="S26" s="26">
        <f t="shared" si="7"/>
        <v>114713</v>
      </c>
      <c r="T26" s="27">
        <f t="shared" si="8"/>
        <v>718463</v>
      </c>
      <c r="V26" s="28">
        <f>+G26</f>
        <v>718463</v>
      </c>
    </row>
    <row r="27" spans="1:22" ht="22.5" x14ac:dyDescent="0.2">
      <c r="A27" s="13">
        <f t="shared" si="9"/>
        <v>23</v>
      </c>
      <c r="B27" s="2" t="s">
        <v>33</v>
      </c>
      <c r="C27" s="14">
        <v>1</v>
      </c>
      <c r="D27" s="15" t="s">
        <v>30</v>
      </c>
      <c r="E27" s="16">
        <f t="shared" si="0"/>
        <v>125950</v>
      </c>
      <c r="F27" s="17">
        <f t="shared" si="1"/>
        <v>23931</v>
      </c>
      <c r="G27" s="18">
        <f t="shared" si="2"/>
        <v>149881</v>
      </c>
      <c r="H27" s="7">
        <v>149881</v>
      </c>
      <c r="J27" s="35">
        <v>175000</v>
      </c>
      <c r="K27" s="20">
        <f t="shared" si="3"/>
        <v>33250</v>
      </c>
      <c r="L27" s="21">
        <f t="shared" si="4"/>
        <v>208250</v>
      </c>
      <c r="N27" s="35">
        <v>170000</v>
      </c>
      <c r="O27" s="20">
        <f t="shared" si="5"/>
        <v>32300</v>
      </c>
      <c r="P27" s="21">
        <f t="shared" si="6"/>
        <v>202300</v>
      </c>
      <c r="R27" s="25">
        <f t="shared" si="7"/>
        <v>125950</v>
      </c>
      <c r="S27" s="26">
        <f t="shared" si="7"/>
        <v>23931</v>
      </c>
      <c r="T27" s="27">
        <f t="shared" si="8"/>
        <v>149881</v>
      </c>
      <c r="V27" s="28">
        <f>+G27</f>
        <v>149881</v>
      </c>
    </row>
    <row r="28" spans="1:22" ht="48.75" customHeight="1" thickBot="1" x14ac:dyDescent="0.25">
      <c r="A28" s="13">
        <f t="shared" si="9"/>
        <v>24</v>
      </c>
      <c r="B28" s="2" t="s">
        <v>34</v>
      </c>
      <c r="C28" s="14">
        <v>1</v>
      </c>
      <c r="D28" s="15" t="s">
        <v>30</v>
      </c>
      <c r="E28" s="16">
        <f t="shared" si="0"/>
        <v>204160</v>
      </c>
      <c r="F28" s="17">
        <f t="shared" si="1"/>
        <v>38790</v>
      </c>
      <c r="G28" s="18">
        <f t="shared" si="2"/>
        <v>242950</v>
      </c>
      <c r="H28" s="7">
        <v>242950</v>
      </c>
      <c r="J28" s="35">
        <v>211000</v>
      </c>
      <c r="K28" s="20">
        <f t="shared" si="3"/>
        <v>40090</v>
      </c>
      <c r="L28" s="21">
        <f t="shared" si="4"/>
        <v>251090</v>
      </c>
      <c r="N28" s="35">
        <v>210000</v>
      </c>
      <c r="O28" s="20">
        <f t="shared" si="5"/>
        <v>39900</v>
      </c>
      <c r="P28" s="21">
        <f t="shared" si="6"/>
        <v>249900</v>
      </c>
      <c r="R28" s="36">
        <f t="shared" si="7"/>
        <v>204160</v>
      </c>
      <c r="S28" s="37">
        <f t="shared" si="7"/>
        <v>38790</v>
      </c>
      <c r="T28" s="38">
        <f t="shared" si="8"/>
        <v>242950</v>
      </c>
      <c r="V28" s="28">
        <f>+G28</f>
        <v>242950</v>
      </c>
    </row>
    <row r="29" spans="1:22" ht="12" thickBot="1" x14ac:dyDescent="0.25">
      <c r="A29" s="13">
        <v>2</v>
      </c>
      <c r="B29" s="39" t="s">
        <v>35</v>
      </c>
      <c r="C29" s="40"/>
      <c r="D29" s="40"/>
      <c r="E29" s="40"/>
      <c r="F29" s="40"/>
      <c r="G29" s="41"/>
      <c r="J29" s="228" t="str">
        <f>+B29</f>
        <v>AGREGADOS</v>
      </c>
      <c r="K29" s="228"/>
      <c r="L29" s="228"/>
      <c r="N29" s="228" t="str">
        <f>+J29</f>
        <v>AGREGADOS</v>
      </c>
      <c r="O29" s="228"/>
      <c r="P29" s="228"/>
      <c r="R29" s="223" t="str">
        <f>+N29</f>
        <v>AGREGADOS</v>
      </c>
      <c r="S29" s="223"/>
      <c r="T29" s="223"/>
    </row>
    <row r="30" spans="1:22" ht="40.5" customHeight="1" x14ac:dyDescent="0.2">
      <c r="A30" s="13">
        <v>2.1</v>
      </c>
      <c r="B30" s="2" t="s">
        <v>36</v>
      </c>
      <c r="C30" s="14">
        <v>1</v>
      </c>
      <c r="D30" s="15" t="s">
        <v>9</v>
      </c>
      <c r="E30" s="16">
        <f t="shared" si="0"/>
        <v>45465</v>
      </c>
      <c r="F30" s="17">
        <f>+ROUND(E30*0.19,0)</f>
        <v>8638</v>
      </c>
      <c r="G30" s="18">
        <f t="shared" si="2"/>
        <v>54103</v>
      </c>
      <c r="H30" s="7">
        <v>54103</v>
      </c>
      <c r="J30" s="19">
        <f>+ROUND(47464.7058823529,0)</f>
        <v>47465</v>
      </c>
      <c r="K30" s="17">
        <f>+ROUND(J30*0.19,0)</f>
        <v>9018</v>
      </c>
      <c r="L30" s="21">
        <f t="shared" si="4"/>
        <v>56483</v>
      </c>
      <c r="N30" s="42">
        <v>60000</v>
      </c>
      <c r="O30" s="17">
        <f t="shared" ref="O30:O37" si="11">+N30*0.19</f>
        <v>11400</v>
      </c>
      <c r="P30" s="21">
        <f t="shared" ref="P30:P40" si="12">+O30+N30</f>
        <v>71400</v>
      </c>
      <c r="R30" s="43">
        <f>+E30</f>
        <v>45465</v>
      </c>
      <c r="S30" s="44">
        <f>+F30</f>
        <v>8638</v>
      </c>
      <c r="T30" s="24">
        <f>+G30</f>
        <v>54103</v>
      </c>
      <c r="V30" s="28">
        <f t="shared" ref="V30:V40" si="13">+G30</f>
        <v>54103</v>
      </c>
    </row>
    <row r="31" spans="1:22" ht="47.25" customHeight="1" x14ac:dyDescent="0.2">
      <c r="A31" s="13">
        <v>2.2000000000000002</v>
      </c>
      <c r="B31" s="2" t="s">
        <v>37</v>
      </c>
      <c r="C31" s="14">
        <v>1</v>
      </c>
      <c r="D31" s="15" t="s">
        <v>9</v>
      </c>
      <c r="E31" s="16">
        <f t="shared" si="0"/>
        <v>45465</v>
      </c>
      <c r="F31" s="17">
        <f t="shared" ref="F31:F33" si="14">+ROUND(E31*0.19,0)</f>
        <v>8638</v>
      </c>
      <c r="G31" s="18">
        <f t="shared" si="2"/>
        <v>54103</v>
      </c>
      <c r="H31" s="7">
        <v>54103</v>
      </c>
      <c r="J31" s="19">
        <f>+ROUND(47464.7058823529,0)</f>
        <v>47465</v>
      </c>
      <c r="K31" s="17">
        <f t="shared" ref="K31:K39" si="15">+ROUND(J31*0.19,0)</f>
        <v>9018</v>
      </c>
      <c r="L31" s="21">
        <f t="shared" si="4"/>
        <v>56483</v>
      </c>
      <c r="N31" s="42">
        <v>55000</v>
      </c>
      <c r="O31" s="17">
        <f t="shared" si="11"/>
        <v>10450</v>
      </c>
      <c r="P31" s="21">
        <f t="shared" si="12"/>
        <v>65450</v>
      </c>
      <c r="R31" s="45">
        <f t="shared" ref="R31:T40" si="16">+E31</f>
        <v>45465</v>
      </c>
      <c r="S31" s="21">
        <f t="shared" si="16"/>
        <v>8638</v>
      </c>
      <c r="T31" s="27">
        <f t="shared" si="16"/>
        <v>54103</v>
      </c>
      <c r="V31" s="28">
        <f t="shared" si="13"/>
        <v>54103</v>
      </c>
    </row>
    <row r="32" spans="1:22" ht="33" customHeight="1" x14ac:dyDescent="0.2">
      <c r="A32" s="13">
        <v>2.2999999999999998</v>
      </c>
      <c r="B32" s="2" t="s">
        <v>38</v>
      </c>
      <c r="C32" s="14">
        <v>1</v>
      </c>
      <c r="D32" s="15" t="s">
        <v>9</v>
      </c>
      <c r="E32" s="16">
        <f t="shared" si="0"/>
        <v>34388</v>
      </c>
      <c r="F32" s="17">
        <f t="shared" si="14"/>
        <v>6534</v>
      </c>
      <c r="G32" s="18">
        <f t="shared" si="2"/>
        <v>40922</v>
      </c>
      <c r="H32" s="7">
        <v>40922</v>
      </c>
      <c r="J32" s="19">
        <f>+ROUND(36388.2352941177,0)</f>
        <v>36388</v>
      </c>
      <c r="K32" s="17">
        <f t="shared" si="15"/>
        <v>6914</v>
      </c>
      <c r="L32" s="21">
        <f t="shared" si="4"/>
        <v>43302</v>
      </c>
      <c r="N32" s="42">
        <v>35000</v>
      </c>
      <c r="O32" s="17">
        <f t="shared" si="11"/>
        <v>6650</v>
      </c>
      <c r="P32" s="21">
        <f t="shared" si="12"/>
        <v>41650</v>
      </c>
      <c r="R32" s="45">
        <f t="shared" si="16"/>
        <v>34388</v>
      </c>
      <c r="S32" s="21">
        <f t="shared" si="16"/>
        <v>6534</v>
      </c>
      <c r="T32" s="27">
        <f t="shared" si="16"/>
        <v>40922</v>
      </c>
      <c r="V32" s="28">
        <f t="shared" si="13"/>
        <v>40922</v>
      </c>
    </row>
    <row r="33" spans="1:22" ht="22.5" x14ac:dyDescent="0.2">
      <c r="A33" s="13">
        <v>2.4</v>
      </c>
      <c r="B33" s="2" t="s">
        <v>39</v>
      </c>
      <c r="C33" s="14">
        <v>1</v>
      </c>
      <c r="D33" s="15" t="s">
        <v>9</v>
      </c>
      <c r="E33" s="16">
        <f t="shared" si="0"/>
        <v>39218</v>
      </c>
      <c r="F33" s="17">
        <f t="shared" si="14"/>
        <v>7451</v>
      </c>
      <c r="G33" s="18">
        <f t="shared" si="2"/>
        <v>46669</v>
      </c>
      <c r="H33" s="7">
        <v>46669</v>
      </c>
      <c r="J33" s="19">
        <f>+ROUND(41217.6470588235,0)</f>
        <v>41218</v>
      </c>
      <c r="K33" s="17">
        <f t="shared" si="15"/>
        <v>7831</v>
      </c>
      <c r="L33" s="21">
        <f t="shared" si="4"/>
        <v>49049</v>
      </c>
      <c r="N33" s="42">
        <v>45000</v>
      </c>
      <c r="O33" s="17">
        <f t="shared" si="11"/>
        <v>8550</v>
      </c>
      <c r="P33" s="21">
        <f t="shared" si="12"/>
        <v>53550</v>
      </c>
      <c r="R33" s="45">
        <f t="shared" si="16"/>
        <v>39218</v>
      </c>
      <c r="S33" s="21">
        <f t="shared" si="16"/>
        <v>7451</v>
      </c>
      <c r="T33" s="27">
        <f t="shared" si="16"/>
        <v>46669</v>
      </c>
      <c r="V33" s="28">
        <f t="shared" si="13"/>
        <v>46669</v>
      </c>
    </row>
    <row r="34" spans="1:22" ht="25.5" customHeight="1" x14ac:dyDescent="0.2">
      <c r="A34" s="13">
        <v>2.5</v>
      </c>
      <c r="B34" s="2" t="s">
        <v>40</v>
      </c>
      <c r="C34" s="14">
        <v>1</v>
      </c>
      <c r="D34" s="15" t="s">
        <v>9</v>
      </c>
      <c r="E34" s="16">
        <f t="shared" si="0"/>
        <v>33613</v>
      </c>
      <c r="F34" s="17">
        <f>+ROUND(E34*0.19,0)</f>
        <v>6386</v>
      </c>
      <c r="G34" s="18">
        <f t="shared" si="2"/>
        <v>39999</v>
      </c>
      <c r="H34" s="7">
        <v>40000</v>
      </c>
      <c r="J34" s="19">
        <f>+ROUND(35613.4453781513,0)</f>
        <v>35613</v>
      </c>
      <c r="K34" s="17">
        <f t="shared" si="15"/>
        <v>6766</v>
      </c>
      <c r="L34" s="21">
        <f t="shared" si="4"/>
        <v>42379</v>
      </c>
      <c r="N34" s="42">
        <v>45000</v>
      </c>
      <c r="O34" s="17">
        <f t="shared" si="11"/>
        <v>8550</v>
      </c>
      <c r="P34" s="21">
        <f t="shared" si="12"/>
        <v>53550</v>
      </c>
      <c r="R34" s="45">
        <f t="shared" si="16"/>
        <v>33613</v>
      </c>
      <c r="S34" s="21">
        <f t="shared" si="16"/>
        <v>6386</v>
      </c>
      <c r="T34" s="27">
        <f t="shared" si="16"/>
        <v>39999</v>
      </c>
      <c r="V34" s="28">
        <f t="shared" si="13"/>
        <v>39999</v>
      </c>
    </row>
    <row r="35" spans="1:22" ht="27" customHeight="1" x14ac:dyDescent="0.2">
      <c r="A35" s="13">
        <v>2.6</v>
      </c>
      <c r="B35" s="2" t="s">
        <v>41</v>
      </c>
      <c r="C35" s="14">
        <v>1</v>
      </c>
      <c r="D35" s="15" t="s">
        <v>9</v>
      </c>
      <c r="E35" s="16">
        <f t="shared" si="0"/>
        <v>33613</v>
      </c>
      <c r="F35" s="17">
        <f t="shared" ref="F35:F74" si="17">+ROUND(E35*0.19,0)</f>
        <v>6386</v>
      </c>
      <c r="G35" s="18">
        <f t="shared" si="2"/>
        <v>39999</v>
      </c>
      <c r="H35" s="7">
        <v>40000</v>
      </c>
      <c r="J35" s="19">
        <f>+ROUND(35613.4453781513,0)</f>
        <v>35613</v>
      </c>
      <c r="K35" s="17">
        <f t="shared" si="15"/>
        <v>6766</v>
      </c>
      <c r="L35" s="21">
        <f t="shared" si="4"/>
        <v>42379</v>
      </c>
      <c r="N35" s="42">
        <v>45000</v>
      </c>
      <c r="O35" s="17">
        <f t="shared" si="11"/>
        <v>8550</v>
      </c>
      <c r="P35" s="21">
        <f t="shared" si="12"/>
        <v>53550</v>
      </c>
      <c r="R35" s="45">
        <f t="shared" si="16"/>
        <v>33613</v>
      </c>
      <c r="S35" s="21">
        <f t="shared" si="16"/>
        <v>6386</v>
      </c>
      <c r="T35" s="27">
        <f t="shared" si="16"/>
        <v>39999</v>
      </c>
      <c r="V35" s="28">
        <f t="shared" si="13"/>
        <v>39999</v>
      </c>
    </row>
    <row r="36" spans="1:22" ht="26.25" customHeight="1" x14ac:dyDescent="0.2">
      <c r="A36" s="13">
        <v>2.7</v>
      </c>
      <c r="B36" s="2" t="s">
        <v>42</v>
      </c>
      <c r="C36" s="14">
        <v>1</v>
      </c>
      <c r="D36" s="15" t="s">
        <v>9</v>
      </c>
      <c r="E36" s="16">
        <f t="shared" si="0"/>
        <v>35595</v>
      </c>
      <c r="F36" s="17">
        <f t="shared" si="17"/>
        <v>6763</v>
      </c>
      <c r="G36" s="18">
        <f t="shared" si="2"/>
        <v>42358</v>
      </c>
      <c r="H36" s="7">
        <v>42358</v>
      </c>
      <c r="J36" s="19">
        <f>+ROUND(37594.9579831933,0)</f>
        <v>37595</v>
      </c>
      <c r="K36" s="17">
        <f t="shared" si="15"/>
        <v>7143</v>
      </c>
      <c r="L36" s="21">
        <f t="shared" si="4"/>
        <v>44738</v>
      </c>
      <c r="N36" s="42">
        <v>40000</v>
      </c>
      <c r="O36" s="17">
        <f t="shared" si="11"/>
        <v>7600</v>
      </c>
      <c r="P36" s="21">
        <f t="shared" si="12"/>
        <v>47600</v>
      </c>
      <c r="R36" s="45">
        <f t="shared" si="16"/>
        <v>35595</v>
      </c>
      <c r="S36" s="21">
        <f t="shared" si="16"/>
        <v>6763</v>
      </c>
      <c r="T36" s="27">
        <f t="shared" si="16"/>
        <v>42358</v>
      </c>
      <c r="V36" s="28">
        <f t="shared" si="13"/>
        <v>42358</v>
      </c>
    </row>
    <row r="37" spans="1:22" ht="31.5" customHeight="1" x14ac:dyDescent="0.2">
      <c r="A37" s="13">
        <v>2.8</v>
      </c>
      <c r="B37" s="2" t="s">
        <v>43</v>
      </c>
      <c r="C37" s="14">
        <v>1</v>
      </c>
      <c r="D37" s="15" t="s">
        <v>9</v>
      </c>
      <c r="E37" s="16">
        <f t="shared" si="0"/>
        <v>35595</v>
      </c>
      <c r="F37" s="17">
        <f t="shared" si="17"/>
        <v>6763</v>
      </c>
      <c r="G37" s="18">
        <f t="shared" si="2"/>
        <v>42358</v>
      </c>
      <c r="H37" s="7">
        <v>42358</v>
      </c>
      <c r="J37" s="19">
        <f>+ROUND(37594.9579831933,0)</f>
        <v>37595</v>
      </c>
      <c r="K37" s="17">
        <f t="shared" si="15"/>
        <v>7143</v>
      </c>
      <c r="L37" s="21">
        <f t="shared" si="4"/>
        <v>44738</v>
      </c>
      <c r="N37" s="42">
        <v>40000</v>
      </c>
      <c r="O37" s="17">
        <f t="shared" si="11"/>
        <v>7600</v>
      </c>
      <c r="P37" s="21">
        <f t="shared" si="12"/>
        <v>47600</v>
      </c>
      <c r="R37" s="45">
        <f t="shared" si="16"/>
        <v>35595</v>
      </c>
      <c r="S37" s="21">
        <f t="shared" si="16"/>
        <v>6763</v>
      </c>
      <c r="T37" s="27">
        <f t="shared" si="16"/>
        <v>42358</v>
      </c>
      <c r="V37" s="28">
        <f t="shared" si="13"/>
        <v>42358</v>
      </c>
    </row>
    <row r="38" spans="1:22" ht="39.75" customHeight="1" x14ac:dyDescent="0.2">
      <c r="A38" s="13">
        <v>2.9</v>
      </c>
      <c r="B38" s="2" t="s">
        <v>44</v>
      </c>
      <c r="C38" s="14">
        <v>1</v>
      </c>
      <c r="D38" s="15" t="s">
        <v>9</v>
      </c>
      <c r="E38" s="16">
        <f t="shared" si="0"/>
        <v>84034</v>
      </c>
      <c r="F38" s="17">
        <f t="shared" si="17"/>
        <v>15966</v>
      </c>
      <c r="G38" s="18">
        <f t="shared" si="2"/>
        <v>100000</v>
      </c>
      <c r="H38" s="7">
        <v>100000</v>
      </c>
      <c r="J38" s="19">
        <f>+ROUND(86033.6134453782,0)</f>
        <v>86034</v>
      </c>
      <c r="K38" s="17">
        <f t="shared" si="15"/>
        <v>16346</v>
      </c>
      <c r="L38" s="21">
        <f t="shared" si="4"/>
        <v>102380</v>
      </c>
      <c r="N38" s="42">
        <v>100000</v>
      </c>
      <c r="O38" s="17">
        <f>+ROUND(N38*0.19,0)</f>
        <v>19000</v>
      </c>
      <c r="P38" s="21">
        <f t="shared" si="12"/>
        <v>119000</v>
      </c>
      <c r="R38" s="45">
        <f t="shared" si="16"/>
        <v>84034</v>
      </c>
      <c r="S38" s="21">
        <f t="shared" si="16"/>
        <v>15966</v>
      </c>
      <c r="T38" s="27">
        <f t="shared" si="16"/>
        <v>100000</v>
      </c>
      <c r="V38" s="28">
        <f t="shared" si="13"/>
        <v>100000</v>
      </c>
    </row>
    <row r="39" spans="1:22" ht="38.25" customHeight="1" x14ac:dyDescent="0.2">
      <c r="A39" s="13">
        <v>2.1</v>
      </c>
      <c r="B39" s="2" t="s">
        <v>45</v>
      </c>
      <c r="C39" s="14">
        <v>1</v>
      </c>
      <c r="D39" s="15" t="s">
        <v>9</v>
      </c>
      <c r="E39" s="16">
        <f t="shared" si="0"/>
        <v>226891</v>
      </c>
      <c r="F39" s="17">
        <f t="shared" si="17"/>
        <v>43109</v>
      </c>
      <c r="G39" s="18">
        <f t="shared" si="2"/>
        <v>270000</v>
      </c>
      <c r="H39" s="7">
        <v>270000</v>
      </c>
      <c r="J39" s="19">
        <f>+ROUND(228890.756302521,0)</f>
        <v>228891</v>
      </c>
      <c r="K39" s="17">
        <f t="shared" si="15"/>
        <v>43489</v>
      </c>
      <c r="L39" s="21">
        <f t="shared" si="4"/>
        <v>272380</v>
      </c>
      <c r="N39" s="42">
        <v>226891</v>
      </c>
      <c r="O39" s="17">
        <f t="shared" ref="O39:O40" si="18">+ROUND(N39*0.19,0)</f>
        <v>43109</v>
      </c>
      <c r="P39" s="21">
        <f t="shared" si="12"/>
        <v>270000</v>
      </c>
      <c r="R39" s="45">
        <f t="shared" si="16"/>
        <v>226891</v>
      </c>
      <c r="S39" s="21">
        <f t="shared" si="16"/>
        <v>43109</v>
      </c>
      <c r="T39" s="27">
        <f t="shared" si="16"/>
        <v>270000</v>
      </c>
      <c r="V39" s="28">
        <f t="shared" si="13"/>
        <v>270000</v>
      </c>
    </row>
    <row r="40" spans="1:22" ht="47.25" customHeight="1" thickBot="1" x14ac:dyDescent="0.25">
      <c r="A40" s="13">
        <v>2.11</v>
      </c>
      <c r="B40" s="2" t="s">
        <v>46</v>
      </c>
      <c r="C40" s="14">
        <v>1</v>
      </c>
      <c r="D40" s="15" t="s">
        <v>9</v>
      </c>
      <c r="E40" s="16">
        <f t="shared" si="0"/>
        <v>41843</v>
      </c>
      <c r="F40" s="17">
        <f t="shared" si="17"/>
        <v>7950</v>
      </c>
      <c r="G40" s="18">
        <f t="shared" si="2"/>
        <v>49793</v>
      </c>
      <c r="H40" s="7">
        <v>49793</v>
      </c>
      <c r="J40" s="19">
        <f>+ROUND(43842.8571428571,0)</f>
        <v>43843</v>
      </c>
      <c r="K40" s="17">
        <f>+ROUND(J40*0.19,0)</f>
        <v>8330</v>
      </c>
      <c r="L40" s="21">
        <f t="shared" si="4"/>
        <v>52173</v>
      </c>
      <c r="N40" s="42">
        <v>70000</v>
      </c>
      <c r="O40" s="17">
        <f t="shared" si="18"/>
        <v>13300</v>
      </c>
      <c r="P40" s="21">
        <f t="shared" si="12"/>
        <v>83300</v>
      </c>
      <c r="R40" s="46">
        <f t="shared" si="16"/>
        <v>41843</v>
      </c>
      <c r="S40" s="47">
        <f t="shared" si="16"/>
        <v>7950</v>
      </c>
      <c r="T40" s="38">
        <f t="shared" si="16"/>
        <v>49793</v>
      </c>
      <c r="V40" s="28">
        <f t="shared" si="13"/>
        <v>49793</v>
      </c>
    </row>
    <row r="41" spans="1:22" ht="12" thickBot="1" x14ac:dyDescent="0.25">
      <c r="A41" s="48">
        <v>3</v>
      </c>
      <c r="B41" s="39" t="s">
        <v>47</v>
      </c>
      <c r="C41" s="40"/>
      <c r="D41" s="40"/>
      <c r="E41" s="40"/>
      <c r="F41" s="40"/>
      <c r="G41" s="41"/>
      <c r="J41" s="228" t="str">
        <f>+B41</f>
        <v>CONCRETOS</v>
      </c>
      <c r="K41" s="228"/>
      <c r="L41" s="228"/>
      <c r="N41" s="228" t="str">
        <f>+J41</f>
        <v>CONCRETOS</v>
      </c>
      <c r="O41" s="228"/>
      <c r="P41" s="228"/>
      <c r="R41" s="223" t="str">
        <f>+N41</f>
        <v>CONCRETOS</v>
      </c>
      <c r="S41" s="223"/>
      <c r="T41" s="223"/>
    </row>
    <row r="42" spans="1:22" ht="36" customHeight="1" x14ac:dyDescent="0.2">
      <c r="A42" s="13">
        <v>3.1</v>
      </c>
      <c r="B42" s="2" t="s">
        <v>48</v>
      </c>
      <c r="C42" s="14">
        <v>1</v>
      </c>
      <c r="D42" s="15" t="s">
        <v>9</v>
      </c>
      <c r="E42" s="16">
        <f t="shared" si="0"/>
        <v>414671</v>
      </c>
      <c r="F42" s="17">
        <f t="shared" si="17"/>
        <v>78787</v>
      </c>
      <c r="G42" s="18">
        <f t="shared" si="2"/>
        <v>493458</v>
      </c>
      <c r="H42" s="7">
        <v>493458</v>
      </c>
      <c r="J42" s="19">
        <f>+ROUND(416670.588235294,0)</f>
        <v>416671</v>
      </c>
      <c r="K42" s="17">
        <f>+ROUND(J42*0.19,0)</f>
        <v>79167</v>
      </c>
      <c r="L42" s="21">
        <f t="shared" si="4"/>
        <v>495838</v>
      </c>
      <c r="N42" s="19">
        <v>650000</v>
      </c>
      <c r="O42" s="17">
        <f t="shared" ref="O42" si="19">+N42*0.19</f>
        <v>123500</v>
      </c>
      <c r="P42" s="21">
        <f t="shared" ref="P42:P55" si="20">+O42+N42</f>
        <v>773500</v>
      </c>
      <c r="R42" s="43">
        <f>+E42</f>
        <v>414671</v>
      </c>
      <c r="S42" s="44">
        <f>+F42</f>
        <v>78787</v>
      </c>
      <c r="T42" s="24">
        <f>+S42+R42</f>
        <v>493458</v>
      </c>
      <c r="V42" s="28">
        <f t="shared" ref="V42:V55" si="21">+G42</f>
        <v>493458</v>
      </c>
    </row>
    <row r="43" spans="1:22" ht="30.75" customHeight="1" x14ac:dyDescent="0.2">
      <c r="A43" s="13">
        <v>3.2</v>
      </c>
      <c r="B43" s="2" t="s">
        <v>49</v>
      </c>
      <c r="C43" s="14">
        <v>1</v>
      </c>
      <c r="D43" s="15" t="s">
        <v>9</v>
      </c>
      <c r="E43" s="16">
        <f t="shared" si="0"/>
        <v>194211</v>
      </c>
      <c r="F43" s="17">
        <f t="shared" si="17"/>
        <v>36900</v>
      </c>
      <c r="G43" s="18">
        <f t="shared" si="2"/>
        <v>231111</v>
      </c>
      <c r="H43" s="7">
        <v>231111</v>
      </c>
      <c r="J43" s="19">
        <f>+ROUND(196210.924369748,0)</f>
        <v>196211</v>
      </c>
      <c r="K43" s="17">
        <f t="shared" ref="K43:K55" si="22">+ROUND(J43*0.19,0)</f>
        <v>37280</v>
      </c>
      <c r="L43" s="21">
        <f t="shared" si="4"/>
        <v>233491</v>
      </c>
      <c r="N43" s="19">
        <v>194211</v>
      </c>
      <c r="O43" s="17">
        <f>+ROUND(N43*0.19,0)</f>
        <v>36900</v>
      </c>
      <c r="P43" s="21">
        <f t="shared" si="20"/>
        <v>231111</v>
      </c>
      <c r="R43" s="45">
        <f t="shared" ref="R43:S55" si="23">+E43</f>
        <v>194211</v>
      </c>
      <c r="S43" s="21">
        <f t="shared" si="23"/>
        <v>36900</v>
      </c>
      <c r="T43" s="27">
        <f t="shared" ref="T43:T55" si="24">+S43+R43</f>
        <v>231111</v>
      </c>
      <c r="V43" s="28">
        <f t="shared" si="21"/>
        <v>231111</v>
      </c>
    </row>
    <row r="44" spans="1:22" ht="27.75" customHeight="1" x14ac:dyDescent="0.2">
      <c r="A44" s="13">
        <v>3.3</v>
      </c>
      <c r="B44" s="2" t="s">
        <v>50</v>
      </c>
      <c r="C44" s="14">
        <v>1</v>
      </c>
      <c r="D44" s="15" t="s">
        <v>9</v>
      </c>
      <c r="E44" s="16">
        <f t="shared" si="0"/>
        <v>9188</v>
      </c>
      <c r="F44" s="17">
        <f t="shared" si="17"/>
        <v>1746</v>
      </c>
      <c r="G44" s="18">
        <f t="shared" si="2"/>
        <v>10934</v>
      </c>
      <c r="H44" s="7">
        <v>10934</v>
      </c>
      <c r="J44" s="19">
        <f>+ROUND(11188.2352941176,0)</f>
        <v>11188</v>
      </c>
      <c r="K44" s="17">
        <f t="shared" si="22"/>
        <v>2126</v>
      </c>
      <c r="L44" s="21">
        <f t="shared" si="4"/>
        <v>13314</v>
      </c>
      <c r="N44" s="19">
        <v>9350</v>
      </c>
      <c r="O44" s="17">
        <f t="shared" ref="O44:O55" si="25">+ROUND(N44*0.19,0)</f>
        <v>1777</v>
      </c>
      <c r="P44" s="21">
        <f t="shared" si="20"/>
        <v>11127</v>
      </c>
      <c r="R44" s="45">
        <f t="shared" si="23"/>
        <v>9188</v>
      </c>
      <c r="S44" s="21">
        <f t="shared" si="23"/>
        <v>1746</v>
      </c>
      <c r="T44" s="27">
        <f t="shared" si="24"/>
        <v>10934</v>
      </c>
      <c r="V44" s="28">
        <f t="shared" si="21"/>
        <v>10934</v>
      </c>
    </row>
    <row r="45" spans="1:22" ht="42.75" customHeight="1" x14ac:dyDescent="0.2">
      <c r="A45" s="13">
        <v>3.4</v>
      </c>
      <c r="B45" s="2" t="s">
        <v>51</v>
      </c>
      <c r="C45" s="14">
        <v>1</v>
      </c>
      <c r="D45" s="15" t="s">
        <v>9</v>
      </c>
      <c r="E45" s="16">
        <f t="shared" si="0"/>
        <v>12101</v>
      </c>
      <c r="F45" s="17">
        <f t="shared" si="17"/>
        <v>2299</v>
      </c>
      <c r="G45" s="18">
        <f t="shared" si="2"/>
        <v>14400</v>
      </c>
      <c r="H45" s="7">
        <v>14400</v>
      </c>
      <c r="J45" s="19">
        <f>+ROUND(14100.8403361345,0)</f>
        <v>14101</v>
      </c>
      <c r="K45" s="17">
        <f t="shared" si="22"/>
        <v>2679</v>
      </c>
      <c r="L45" s="21">
        <f t="shared" si="4"/>
        <v>16780</v>
      </c>
      <c r="N45" s="19">
        <v>15000</v>
      </c>
      <c r="O45" s="17">
        <f t="shared" si="25"/>
        <v>2850</v>
      </c>
      <c r="P45" s="21">
        <f t="shared" si="20"/>
        <v>17850</v>
      </c>
      <c r="R45" s="45">
        <f t="shared" si="23"/>
        <v>12101</v>
      </c>
      <c r="S45" s="21">
        <f t="shared" si="23"/>
        <v>2299</v>
      </c>
      <c r="T45" s="27">
        <f t="shared" si="24"/>
        <v>14400</v>
      </c>
      <c r="V45" s="28">
        <f t="shared" si="21"/>
        <v>14400</v>
      </c>
    </row>
    <row r="46" spans="1:22" ht="44.25" customHeight="1" x14ac:dyDescent="0.2">
      <c r="A46" s="13">
        <v>3.5</v>
      </c>
      <c r="B46" s="2" t="s">
        <v>52</v>
      </c>
      <c r="C46" s="14">
        <v>1</v>
      </c>
      <c r="D46" s="15" t="s">
        <v>9</v>
      </c>
      <c r="E46" s="16">
        <f t="shared" si="0"/>
        <v>20475</v>
      </c>
      <c r="F46" s="17">
        <f t="shared" si="17"/>
        <v>3890</v>
      </c>
      <c r="G46" s="18">
        <f t="shared" si="2"/>
        <v>24365</v>
      </c>
      <c r="H46" s="7">
        <v>24365</v>
      </c>
      <c r="J46" s="19">
        <f>+ROUND(22474.7899159664,0)</f>
        <v>22475</v>
      </c>
      <c r="K46" s="17">
        <f t="shared" si="22"/>
        <v>4270</v>
      </c>
      <c r="L46" s="21">
        <f t="shared" si="4"/>
        <v>26745</v>
      </c>
      <c r="N46" s="19">
        <v>20475</v>
      </c>
      <c r="O46" s="17">
        <f t="shared" si="25"/>
        <v>3890</v>
      </c>
      <c r="P46" s="21">
        <f t="shared" si="20"/>
        <v>24365</v>
      </c>
      <c r="R46" s="45">
        <f t="shared" si="23"/>
        <v>20475</v>
      </c>
      <c r="S46" s="21">
        <f t="shared" si="23"/>
        <v>3890</v>
      </c>
      <c r="T46" s="27">
        <f t="shared" si="24"/>
        <v>24365</v>
      </c>
      <c r="V46" s="28">
        <f t="shared" si="21"/>
        <v>24365</v>
      </c>
    </row>
    <row r="47" spans="1:22" ht="45.75" customHeight="1" x14ac:dyDescent="0.2">
      <c r="A47" s="13">
        <v>3.6</v>
      </c>
      <c r="B47" s="2" t="s">
        <v>53</v>
      </c>
      <c r="C47" s="14">
        <v>1</v>
      </c>
      <c r="D47" s="15" t="s">
        <v>9</v>
      </c>
      <c r="E47" s="16">
        <f t="shared" si="0"/>
        <v>136500</v>
      </c>
      <c r="F47" s="17">
        <f t="shared" si="17"/>
        <v>25935</v>
      </c>
      <c r="G47" s="18">
        <f t="shared" si="2"/>
        <v>162435</v>
      </c>
      <c r="H47" s="7">
        <v>162435</v>
      </c>
      <c r="J47" s="19">
        <v>138500</v>
      </c>
      <c r="K47" s="17">
        <f t="shared" si="22"/>
        <v>26315</v>
      </c>
      <c r="L47" s="21">
        <f t="shared" si="4"/>
        <v>164815</v>
      </c>
      <c r="N47" s="19">
        <v>150000</v>
      </c>
      <c r="O47" s="17">
        <f t="shared" si="25"/>
        <v>28500</v>
      </c>
      <c r="P47" s="21">
        <f t="shared" si="20"/>
        <v>178500</v>
      </c>
      <c r="R47" s="45">
        <f t="shared" si="23"/>
        <v>136500</v>
      </c>
      <c r="S47" s="21">
        <f t="shared" si="23"/>
        <v>25935</v>
      </c>
      <c r="T47" s="27">
        <f t="shared" si="24"/>
        <v>162435</v>
      </c>
      <c r="V47" s="28">
        <f t="shared" si="21"/>
        <v>162435</v>
      </c>
    </row>
    <row r="48" spans="1:22" ht="44.25" customHeight="1" x14ac:dyDescent="0.2">
      <c r="A48" s="13">
        <v>3.7</v>
      </c>
      <c r="B48" s="2" t="s">
        <v>54</v>
      </c>
      <c r="C48" s="14">
        <v>1</v>
      </c>
      <c r="D48" s="15" t="s">
        <v>9</v>
      </c>
      <c r="E48" s="16">
        <f t="shared" si="0"/>
        <v>232496</v>
      </c>
      <c r="F48" s="17">
        <f t="shared" si="17"/>
        <v>44174</v>
      </c>
      <c r="G48" s="18">
        <f t="shared" si="2"/>
        <v>276670</v>
      </c>
      <c r="H48" s="7">
        <v>276670</v>
      </c>
      <c r="J48" s="19">
        <f>+ROUND(234495.798319328,0)</f>
        <v>234496</v>
      </c>
      <c r="K48" s="17">
        <f t="shared" si="22"/>
        <v>44554</v>
      </c>
      <c r="L48" s="21">
        <f t="shared" si="4"/>
        <v>279050</v>
      </c>
      <c r="N48" s="19">
        <v>232496</v>
      </c>
      <c r="O48" s="17">
        <f t="shared" si="25"/>
        <v>44174</v>
      </c>
      <c r="P48" s="21">
        <f t="shared" si="20"/>
        <v>276670</v>
      </c>
      <c r="R48" s="45">
        <f t="shared" si="23"/>
        <v>232496</v>
      </c>
      <c r="S48" s="21">
        <f t="shared" si="23"/>
        <v>44174</v>
      </c>
      <c r="T48" s="27">
        <f t="shared" si="24"/>
        <v>276670</v>
      </c>
      <c r="V48" s="28">
        <f t="shared" si="21"/>
        <v>276670</v>
      </c>
    </row>
    <row r="49" spans="1:22" ht="26.25" customHeight="1" x14ac:dyDescent="0.2">
      <c r="A49" s="13">
        <v>3.8</v>
      </c>
      <c r="B49" s="2" t="s">
        <v>55</v>
      </c>
      <c r="C49" s="14">
        <v>1</v>
      </c>
      <c r="D49" s="15" t="s">
        <v>9</v>
      </c>
      <c r="E49" s="16">
        <f t="shared" si="0"/>
        <v>16538</v>
      </c>
      <c r="F49" s="17">
        <f t="shared" si="17"/>
        <v>3142</v>
      </c>
      <c r="G49" s="18">
        <f t="shared" si="2"/>
        <v>19680</v>
      </c>
      <c r="H49" s="7">
        <v>19680</v>
      </c>
      <c r="J49" s="19">
        <f>+ROUND(18537.8151260504,0)</f>
        <v>18538</v>
      </c>
      <c r="K49" s="17">
        <f t="shared" si="22"/>
        <v>3522</v>
      </c>
      <c r="L49" s="21">
        <f t="shared" si="4"/>
        <v>22060</v>
      </c>
      <c r="N49" s="19">
        <v>16538</v>
      </c>
      <c r="O49" s="17">
        <f t="shared" si="25"/>
        <v>3142</v>
      </c>
      <c r="P49" s="21">
        <f t="shared" si="20"/>
        <v>19680</v>
      </c>
      <c r="R49" s="45">
        <f t="shared" si="23"/>
        <v>16538</v>
      </c>
      <c r="S49" s="21">
        <f t="shared" si="23"/>
        <v>3142</v>
      </c>
      <c r="T49" s="27">
        <f t="shared" si="24"/>
        <v>19680</v>
      </c>
      <c r="V49" s="28">
        <f t="shared" si="21"/>
        <v>19680</v>
      </c>
    </row>
    <row r="50" spans="1:22" ht="36" customHeight="1" x14ac:dyDescent="0.2">
      <c r="A50" s="13">
        <v>3.9</v>
      </c>
      <c r="B50" s="2" t="s">
        <v>56</v>
      </c>
      <c r="C50" s="14">
        <v>1</v>
      </c>
      <c r="D50" s="15" t="s">
        <v>9</v>
      </c>
      <c r="E50" s="16">
        <f t="shared" si="0"/>
        <v>20213</v>
      </c>
      <c r="F50" s="17">
        <f t="shared" si="17"/>
        <v>3840</v>
      </c>
      <c r="G50" s="18">
        <f t="shared" si="2"/>
        <v>24053</v>
      </c>
      <c r="H50" s="7">
        <v>24053</v>
      </c>
      <c r="J50" s="19">
        <f>+ROUND(22212.6050420168,0)</f>
        <v>22213</v>
      </c>
      <c r="K50" s="17">
        <f t="shared" si="22"/>
        <v>4220</v>
      </c>
      <c r="L50" s="21">
        <f t="shared" si="4"/>
        <v>26433</v>
      </c>
      <c r="N50" s="19">
        <v>30000</v>
      </c>
      <c r="O50" s="17">
        <f t="shared" si="25"/>
        <v>5700</v>
      </c>
      <c r="P50" s="21">
        <f t="shared" si="20"/>
        <v>35700</v>
      </c>
      <c r="R50" s="45">
        <f t="shared" si="23"/>
        <v>20213</v>
      </c>
      <c r="S50" s="21">
        <f t="shared" si="23"/>
        <v>3840</v>
      </c>
      <c r="T50" s="27">
        <f t="shared" si="24"/>
        <v>24053</v>
      </c>
      <c r="V50" s="28">
        <f t="shared" si="21"/>
        <v>24053</v>
      </c>
    </row>
    <row r="51" spans="1:22" ht="43.5" customHeight="1" x14ac:dyDescent="0.2">
      <c r="A51" s="13">
        <v>3.1</v>
      </c>
      <c r="B51" s="2" t="s">
        <v>57</v>
      </c>
      <c r="C51" s="14">
        <v>1</v>
      </c>
      <c r="D51" s="15" t="s">
        <v>58</v>
      </c>
      <c r="E51" s="16">
        <f t="shared" si="0"/>
        <v>1261</v>
      </c>
      <c r="F51" s="17">
        <f t="shared" si="17"/>
        <v>240</v>
      </c>
      <c r="G51" s="18">
        <f t="shared" si="2"/>
        <v>1501</v>
      </c>
      <c r="H51" s="7">
        <v>1500</v>
      </c>
      <c r="J51" s="19">
        <f>+ROUND(3260.50420168067,0)</f>
        <v>3261</v>
      </c>
      <c r="K51" s="17">
        <f t="shared" si="22"/>
        <v>620</v>
      </c>
      <c r="L51" s="21">
        <f t="shared" si="4"/>
        <v>3881</v>
      </c>
      <c r="N51" s="19">
        <v>2500</v>
      </c>
      <c r="O51" s="17">
        <f t="shared" si="25"/>
        <v>475</v>
      </c>
      <c r="P51" s="21">
        <f t="shared" si="20"/>
        <v>2975</v>
      </c>
      <c r="R51" s="45">
        <f t="shared" si="23"/>
        <v>1261</v>
      </c>
      <c r="S51" s="21">
        <f t="shared" si="23"/>
        <v>240</v>
      </c>
      <c r="T51" s="27">
        <f t="shared" si="24"/>
        <v>1501</v>
      </c>
      <c r="V51" s="28">
        <f t="shared" si="21"/>
        <v>1501</v>
      </c>
    </row>
    <row r="52" spans="1:22" ht="39" customHeight="1" x14ac:dyDescent="0.2">
      <c r="A52" s="13">
        <v>3.11</v>
      </c>
      <c r="B52" s="2" t="s">
        <v>59</v>
      </c>
      <c r="C52" s="14">
        <v>1</v>
      </c>
      <c r="D52" s="15" t="s">
        <v>9</v>
      </c>
      <c r="E52" s="16">
        <f t="shared" si="0"/>
        <v>11288</v>
      </c>
      <c r="F52" s="17">
        <f t="shared" si="17"/>
        <v>2145</v>
      </c>
      <c r="G52" s="18">
        <f t="shared" si="2"/>
        <v>13433</v>
      </c>
      <c r="H52" s="7">
        <v>13433</v>
      </c>
      <c r="J52" s="19">
        <f>+ROUND(13288.2352941176,0)</f>
        <v>13288</v>
      </c>
      <c r="K52" s="17">
        <f t="shared" si="22"/>
        <v>2525</v>
      </c>
      <c r="L52" s="21">
        <f t="shared" si="4"/>
        <v>15813</v>
      </c>
      <c r="N52" s="19">
        <v>14000</v>
      </c>
      <c r="O52" s="17">
        <f t="shared" si="25"/>
        <v>2660</v>
      </c>
      <c r="P52" s="21">
        <f t="shared" si="20"/>
        <v>16660</v>
      </c>
      <c r="R52" s="45">
        <f t="shared" si="23"/>
        <v>11288</v>
      </c>
      <c r="S52" s="21">
        <f t="shared" si="23"/>
        <v>2145</v>
      </c>
      <c r="T52" s="27">
        <f t="shared" si="24"/>
        <v>13433</v>
      </c>
      <c r="V52" s="28">
        <f t="shared" si="21"/>
        <v>13433</v>
      </c>
    </row>
    <row r="53" spans="1:22" ht="28.5" customHeight="1" x14ac:dyDescent="0.2">
      <c r="A53" s="13">
        <v>3.12</v>
      </c>
      <c r="B53" s="2" t="s">
        <v>60</v>
      </c>
      <c r="C53" s="14">
        <v>1</v>
      </c>
      <c r="D53" s="15" t="s">
        <v>9</v>
      </c>
      <c r="E53" s="16">
        <f t="shared" si="0"/>
        <v>391388</v>
      </c>
      <c r="F53" s="17">
        <f t="shared" si="17"/>
        <v>74364</v>
      </c>
      <c r="G53" s="18">
        <f t="shared" si="2"/>
        <v>465752</v>
      </c>
      <c r="H53" s="7">
        <v>465752</v>
      </c>
      <c r="J53" s="19">
        <f>+ROUND(393388.235294118,0)</f>
        <v>393388</v>
      </c>
      <c r="K53" s="17">
        <f t="shared" si="22"/>
        <v>74744</v>
      </c>
      <c r="L53" s="21">
        <f t="shared" si="4"/>
        <v>468132</v>
      </c>
      <c r="N53" s="19">
        <v>500000</v>
      </c>
      <c r="O53" s="17">
        <f t="shared" si="25"/>
        <v>95000</v>
      </c>
      <c r="P53" s="21">
        <f t="shared" si="20"/>
        <v>595000</v>
      </c>
      <c r="R53" s="45">
        <f t="shared" si="23"/>
        <v>391388</v>
      </c>
      <c r="S53" s="21">
        <f t="shared" si="23"/>
        <v>74364</v>
      </c>
      <c r="T53" s="27">
        <f t="shared" si="24"/>
        <v>465752</v>
      </c>
      <c r="V53" s="28">
        <f t="shared" si="21"/>
        <v>465752</v>
      </c>
    </row>
    <row r="54" spans="1:22" ht="23.25" customHeight="1" x14ac:dyDescent="0.2">
      <c r="A54" s="13">
        <v>3.13</v>
      </c>
      <c r="B54" s="2" t="s">
        <v>61</v>
      </c>
      <c r="C54" s="14">
        <v>1</v>
      </c>
      <c r="D54" s="15" t="s">
        <v>9</v>
      </c>
      <c r="E54" s="16">
        <f t="shared" si="0"/>
        <v>11288</v>
      </c>
      <c r="F54" s="17">
        <f t="shared" si="17"/>
        <v>2145</v>
      </c>
      <c r="G54" s="18">
        <f t="shared" si="2"/>
        <v>13433</v>
      </c>
      <c r="H54" s="7">
        <v>13433</v>
      </c>
      <c r="J54" s="19">
        <f>+ROUND(13288.2352941176,0)</f>
        <v>13288</v>
      </c>
      <c r="K54" s="17">
        <f t="shared" si="22"/>
        <v>2525</v>
      </c>
      <c r="L54" s="21">
        <f t="shared" si="4"/>
        <v>15813</v>
      </c>
      <c r="N54" s="19">
        <v>15000</v>
      </c>
      <c r="O54" s="17">
        <f t="shared" si="25"/>
        <v>2850</v>
      </c>
      <c r="P54" s="21">
        <f t="shared" si="20"/>
        <v>17850</v>
      </c>
      <c r="R54" s="45">
        <f t="shared" si="23"/>
        <v>11288</v>
      </c>
      <c r="S54" s="21">
        <f t="shared" si="23"/>
        <v>2145</v>
      </c>
      <c r="T54" s="27">
        <f t="shared" si="24"/>
        <v>13433</v>
      </c>
      <c r="V54" s="28">
        <f t="shared" si="21"/>
        <v>13433</v>
      </c>
    </row>
    <row r="55" spans="1:22" ht="24" customHeight="1" thickBot="1" x14ac:dyDescent="0.25">
      <c r="A55" s="13">
        <v>3.14</v>
      </c>
      <c r="B55" s="2" t="s">
        <v>62</v>
      </c>
      <c r="C55" s="14">
        <v>1</v>
      </c>
      <c r="D55" s="15" t="s">
        <v>9</v>
      </c>
      <c r="E55" s="16">
        <f t="shared" si="0"/>
        <v>76309</v>
      </c>
      <c r="F55" s="17">
        <f t="shared" si="17"/>
        <v>14499</v>
      </c>
      <c r="G55" s="18">
        <f t="shared" si="2"/>
        <v>90808</v>
      </c>
      <c r="H55" s="7">
        <v>90808</v>
      </c>
      <c r="J55" s="19">
        <f>+ROUND(78309.243697479,0)</f>
        <v>78309</v>
      </c>
      <c r="K55" s="17">
        <f t="shared" si="22"/>
        <v>14879</v>
      </c>
      <c r="L55" s="21">
        <f t="shared" si="4"/>
        <v>93188</v>
      </c>
      <c r="N55" s="19">
        <v>76309</v>
      </c>
      <c r="O55" s="17">
        <f t="shared" si="25"/>
        <v>14499</v>
      </c>
      <c r="P55" s="21">
        <f t="shared" si="20"/>
        <v>90808</v>
      </c>
      <c r="R55" s="49">
        <f t="shared" si="23"/>
        <v>76309</v>
      </c>
      <c r="S55" s="50">
        <f t="shared" si="23"/>
        <v>14499</v>
      </c>
      <c r="T55" s="51">
        <f t="shared" si="24"/>
        <v>90808</v>
      </c>
      <c r="V55" s="28">
        <f t="shared" si="21"/>
        <v>90808</v>
      </c>
    </row>
    <row r="56" spans="1:22" x14ac:dyDescent="0.2">
      <c r="A56" s="48">
        <v>4</v>
      </c>
      <c r="B56" s="39" t="s">
        <v>63</v>
      </c>
      <c r="C56" s="40"/>
      <c r="D56" s="40"/>
      <c r="E56" s="40"/>
      <c r="F56" s="40"/>
      <c r="G56" s="41"/>
      <c r="J56" s="228" t="str">
        <f>+B56</f>
        <v>ASFALTOS</v>
      </c>
      <c r="K56" s="228"/>
      <c r="L56" s="228"/>
      <c r="N56" s="228" t="str">
        <f>+J56</f>
        <v>ASFALTOS</v>
      </c>
      <c r="O56" s="228"/>
      <c r="P56" s="228"/>
      <c r="R56" s="224" t="str">
        <f>+N56</f>
        <v>ASFALTOS</v>
      </c>
      <c r="S56" s="225"/>
      <c r="T56" s="226"/>
    </row>
    <row r="57" spans="1:22" x14ac:dyDescent="0.2">
      <c r="A57" s="13">
        <v>4.0999999999999996</v>
      </c>
      <c r="B57" s="2" t="s">
        <v>64</v>
      </c>
      <c r="C57" s="14">
        <v>1</v>
      </c>
      <c r="D57" s="15" t="s">
        <v>9</v>
      </c>
      <c r="E57" s="16">
        <f t="shared" si="0"/>
        <v>47696</v>
      </c>
      <c r="F57" s="17">
        <f t="shared" si="17"/>
        <v>9062</v>
      </c>
      <c r="G57" s="18">
        <f t="shared" si="2"/>
        <v>56758</v>
      </c>
      <c r="H57" s="7">
        <v>56758</v>
      </c>
      <c r="J57" s="35">
        <f>+ROUND(49695.7983193277,0)</f>
        <v>49696</v>
      </c>
      <c r="K57" s="17">
        <f>+ROUND(J57*0.19,0)</f>
        <v>9442</v>
      </c>
      <c r="L57" s="18">
        <f t="shared" ref="L57:L63" si="26">+K57+J57</f>
        <v>59138</v>
      </c>
      <c r="N57" s="35">
        <v>50000</v>
      </c>
      <c r="O57" s="17">
        <f>+ROUND(N57*0.19,0)</f>
        <v>9500</v>
      </c>
      <c r="P57" s="18">
        <f t="shared" ref="P57:P63" si="27">+O57+N57</f>
        <v>59500</v>
      </c>
      <c r="R57" s="45">
        <f>+E57</f>
        <v>47696</v>
      </c>
      <c r="S57" s="21">
        <f>+F57</f>
        <v>9062</v>
      </c>
      <c r="T57" s="27">
        <f>+R57+S57</f>
        <v>56758</v>
      </c>
      <c r="V57" s="28">
        <f t="shared" ref="V57:V63" si="28">+G57</f>
        <v>56758</v>
      </c>
    </row>
    <row r="58" spans="1:22" ht="21.75" customHeight="1" x14ac:dyDescent="0.2">
      <c r="A58" s="13">
        <v>4.2</v>
      </c>
      <c r="B58" s="2" t="s">
        <v>65</v>
      </c>
      <c r="C58" s="14">
        <v>1</v>
      </c>
      <c r="D58" s="15" t="s">
        <v>9</v>
      </c>
      <c r="E58" s="16">
        <f t="shared" si="0"/>
        <v>45465</v>
      </c>
      <c r="F58" s="17">
        <f t="shared" si="17"/>
        <v>8638</v>
      </c>
      <c r="G58" s="18">
        <f t="shared" si="2"/>
        <v>54103</v>
      </c>
      <c r="H58" s="7">
        <v>54103</v>
      </c>
      <c r="J58" s="35">
        <f>+ROUND(47464.7058823529,0)</f>
        <v>47465</v>
      </c>
      <c r="K58" s="17">
        <f t="shared" ref="K58:K63" si="29">+ROUND(J58*0.19,0)</f>
        <v>9018</v>
      </c>
      <c r="L58" s="18">
        <f t="shared" si="26"/>
        <v>56483</v>
      </c>
      <c r="N58" s="35">
        <v>55000</v>
      </c>
      <c r="O58" s="17">
        <f t="shared" ref="O58:O63" si="30">+ROUND(N58*0.19,0)</f>
        <v>10450</v>
      </c>
      <c r="P58" s="18">
        <f t="shared" si="27"/>
        <v>65450</v>
      </c>
      <c r="R58" s="45">
        <f t="shared" ref="R58:S63" si="31">+E58</f>
        <v>45465</v>
      </c>
      <c r="S58" s="21">
        <f t="shared" si="31"/>
        <v>8638</v>
      </c>
      <c r="T58" s="27">
        <f t="shared" ref="T58:T63" si="32">+R58+S58</f>
        <v>54103</v>
      </c>
      <c r="V58" s="28">
        <f t="shared" si="28"/>
        <v>54103</v>
      </c>
    </row>
    <row r="59" spans="1:22" ht="21" customHeight="1" x14ac:dyDescent="0.2">
      <c r="A59" s="13">
        <v>4.3</v>
      </c>
      <c r="B59" s="2" t="s">
        <v>66</v>
      </c>
      <c r="C59" s="14">
        <v>1</v>
      </c>
      <c r="D59" s="15" t="s">
        <v>9</v>
      </c>
      <c r="E59" s="16">
        <f t="shared" si="0"/>
        <v>10395</v>
      </c>
      <c r="F59" s="17">
        <f t="shared" si="17"/>
        <v>1975</v>
      </c>
      <c r="G59" s="18">
        <f t="shared" si="2"/>
        <v>12370</v>
      </c>
      <c r="H59" s="7">
        <v>12370</v>
      </c>
      <c r="J59" s="35">
        <f>+ROUND(12394.9579831933,0)</f>
        <v>12395</v>
      </c>
      <c r="K59" s="17">
        <f t="shared" si="29"/>
        <v>2355</v>
      </c>
      <c r="L59" s="18">
        <f t="shared" si="26"/>
        <v>14750</v>
      </c>
      <c r="N59" s="35">
        <v>12000</v>
      </c>
      <c r="O59" s="17">
        <f t="shared" si="30"/>
        <v>2280</v>
      </c>
      <c r="P59" s="18">
        <f t="shared" si="27"/>
        <v>14280</v>
      </c>
      <c r="R59" s="45">
        <f t="shared" si="31"/>
        <v>10395</v>
      </c>
      <c r="S59" s="21">
        <f t="shared" si="31"/>
        <v>1975</v>
      </c>
      <c r="T59" s="27">
        <f t="shared" si="32"/>
        <v>12370</v>
      </c>
      <c r="V59" s="28">
        <f t="shared" si="28"/>
        <v>12370</v>
      </c>
    </row>
    <row r="60" spans="1:22" x14ac:dyDescent="0.2">
      <c r="A60" s="13">
        <v>4.4000000000000004</v>
      </c>
      <c r="B60" s="2" t="s">
        <v>67</v>
      </c>
      <c r="C60" s="14">
        <v>1</v>
      </c>
      <c r="D60" s="15" t="s">
        <v>9</v>
      </c>
      <c r="E60" s="16">
        <f t="shared" si="0"/>
        <v>33613</v>
      </c>
      <c r="F60" s="17">
        <f t="shared" si="17"/>
        <v>6386</v>
      </c>
      <c r="G60" s="18">
        <f t="shared" si="2"/>
        <v>39999</v>
      </c>
      <c r="H60" s="7">
        <v>40000</v>
      </c>
      <c r="J60" s="35">
        <f>+ROUND(35613.4453781513,0)</f>
        <v>35613</v>
      </c>
      <c r="K60" s="17">
        <f t="shared" si="29"/>
        <v>6766</v>
      </c>
      <c r="L60" s="18">
        <f t="shared" si="26"/>
        <v>42379</v>
      </c>
      <c r="N60" s="35">
        <v>33613</v>
      </c>
      <c r="O60" s="17">
        <f t="shared" si="30"/>
        <v>6386</v>
      </c>
      <c r="P60" s="18">
        <f t="shared" si="27"/>
        <v>39999</v>
      </c>
      <c r="R60" s="45">
        <f t="shared" si="31"/>
        <v>33613</v>
      </c>
      <c r="S60" s="21">
        <f t="shared" si="31"/>
        <v>6386</v>
      </c>
      <c r="T60" s="27">
        <f t="shared" si="32"/>
        <v>39999</v>
      </c>
      <c r="V60" s="28">
        <f t="shared" si="28"/>
        <v>39999</v>
      </c>
    </row>
    <row r="61" spans="1:22" ht="29.25" customHeight="1" x14ac:dyDescent="0.2">
      <c r="A61" s="13">
        <v>4.5</v>
      </c>
      <c r="B61" s="2" t="s">
        <v>68</v>
      </c>
      <c r="C61" s="14">
        <v>1</v>
      </c>
      <c r="D61" s="15" t="s">
        <v>9</v>
      </c>
      <c r="E61" s="16">
        <f t="shared" si="0"/>
        <v>42017</v>
      </c>
      <c r="F61" s="17">
        <f t="shared" si="17"/>
        <v>7983</v>
      </c>
      <c r="G61" s="18">
        <f t="shared" si="2"/>
        <v>50000</v>
      </c>
      <c r="H61" s="7">
        <v>50000</v>
      </c>
      <c r="J61" s="35">
        <f>+ROUND(44016.8067226891,0)</f>
        <v>44017</v>
      </c>
      <c r="K61" s="17">
        <f t="shared" si="29"/>
        <v>8363</v>
      </c>
      <c r="L61" s="18">
        <f t="shared" si="26"/>
        <v>52380</v>
      </c>
      <c r="N61" s="35">
        <v>42017</v>
      </c>
      <c r="O61" s="17">
        <f t="shared" si="30"/>
        <v>7983</v>
      </c>
      <c r="P61" s="18">
        <f t="shared" si="27"/>
        <v>50000</v>
      </c>
      <c r="R61" s="45">
        <f t="shared" si="31"/>
        <v>42017</v>
      </c>
      <c r="S61" s="21">
        <f t="shared" si="31"/>
        <v>7983</v>
      </c>
      <c r="T61" s="27">
        <f t="shared" si="32"/>
        <v>50000</v>
      </c>
      <c r="V61" s="28">
        <f t="shared" si="28"/>
        <v>50000</v>
      </c>
    </row>
    <row r="62" spans="1:22" ht="30.75" customHeight="1" x14ac:dyDescent="0.2">
      <c r="A62" s="13">
        <v>4.5999999999999996</v>
      </c>
      <c r="B62" s="2" t="s">
        <v>69</v>
      </c>
      <c r="C62" s="14">
        <v>1</v>
      </c>
      <c r="D62" s="15" t="s">
        <v>9</v>
      </c>
      <c r="E62" s="16">
        <f t="shared" si="0"/>
        <v>126050</v>
      </c>
      <c r="F62" s="17">
        <f t="shared" si="17"/>
        <v>23950</v>
      </c>
      <c r="G62" s="18">
        <f t="shared" si="2"/>
        <v>150000</v>
      </c>
      <c r="H62" s="7">
        <v>150000</v>
      </c>
      <c r="J62" s="35">
        <f>+ROUND(128050.420168067,0)</f>
        <v>128050</v>
      </c>
      <c r="K62" s="17">
        <f t="shared" si="29"/>
        <v>24330</v>
      </c>
      <c r="L62" s="18">
        <f t="shared" si="26"/>
        <v>152380</v>
      </c>
      <c r="N62" s="35">
        <v>200000</v>
      </c>
      <c r="O62" s="17">
        <f t="shared" si="30"/>
        <v>38000</v>
      </c>
      <c r="P62" s="18">
        <f t="shared" si="27"/>
        <v>238000</v>
      </c>
      <c r="R62" s="45">
        <f t="shared" si="31"/>
        <v>126050</v>
      </c>
      <c r="S62" s="21">
        <f t="shared" si="31"/>
        <v>23950</v>
      </c>
      <c r="T62" s="27">
        <f t="shared" si="32"/>
        <v>150000</v>
      </c>
      <c r="V62" s="28">
        <f t="shared" si="28"/>
        <v>150000</v>
      </c>
    </row>
    <row r="63" spans="1:22" ht="36.75" customHeight="1" x14ac:dyDescent="0.2">
      <c r="A63" s="13">
        <v>4.7</v>
      </c>
      <c r="B63" s="2" t="s">
        <v>70</v>
      </c>
      <c r="C63" s="14">
        <v>1</v>
      </c>
      <c r="D63" s="15" t="s">
        <v>9</v>
      </c>
      <c r="E63" s="16">
        <f t="shared" si="0"/>
        <v>1050000</v>
      </c>
      <c r="F63" s="17">
        <f t="shared" si="17"/>
        <v>199500</v>
      </c>
      <c r="G63" s="18">
        <f t="shared" si="2"/>
        <v>1249500</v>
      </c>
      <c r="H63" s="7">
        <v>1249500</v>
      </c>
      <c r="J63" s="35">
        <v>1052000</v>
      </c>
      <c r="K63" s="17">
        <f t="shared" si="29"/>
        <v>199880</v>
      </c>
      <c r="L63" s="18">
        <f t="shared" si="26"/>
        <v>1251880</v>
      </c>
      <c r="N63" s="35">
        <v>1050000</v>
      </c>
      <c r="O63" s="17">
        <f t="shared" si="30"/>
        <v>199500</v>
      </c>
      <c r="P63" s="18">
        <f t="shared" si="27"/>
        <v>1249500</v>
      </c>
      <c r="R63" s="45">
        <f t="shared" si="31"/>
        <v>1050000</v>
      </c>
      <c r="S63" s="21">
        <f t="shared" si="31"/>
        <v>199500</v>
      </c>
      <c r="T63" s="27">
        <f t="shared" si="32"/>
        <v>1249500</v>
      </c>
      <c r="V63" s="28">
        <f t="shared" si="28"/>
        <v>1249500</v>
      </c>
    </row>
    <row r="64" spans="1:22" ht="22.5" x14ac:dyDescent="0.2">
      <c r="A64" s="48">
        <v>5</v>
      </c>
      <c r="B64" s="39" t="s">
        <v>71</v>
      </c>
      <c r="C64" s="40"/>
      <c r="D64" s="40"/>
      <c r="E64" s="40"/>
      <c r="F64" s="40"/>
      <c r="G64" s="41"/>
      <c r="J64" s="228" t="str">
        <f>+B64</f>
        <v>MAMPOSTERÍA EN CONCRETO</v>
      </c>
      <c r="K64" s="228"/>
      <c r="L64" s="228"/>
      <c r="N64" s="228" t="str">
        <f>+J64</f>
        <v>MAMPOSTERÍA EN CONCRETO</v>
      </c>
      <c r="O64" s="228"/>
      <c r="P64" s="228"/>
      <c r="R64" s="227" t="str">
        <f>+N64</f>
        <v>MAMPOSTERÍA EN CONCRETO</v>
      </c>
      <c r="S64" s="228"/>
      <c r="T64" s="229"/>
    </row>
    <row r="65" spans="1:22" ht="22.5" x14ac:dyDescent="0.2">
      <c r="A65" s="13">
        <v>5.0999999999999996</v>
      </c>
      <c r="B65" s="2" t="s">
        <v>72</v>
      </c>
      <c r="C65" s="14">
        <v>1</v>
      </c>
      <c r="D65" s="15" t="s">
        <v>9</v>
      </c>
      <c r="E65" s="16">
        <f t="shared" si="0"/>
        <v>16643</v>
      </c>
      <c r="F65" s="17">
        <f t="shared" si="17"/>
        <v>3162</v>
      </c>
      <c r="G65" s="18">
        <f t="shared" si="2"/>
        <v>19805</v>
      </c>
      <c r="H65" s="7">
        <v>19805</v>
      </c>
      <c r="J65" s="19">
        <f>+ROUND(18642.8571428571,0)</f>
        <v>18643</v>
      </c>
      <c r="K65" s="17">
        <f>+ROUND(J65*0.19,0)</f>
        <v>3542</v>
      </c>
      <c r="L65" s="18">
        <f t="shared" ref="L65:L66" si="33">+K65+J65</f>
        <v>22185</v>
      </c>
      <c r="N65" s="19">
        <v>20000</v>
      </c>
      <c r="O65" s="17">
        <f t="shared" ref="O65:O66" si="34">+N65*0.19</f>
        <v>3800</v>
      </c>
      <c r="P65" s="18">
        <f t="shared" ref="P65:P66" si="35">+O65+N65</f>
        <v>23800</v>
      </c>
      <c r="R65" s="45">
        <f t="shared" ref="R65:T66" si="36">+E65</f>
        <v>16643</v>
      </c>
      <c r="S65" s="21">
        <f t="shared" si="36"/>
        <v>3162</v>
      </c>
      <c r="T65" s="27">
        <f t="shared" si="36"/>
        <v>19805</v>
      </c>
      <c r="V65" s="28">
        <f>+G65</f>
        <v>19805</v>
      </c>
    </row>
    <row r="66" spans="1:22" ht="34.5" thickBot="1" x14ac:dyDescent="0.25">
      <c r="A66" s="13">
        <v>5.2</v>
      </c>
      <c r="B66" s="2" t="s">
        <v>73</v>
      </c>
      <c r="C66" s="14">
        <v>1</v>
      </c>
      <c r="D66" s="15" t="s">
        <v>9</v>
      </c>
      <c r="E66" s="16">
        <f t="shared" si="0"/>
        <v>15488</v>
      </c>
      <c r="F66" s="17">
        <f t="shared" si="17"/>
        <v>2943</v>
      </c>
      <c r="G66" s="18">
        <f t="shared" si="2"/>
        <v>18431</v>
      </c>
      <c r="H66" s="7">
        <v>18431</v>
      </c>
      <c r="J66" s="19">
        <f>+ROUND(17488.2352941176,0)</f>
        <v>17488</v>
      </c>
      <c r="K66" s="17">
        <f>+ROUND(J66*0.19,0)</f>
        <v>3323</v>
      </c>
      <c r="L66" s="18">
        <f t="shared" si="33"/>
        <v>20811</v>
      </c>
      <c r="N66" s="19">
        <v>20000</v>
      </c>
      <c r="O66" s="17">
        <f t="shared" si="34"/>
        <v>3800</v>
      </c>
      <c r="P66" s="18">
        <f t="shared" si="35"/>
        <v>23800</v>
      </c>
      <c r="R66" s="49">
        <f t="shared" si="36"/>
        <v>15488</v>
      </c>
      <c r="S66" s="50">
        <f t="shared" si="36"/>
        <v>2943</v>
      </c>
      <c r="T66" s="51">
        <f t="shared" si="36"/>
        <v>18431</v>
      </c>
      <c r="V66" s="28">
        <f>+G66</f>
        <v>18431</v>
      </c>
    </row>
    <row r="67" spans="1:22" ht="22.5" x14ac:dyDescent="0.2">
      <c r="A67" s="48">
        <v>6</v>
      </c>
      <c r="B67" s="39" t="s">
        <v>74</v>
      </c>
      <c r="C67" s="40"/>
      <c r="D67" s="40"/>
      <c r="E67" s="40"/>
      <c r="F67" s="40"/>
      <c r="G67" s="41"/>
      <c r="J67" s="228" t="str">
        <f>+N67</f>
        <v>MAMPOSTERÍA EN ARCILLA</v>
      </c>
      <c r="K67" s="228"/>
      <c r="L67" s="228"/>
      <c r="N67" s="228" t="str">
        <f>+B67</f>
        <v>MAMPOSTERÍA EN ARCILLA</v>
      </c>
      <c r="O67" s="228"/>
      <c r="P67" s="228"/>
      <c r="R67" s="224" t="str">
        <f>+N67</f>
        <v>MAMPOSTERÍA EN ARCILLA</v>
      </c>
      <c r="S67" s="225"/>
      <c r="T67" s="226"/>
    </row>
    <row r="68" spans="1:22" ht="22.5" x14ac:dyDescent="0.2">
      <c r="A68" s="13">
        <v>6.1</v>
      </c>
      <c r="B68" s="2" t="s">
        <v>75</v>
      </c>
      <c r="C68" s="14">
        <v>1</v>
      </c>
      <c r="D68" s="15" t="s">
        <v>9</v>
      </c>
      <c r="E68" s="16">
        <f t="shared" ref="E68:E69" si="37">(H68)/1.19</f>
        <v>16642.857142857145</v>
      </c>
      <c r="F68" s="17">
        <f t="shared" si="17"/>
        <v>3162</v>
      </c>
      <c r="G68" s="18">
        <f>+ROUND(F68+E68,0)</f>
        <v>19805</v>
      </c>
      <c r="H68" s="7">
        <v>19805</v>
      </c>
      <c r="J68" s="19">
        <f>+ROUND(18642.8571428571,0)</f>
        <v>18643</v>
      </c>
      <c r="K68" s="17">
        <f>+ROUND(J68*0.19,0)</f>
        <v>3542</v>
      </c>
      <c r="L68" s="18">
        <f t="shared" ref="L68:L69" si="38">+K68+J68</f>
        <v>22185</v>
      </c>
      <c r="N68" s="19">
        <v>20000</v>
      </c>
      <c r="O68" s="17">
        <f t="shared" ref="O68:O69" si="39">+N68*0.19</f>
        <v>3800</v>
      </c>
      <c r="P68" s="18">
        <f t="shared" ref="P68:P69" si="40">+O68+N68</f>
        <v>23800</v>
      </c>
      <c r="R68" s="45">
        <f t="shared" ref="R68:T69" si="41">+E68</f>
        <v>16642.857142857145</v>
      </c>
      <c r="S68" s="21">
        <f t="shared" si="41"/>
        <v>3162</v>
      </c>
      <c r="T68" s="27">
        <f t="shared" si="41"/>
        <v>19805</v>
      </c>
      <c r="V68" s="28">
        <f>+G68</f>
        <v>19805</v>
      </c>
    </row>
    <row r="69" spans="1:22" ht="33.75" customHeight="1" x14ac:dyDescent="0.2">
      <c r="A69" s="13">
        <v>6.2</v>
      </c>
      <c r="B69" s="2" t="s">
        <v>76</v>
      </c>
      <c r="C69" s="14">
        <v>1</v>
      </c>
      <c r="D69" s="15" t="s">
        <v>9</v>
      </c>
      <c r="E69" s="16">
        <f t="shared" si="37"/>
        <v>13388.235294117647</v>
      </c>
      <c r="F69" s="17">
        <f t="shared" si="17"/>
        <v>2544</v>
      </c>
      <c r="G69" s="18">
        <f>+ROUND(F69+E69,0)</f>
        <v>15932</v>
      </c>
      <c r="H69" s="7">
        <v>15932</v>
      </c>
      <c r="J69" s="19">
        <f>+ROUND(15388.2352941176,0)</f>
        <v>15388</v>
      </c>
      <c r="K69" s="17">
        <f>+ROUND(J69*0.19,0)</f>
        <v>2924</v>
      </c>
      <c r="L69" s="18">
        <f t="shared" si="38"/>
        <v>18312</v>
      </c>
      <c r="N69" s="19">
        <v>15000</v>
      </c>
      <c r="O69" s="17">
        <f t="shared" si="39"/>
        <v>2850</v>
      </c>
      <c r="P69" s="18">
        <f t="shared" si="40"/>
        <v>17850</v>
      </c>
      <c r="R69" s="45">
        <f t="shared" si="41"/>
        <v>13388.235294117647</v>
      </c>
      <c r="S69" s="21">
        <f t="shared" si="41"/>
        <v>2544</v>
      </c>
      <c r="T69" s="27">
        <f t="shared" si="41"/>
        <v>15932</v>
      </c>
      <c r="V69" s="28">
        <f>+G69</f>
        <v>15932</v>
      </c>
    </row>
    <row r="70" spans="1:22" x14ac:dyDescent="0.2">
      <c r="A70" s="48">
        <v>7</v>
      </c>
      <c r="B70" s="39" t="s">
        <v>77</v>
      </c>
      <c r="C70" s="40"/>
      <c r="D70" s="40"/>
      <c r="E70" s="40"/>
      <c r="F70" s="40"/>
      <c r="G70" s="41"/>
      <c r="J70" s="228" t="str">
        <f>+B70</f>
        <v>OTROS</v>
      </c>
      <c r="K70" s="228"/>
      <c r="L70" s="228"/>
      <c r="N70" s="228" t="str">
        <f>+B70</f>
        <v>OTROS</v>
      </c>
      <c r="O70" s="228"/>
      <c r="P70" s="228"/>
      <c r="R70" s="227" t="str">
        <f>+N70</f>
        <v>OTROS</v>
      </c>
      <c r="S70" s="228"/>
      <c r="T70" s="229"/>
    </row>
    <row r="71" spans="1:22" ht="39" customHeight="1" x14ac:dyDescent="0.2">
      <c r="A71" s="13">
        <v>7.1</v>
      </c>
      <c r="B71" s="2" t="s">
        <v>78</v>
      </c>
      <c r="C71" s="14">
        <v>1</v>
      </c>
      <c r="D71" s="15" t="s">
        <v>30</v>
      </c>
      <c r="E71" s="16">
        <v>779243</v>
      </c>
      <c r="F71" s="17">
        <f t="shared" si="17"/>
        <v>148056</v>
      </c>
      <c r="G71" s="18">
        <f t="shared" ref="G71:G74" si="42">+F71+E71</f>
        <v>927299</v>
      </c>
      <c r="J71" s="52">
        <v>980000</v>
      </c>
      <c r="K71" s="53">
        <f t="shared" ref="K71:K74" si="43">+J71*0.19</f>
        <v>186200</v>
      </c>
      <c r="L71" s="54">
        <f t="shared" ref="L71:L74" si="44">+K71+J71</f>
        <v>1166200</v>
      </c>
      <c r="N71" s="55">
        <v>960000</v>
      </c>
      <c r="O71" s="56">
        <f t="shared" ref="O71:O73" si="45">+N71*0.19</f>
        <v>182400</v>
      </c>
      <c r="P71" s="57">
        <f t="shared" ref="P71:P74" si="46">+O71+N71</f>
        <v>1142400</v>
      </c>
      <c r="R71" s="25">
        <f>+E71</f>
        <v>779243</v>
      </c>
      <c r="S71" s="26">
        <f>+F71</f>
        <v>148056</v>
      </c>
      <c r="T71" s="58">
        <f>+G71</f>
        <v>927299</v>
      </c>
      <c r="V71" s="28">
        <f>+G71</f>
        <v>927299</v>
      </c>
    </row>
    <row r="72" spans="1:22" ht="45" customHeight="1" x14ac:dyDescent="0.2">
      <c r="A72" s="13">
        <v>7.2</v>
      </c>
      <c r="B72" s="2" t="s">
        <v>79</v>
      </c>
      <c r="C72" s="14">
        <v>1</v>
      </c>
      <c r="D72" s="15" t="s">
        <v>30</v>
      </c>
      <c r="E72" s="16">
        <v>486229</v>
      </c>
      <c r="F72" s="17">
        <f t="shared" si="17"/>
        <v>92384</v>
      </c>
      <c r="G72" s="18">
        <f t="shared" si="42"/>
        <v>578613</v>
      </c>
      <c r="J72" s="52">
        <v>510000</v>
      </c>
      <c r="K72" s="53">
        <f t="shared" si="43"/>
        <v>96900</v>
      </c>
      <c r="L72" s="54">
        <f t="shared" si="44"/>
        <v>606900</v>
      </c>
      <c r="N72" s="55">
        <v>500000</v>
      </c>
      <c r="O72" s="56">
        <f t="shared" si="45"/>
        <v>95000</v>
      </c>
      <c r="P72" s="57">
        <f t="shared" si="46"/>
        <v>595000</v>
      </c>
      <c r="R72" s="25">
        <f t="shared" ref="R72:T74" si="47">+E72</f>
        <v>486229</v>
      </c>
      <c r="S72" s="26">
        <f t="shared" si="47"/>
        <v>92384</v>
      </c>
      <c r="T72" s="58">
        <f t="shared" si="47"/>
        <v>578613</v>
      </c>
      <c r="V72" s="28">
        <f>+G72</f>
        <v>578613</v>
      </c>
    </row>
    <row r="73" spans="1:22" ht="36.75" customHeight="1" x14ac:dyDescent="0.2">
      <c r="A73" s="13">
        <v>7.3</v>
      </c>
      <c r="B73" s="2" t="s">
        <v>80</v>
      </c>
      <c r="C73" s="14">
        <v>1</v>
      </c>
      <c r="D73" s="15" t="s">
        <v>81</v>
      </c>
      <c r="E73" s="16">
        <v>409455</v>
      </c>
      <c r="F73" s="17">
        <f t="shared" si="17"/>
        <v>77796</v>
      </c>
      <c r="G73" s="18">
        <f t="shared" si="42"/>
        <v>487251</v>
      </c>
      <c r="H73" s="7">
        <v>350000</v>
      </c>
      <c r="J73" s="52">
        <v>450000</v>
      </c>
      <c r="K73" s="53">
        <f t="shared" si="43"/>
        <v>85500</v>
      </c>
      <c r="L73" s="54">
        <f t="shared" si="44"/>
        <v>535500</v>
      </c>
      <c r="N73" s="55">
        <v>420000</v>
      </c>
      <c r="O73" s="56">
        <f t="shared" si="45"/>
        <v>79800</v>
      </c>
      <c r="P73" s="57">
        <f t="shared" si="46"/>
        <v>499800</v>
      </c>
      <c r="R73" s="25">
        <f t="shared" si="47"/>
        <v>409455</v>
      </c>
      <c r="S73" s="26">
        <f t="shared" si="47"/>
        <v>77796</v>
      </c>
      <c r="T73" s="58">
        <f t="shared" si="47"/>
        <v>487251</v>
      </c>
      <c r="V73" s="28">
        <f>+G73</f>
        <v>487251</v>
      </c>
    </row>
    <row r="74" spans="1:22" ht="50.25" customHeight="1" thickBot="1" x14ac:dyDescent="0.25">
      <c r="A74" s="59">
        <v>7.4</v>
      </c>
      <c r="B74" s="4" t="s">
        <v>82</v>
      </c>
      <c r="C74" s="60">
        <v>1</v>
      </c>
      <c r="D74" s="61" t="s">
        <v>81</v>
      </c>
      <c r="E74" s="62">
        <v>249900</v>
      </c>
      <c r="F74" s="17">
        <f t="shared" si="17"/>
        <v>47481</v>
      </c>
      <c r="G74" s="63">
        <f t="shared" si="42"/>
        <v>297381</v>
      </c>
      <c r="H74" s="7">
        <v>193673</v>
      </c>
      <c r="J74" s="64">
        <v>300000</v>
      </c>
      <c r="K74" s="65">
        <f t="shared" si="43"/>
        <v>57000</v>
      </c>
      <c r="L74" s="66">
        <f t="shared" si="44"/>
        <v>357000</v>
      </c>
      <c r="N74" s="67">
        <v>273974</v>
      </c>
      <c r="O74" s="68">
        <f>+ROUND(N74*0.19,0)</f>
        <v>52055</v>
      </c>
      <c r="P74" s="69">
        <f t="shared" si="46"/>
        <v>326029</v>
      </c>
      <c r="R74" s="36">
        <f t="shared" si="47"/>
        <v>249900</v>
      </c>
      <c r="S74" s="37">
        <f t="shared" si="47"/>
        <v>47481</v>
      </c>
      <c r="T74" s="70">
        <f t="shared" si="47"/>
        <v>297381</v>
      </c>
      <c r="V74" s="28">
        <f>+G74</f>
        <v>297381</v>
      </c>
    </row>
    <row r="75" spans="1:22" ht="12" thickBot="1" x14ac:dyDescent="0.25">
      <c r="A75" s="236" t="s">
        <v>83</v>
      </c>
      <c r="B75" s="237"/>
      <c r="C75" s="237"/>
      <c r="D75" s="237"/>
      <c r="E75" s="237"/>
      <c r="F75" s="237"/>
      <c r="G75" s="71">
        <f>SUM(G5:G74)</f>
        <v>11184867</v>
      </c>
      <c r="J75" s="250"/>
      <c r="K75" s="251"/>
      <c r="L75" s="71">
        <f>SUM(L5:L74)</f>
        <v>11938724</v>
      </c>
      <c r="N75" s="250"/>
      <c r="O75" s="251"/>
      <c r="P75" s="71">
        <f>SUM(P5:P74)</f>
        <v>12818138</v>
      </c>
      <c r="R75" s="210">
        <f>SUM(T5:T74)</f>
        <v>11184867</v>
      </c>
      <c r="S75" s="211"/>
      <c r="T75" s="212"/>
      <c r="V75" s="28">
        <f>+SUM(V5:V74)</f>
        <v>11051350</v>
      </c>
    </row>
    <row r="76" spans="1:22" ht="12" thickBot="1" x14ac:dyDescent="0.25">
      <c r="C76" s="207" t="s">
        <v>88</v>
      </c>
      <c r="D76" s="208"/>
      <c r="E76" s="208"/>
      <c r="F76" s="208"/>
      <c r="G76" s="209"/>
      <c r="R76" s="213" t="s">
        <v>89</v>
      </c>
      <c r="S76" s="214"/>
      <c r="T76" s="215"/>
    </row>
  </sheetData>
  <mergeCells count="33">
    <mergeCell ref="A75:F75"/>
    <mergeCell ref="J75:K75"/>
    <mergeCell ref="N75:O75"/>
    <mergeCell ref="R75:T75"/>
    <mergeCell ref="C76:G76"/>
    <mergeCell ref="R76:T76"/>
    <mergeCell ref="J67:L67"/>
    <mergeCell ref="N67:P67"/>
    <mergeCell ref="R67:T67"/>
    <mergeCell ref="J70:L70"/>
    <mergeCell ref="N70:P70"/>
    <mergeCell ref="R70:T70"/>
    <mergeCell ref="J56:L56"/>
    <mergeCell ref="N56:P56"/>
    <mergeCell ref="R56:T56"/>
    <mergeCell ref="J64:L64"/>
    <mergeCell ref="N64:P64"/>
    <mergeCell ref="R64:T64"/>
    <mergeCell ref="J29:L29"/>
    <mergeCell ref="N29:P29"/>
    <mergeCell ref="R29:T29"/>
    <mergeCell ref="J41:L41"/>
    <mergeCell ref="N41:P41"/>
    <mergeCell ref="R41:T41"/>
    <mergeCell ref="B4:G4"/>
    <mergeCell ref="J4:L4"/>
    <mergeCell ref="N4:P4"/>
    <mergeCell ref="R4:T4"/>
    <mergeCell ref="R1:T1"/>
    <mergeCell ref="E2:G2"/>
    <mergeCell ref="J2:L2"/>
    <mergeCell ref="N2:P2"/>
    <mergeCell ref="R2:T2"/>
  </mergeCells>
  <pageMargins left="0.7" right="0.7" top="0.75" bottom="0.75" header="0.3" footer="0.3"/>
  <pageSetup paperSize="9" scale="33" orientation="portrait" r:id="rId1"/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B51FA-55E1-44D2-B726-53E6C0678767}">
  <dimension ref="A1:U108"/>
  <sheetViews>
    <sheetView tabSelected="1" view="pageBreakPreview" topLeftCell="A58" zoomScaleNormal="100" zoomScaleSheetLayoutView="100" workbookViewId="0">
      <selection activeCell="B74" sqref="B74"/>
    </sheetView>
  </sheetViews>
  <sheetFormatPr baseColWidth="10" defaultColWidth="11.42578125" defaultRowHeight="11.25" x14ac:dyDescent="0.2"/>
  <cols>
    <col min="1" max="1" width="8.28515625" style="6" customWidth="1"/>
    <col min="2" max="2" width="34.42578125" style="5" customWidth="1"/>
    <col min="3" max="3" width="11.28515625" style="5" customWidth="1"/>
    <col min="4" max="4" width="13.7109375" style="5" customWidth="1"/>
    <col min="5" max="7" width="13.7109375" style="143" customWidth="1"/>
    <col min="8" max="8" width="13.7109375" style="7" hidden="1" customWidth="1"/>
    <col min="9" max="9" width="13.7109375" style="5" hidden="1" customWidth="1"/>
    <col min="10" max="12" width="13.7109375" style="137" customWidth="1"/>
    <col min="13" max="13" width="13.7109375" style="5" hidden="1" customWidth="1"/>
    <col min="14" max="16" width="13.7109375" style="130" customWidth="1"/>
    <col min="17" max="19" width="14.7109375" style="125" customWidth="1"/>
    <col min="20" max="20" width="11.42578125" style="5"/>
    <col min="21" max="21" width="17.7109375" style="5" customWidth="1"/>
    <col min="22" max="16384" width="11.42578125" style="5"/>
  </cols>
  <sheetData>
    <row r="1" spans="1:21" ht="30" customHeight="1" thickBot="1" x14ac:dyDescent="0.3">
      <c r="A1" s="252" t="s">
        <v>104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3"/>
      <c r="Q1" s="282" t="s">
        <v>101</v>
      </c>
      <c r="R1" s="283"/>
      <c r="S1" s="284"/>
    </row>
    <row r="2" spans="1:21" ht="15.75" customHeight="1" thickBot="1" x14ac:dyDescent="0.25">
      <c r="A2" s="166"/>
      <c r="B2" s="167"/>
      <c r="C2" s="167"/>
      <c r="D2" s="167"/>
      <c r="E2" s="261" t="s">
        <v>84</v>
      </c>
      <c r="F2" s="262"/>
      <c r="G2" s="263"/>
      <c r="J2" s="264" t="s">
        <v>85</v>
      </c>
      <c r="K2" s="265"/>
      <c r="L2" s="266"/>
      <c r="N2" s="267" t="s">
        <v>86</v>
      </c>
      <c r="O2" s="268"/>
      <c r="P2" s="268"/>
      <c r="Q2" s="285" t="s">
        <v>88</v>
      </c>
      <c r="R2" s="216"/>
      <c r="S2" s="286"/>
    </row>
    <row r="3" spans="1:21" ht="34.5" thickBot="1" x14ac:dyDescent="0.25">
      <c r="A3" s="9" t="s">
        <v>0</v>
      </c>
      <c r="B3" s="1" t="s">
        <v>1</v>
      </c>
      <c r="C3" s="1" t="s">
        <v>2</v>
      </c>
      <c r="D3" s="1" t="s">
        <v>3</v>
      </c>
      <c r="E3" s="138" t="s">
        <v>4</v>
      </c>
      <c r="F3" s="138" t="s">
        <v>5</v>
      </c>
      <c r="G3" s="139" t="s">
        <v>6</v>
      </c>
      <c r="J3" s="169" t="str">
        <f>+E3</f>
        <v>VALOR UNITARIO SIN IVA</v>
      </c>
      <c r="K3" s="131" t="str">
        <f>+F3</f>
        <v xml:space="preserve"> IVA 19% </v>
      </c>
      <c r="L3" s="132" t="str">
        <f>+G3</f>
        <v>VALOR TOTAL</v>
      </c>
      <c r="N3" s="176" t="str">
        <f>+J3</f>
        <v>VALOR UNITARIO SIN IVA</v>
      </c>
      <c r="O3" s="127" t="str">
        <f>+J3</f>
        <v>VALOR UNITARIO SIN IVA</v>
      </c>
      <c r="P3" s="182" t="str">
        <f>+K3</f>
        <v xml:space="preserve"> IVA 19% </v>
      </c>
      <c r="Q3" s="187" t="str">
        <f>+J3</f>
        <v>VALOR UNITARIO SIN IVA</v>
      </c>
      <c r="R3" s="126" t="s">
        <v>102</v>
      </c>
      <c r="S3" s="188" t="s">
        <v>103</v>
      </c>
    </row>
    <row r="4" spans="1:21" x14ac:dyDescent="0.2">
      <c r="A4" s="12"/>
      <c r="B4" s="269" t="s">
        <v>7</v>
      </c>
      <c r="C4" s="270"/>
      <c r="D4" s="270"/>
      <c r="E4" s="270"/>
      <c r="F4" s="270"/>
      <c r="G4" s="271"/>
      <c r="H4" s="193"/>
      <c r="I4" s="194"/>
      <c r="J4" s="257" t="str">
        <f>+B4</f>
        <v>ENSAYOS EN SUELO</v>
      </c>
      <c r="K4" s="258"/>
      <c r="L4" s="259"/>
      <c r="M4" s="194"/>
      <c r="N4" s="257" t="str">
        <f>+J4</f>
        <v>ENSAYOS EN SUELO</v>
      </c>
      <c r="O4" s="258"/>
      <c r="P4" s="260"/>
      <c r="Q4" s="257" t="str">
        <f>+N4</f>
        <v>ENSAYOS EN SUELO</v>
      </c>
      <c r="R4" s="258"/>
      <c r="S4" s="259"/>
    </row>
    <row r="5" spans="1:21" x14ac:dyDescent="0.2">
      <c r="A5" s="13">
        <v>1</v>
      </c>
      <c r="B5" s="2" t="s">
        <v>8</v>
      </c>
      <c r="C5" s="14">
        <v>1</v>
      </c>
      <c r="D5" s="15" t="s">
        <v>9</v>
      </c>
      <c r="E5" s="140">
        <f>+ROUND((H5/1.19),0)</f>
        <v>8697</v>
      </c>
      <c r="F5" s="141">
        <f>+ROUND(E5*0.19,0)</f>
        <v>1652</v>
      </c>
      <c r="G5" s="202">
        <f>+F5+E5</f>
        <v>10349</v>
      </c>
      <c r="H5" s="7">
        <v>10350</v>
      </c>
      <c r="J5" s="170">
        <v>12000</v>
      </c>
      <c r="K5" s="133">
        <f>ROUND(+J5*0.19,0)</f>
        <v>2280</v>
      </c>
      <c r="L5" s="171">
        <f>+K5+J5</f>
        <v>14280</v>
      </c>
      <c r="N5" s="177">
        <v>12500</v>
      </c>
      <c r="O5" s="128">
        <f>+ROUND(N5*0.19,0)</f>
        <v>2375</v>
      </c>
      <c r="P5" s="183">
        <f>+O5+N5</f>
        <v>14875</v>
      </c>
      <c r="Q5" s="189">
        <f>+E5</f>
        <v>8697</v>
      </c>
      <c r="R5" s="144">
        <f>ROUND(Q5*0.19,)</f>
        <v>1652</v>
      </c>
      <c r="S5" s="190">
        <f>+R5+Q5</f>
        <v>10349</v>
      </c>
      <c r="T5" s="28">
        <f>MIN(G5,L5,P5)</f>
        <v>10349</v>
      </c>
      <c r="U5" s="28">
        <f>+T5-S5</f>
        <v>0</v>
      </c>
    </row>
    <row r="6" spans="1:21" ht="24.75" customHeight="1" x14ac:dyDescent="0.2">
      <c r="A6" s="13">
        <f>+A5+1</f>
        <v>2</v>
      </c>
      <c r="B6" s="2" t="s">
        <v>10</v>
      </c>
      <c r="C6" s="14">
        <v>1</v>
      </c>
      <c r="D6" s="15" t="s">
        <v>9</v>
      </c>
      <c r="E6" s="140">
        <f t="shared" ref="E6:E65" si="0">+ROUND((H6/1.19),0)</f>
        <v>36881</v>
      </c>
      <c r="F6" s="141">
        <f t="shared" ref="F6:F28" si="1">+ROUND(E6*0.19,0)</f>
        <v>7007</v>
      </c>
      <c r="G6" s="202">
        <f t="shared" ref="G6:G66" si="2">+F6+E6</f>
        <v>43888</v>
      </c>
      <c r="H6" s="7">
        <v>43888</v>
      </c>
      <c r="J6" s="170">
        <v>45000</v>
      </c>
      <c r="K6" s="133">
        <f t="shared" ref="K6:K28" si="3">ROUND(+J6*0.19,0)</f>
        <v>8550</v>
      </c>
      <c r="L6" s="171">
        <f t="shared" ref="L6:L55" si="4">+K6+J6</f>
        <v>53550</v>
      </c>
      <c r="N6" s="177">
        <v>45000</v>
      </c>
      <c r="O6" s="128">
        <f t="shared" ref="O6:O28" si="5">+ROUND(N6*0.19,0)</f>
        <v>8550</v>
      </c>
      <c r="P6" s="183">
        <f t="shared" ref="P6:P28" si="6">+O6+N6</f>
        <v>53550</v>
      </c>
      <c r="Q6" s="189">
        <f>+E6</f>
        <v>36881</v>
      </c>
      <c r="R6" s="144">
        <f t="shared" ref="R6:R69" si="7">ROUND(Q6*0.19,)</f>
        <v>7007</v>
      </c>
      <c r="S6" s="190">
        <f t="shared" ref="S6:S69" si="8">+R6+Q6</f>
        <v>43888</v>
      </c>
      <c r="T6" s="28">
        <f t="shared" ref="T6:T69" si="9">MIN(G6,L6,P6)</f>
        <v>43888</v>
      </c>
      <c r="U6" s="28">
        <f t="shared" ref="U6:U69" si="10">+T6-S6</f>
        <v>0</v>
      </c>
    </row>
    <row r="7" spans="1:21" ht="33" customHeight="1" x14ac:dyDescent="0.2">
      <c r="A7" s="13">
        <f t="shared" ref="A7:A28" si="11">+A6+1</f>
        <v>3</v>
      </c>
      <c r="B7" s="2" t="s">
        <v>11</v>
      </c>
      <c r="C7" s="14">
        <v>1</v>
      </c>
      <c r="D7" s="15" t="s">
        <v>9</v>
      </c>
      <c r="E7" s="140">
        <f t="shared" si="0"/>
        <v>40031</v>
      </c>
      <c r="F7" s="141">
        <f t="shared" si="1"/>
        <v>7606</v>
      </c>
      <c r="G7" s="142">
        <f t="shared" si="2"/>
        <v>47637</v>
      </c>
      <c r="H7" s="7">
        <v>47637</v>
      </c>
      <c r="J7" s="170">
        <v>40000</v>
      </c>
      <c r="K7" s="133">
        <f t="shared" si="3"/>
        <v>7600</v>
      </c>
      <c r="L7" s="203">
        <f t="shared" si="4"/>
        <v>47600</v>
      </c>
      <c r="N7" s="177">
        <v>40031</v>
      </c>
      <c r="O7" s="128">
        <f t="shared" si="5"/>
        <v>7606</v>
      </c>
      <c r="P7" s="183">
        <f t="shared" si="6"/>
        <v>47637</v>
      </c>
      <c r="Q7" s="189">
        <f>+J7</f>
        <v>40000</v>
      </c>
      <c r="R7" s="144">
        <f t="shared" si="7"/>
        <v>7600</v>
      </c>
      <c r="S7" s="190">
        <f t="shared" si="8"/>
        <v>47600</v>
      </c>
      <c r="T7" s="28">
        <f t="shared" si="9"/>
        <v>47600</v>
      </c>
      <c r="U7" s="28">
        <f t="shared" si="10"/>
        <v>0</v>
      </c>
    </row>
    <row r="8" spans="1:21" ht="24" customHeight="1" x14ac:dyDescent="0.2">
      <c r="A8" s="13">
        <f t="shared" si="11"/>
        <v>4</v>
      </c>
      <c r="B8" s="2" t="s">
        <v>12</v>
      </c>
      <c r="C8" s="14">
        <v>1</v>
      </c>
      <c r="D8" s="15" t="s">
        <v>9</v>
      </c>
      <c r="E8" s="140">
        <f t="shared" si="0"/>
        <v>35385</v>
      </c>
      <c r="F8" s="141">
        <f t="shared" si="1"/>
        <v>6723</v>
      </c>
      <c r="G8" s="202">
        <f t="shared" si="2"/>
        <v>42108</v>
      </c>
      <c r="H8" s="7">
        <v>42108</v>
      </c>
      <c r="J8" s="170">
        <v>38000</v>
      </c>
      <c r="K8" s="133">
        <f t="shared" si="3"/>
        <v>7220</v>
      </c>
      <c r="L8" s="171">
        <f t="shared" si="4"/>
        <v>45220</v>
      </c>
      <c r="N8" s="177">
        <v>40000</v>
      </c>
      <c r="O8" s="128">
        <f t="shared" si="5"/>
        <v>7600</v>
      </c>
      <c r="P8" s="183">
        <f t="shared" si="6"/>
        <v>47600</v>
      </c>
      <c r="Q8" s="189">
        <f t="shared" ref="Q8:Q23" si="12">+E8</f>
        <v>35385</v>
      </c>
      <c r="R8" s="144">
        <f t="shared" si="7"/>
        <v>6723</v>
      </c>
      <c r="S8" s="190">
        <f t="shared" si="8"/>
        <v>42108</v>
      </c>
      <c r="T8" s="28">
        <f t="shared" si="9"/>
        <v>42108</v>
      </c>
      <c r="U8" s="28">
        <f t="shared" si="10"/>
        <v>0</v>
      </c>
    </row>
    <row r="9" spans="1:21" ht="28.5" customHeight="1" x14ac:dyDescent="0.2">
      <c r="A9" s="13">
        <f t="shared" si="11"/>
        <v>5</v>
      </c>
      <c r="B9" s="2" t="s">
        <v>13</v>
      </c>
      <c r="C9" s="14">
        <v>1</v>
      </c>
      <c r="D9" s="15" t="s">
        <v>9</v>
      </c>
      <c r="E9" s="140">
        <f t="shared" si="0"/>
        <v>45465</v>
      </c>
      <c r="F9" s="141">
        <f t="shared" si="1"/>
        <v>8638</v>
      </c>
      <c r="G9" s="202">
        <f t="shared" si="2"/>
        <v>54103</v>
      </c>
      <c r="H9" s="7">
        <v>54103</v>
      </c>
      <c r="J9" s="170">
        <v>52000</v>
      </c>
      <c r="K9" s="133">
        <f t="shared" si="3"/>
        <v>9880</v>
      </c>
      <c r="L9" s="171">
        <f t="shared" si="4"/>
        <v>61880</v>
      </c>
      <c r="N9" s="177">
        <v>55000</v>
      </c>
      <c r="O9" s="128">
        <f t="shared" si="5"/>
        <v>10450</v>
      </c>
      <c r="P9" s="183">
        <f t="shared" si="6"/>
        <v>65450</v>
      </c>
      <c r="Q9" s="189">
        <f t="shared" si="12"/>
        <v>45465</v>
      </c>
      <c r="R9" s="144">
        <f t="shared" si="7"/>
        <v>8638</v>
      </c>
      <c r="S9" s="190">
        <f t="shared" si="8"/>
        <v>54103</v>
      </c>
      <c r="T9" s="28">
        <f t="shared" si="9"/>
        <v>54103</v>
      </c>
      <c r="U9" s="28">
        <f t="shared" si="10"/>
        <v>0</v>
      </c>
    </row>
    <row r="10" spans="1:21" ht="42" customHeight="1" x14ac:dyDescent="0.2">
      <c r="A10" s="13">
        <f t="shared" si="11"/>
        <v>6</v>
      </c>
      <c r="B10" s="2" t="s">
        <v>14</v>
      </c>
      <c r="C10" s="14">
        <v>1</v>
      </c>
      <c r="D10" s="15" t="s">
        <v>9</v>
      </c>
      <c r="E10" s="140">
        <f t="shared" si="0"/>
        <v>39218</v>
      </c>
      <c r="F10" s="141">
        <f t="shared" si="1"/>
        <v>7451</v>
      </c>
      <c r="G10" s="202">
        <f t="shared" si="2"/>
        <v>46669</v>
      </c>
      <c r="H10" s="7">
        <v>46669</v>
      </c>
      <c r="J10" s="170">
        <v>45000</v>
      </c>
      <c r="K10" s="133">
        <f t="shared" si="3"/>
        <v>8550</v>
      </c>
      <c r="L10" s="171">
        <f t="shared" si="4"/>
        <v>53550</v>
      </c>
      <c r="N10" s="177">
        <v>48000</v>
      </c>
      <c r="O10" s="128">
        <f t="shared" si="5"/>
        <v>9120</v>
      </c>
      <c r="P10" s="183">
        <f t="shared" si="6"/>
        <v>57120</v>
      </c>
      <c r="Q10" s="189">
        <f t="shared" si="12"/>
        <v>39218</v>
      </c>
      <c r="R10" s="144">
        <f t="shared" si="7"/>
        <v>7451</v>
      </c>
      <c r="S10" s="190">
        <f t="shared" si="8"/>
        <v>46669</v>
      </c>
      <c r="T10" s="28">
        <f t="shared" si="9"/>
        <v>46669</v>
      </c>
      <c r="U10" s="28">
        <f t="shared" si="10"/>
        <v>0</v>
      </c>
    </row>
    <row r="11" spans="1:21" ht="34.5" customHeight="1" x14ac:dyDescent="0.2">
      <c r="A11" s="13">
        <f t="shared" si="11"/>
        <v>7</v>
      </c>
      <c r="B11" s="2" t="s">
        <v>15</v>
      </c>
      <c r="C11" s="14">
        <v>1</v>
      </c>
      <c r="D11" s="15" t="s">
        <v>9</v>
      </c>
      <c r="E11" s="140">
        <f t="shared" si="0"/>
        <v>65021</v>
      </c>
      <c r="F11" s="141">
        <f t="shared" si="1"/>
        <v>12354</v>
      </c>
      <c r="G11" s="202">
        <f t="shared" si="2"/>
        <v>77375</v>
      </c>
      <c r="H11" s="7">
        <v>77375</v>
      </c>
      <c r="J11" s="170">
        <v>70000</v>
      </c>
      <c r="K11" s="133">
        <f t="shared" si="3"/>
        <v>13300</v>
      </c>
      <c r="L11" s="171">
        <f t="shared" si="4"/>
        <v>83300</v>
      </c>
      <c r="N11" s="177">
        <v>72000</v>
      </c>
      <c r="O11" s="128">
        <f t="shared" si="5"/>
        <v>13680</v>
      </c>
      <c r="P11" s="183">
        <f t="shared" si="6"/>
        <v>85680</v>
      </c>
      <c r="Q11" s="189">
        <f t="shared" si="12"/>
        <v>65021</v>
      </c>
      <c r="R11" s="144">
        <f t="shared" si="7"/>
        <v>12354</v>
      </c>
      <c r="S11" s="190">
        <f t="shared" si="8"/>
        <v>77375</v>
      </c>
      <c r="T11" s="28">
        <f t="shared" si="9"/>
        <v>77375</v>
      </c>
      <c r="U11" s="28">
        <f t="shared" si="10"/>
        <v>0</v>
      </c>
    </row>
    <row r="12" spans="1:21" ht="44.25" customHeight="1" x14ac:dyDescent="0.2">
      <c r="A12" s="13">
        <f t="shared" si="11"/>
        <v>8</v>
      </c>
      <c r="B12" s="2" t="s">
        <v>16</v>
      </c>
      <c r="C12" s="14">
        <v>1</v>
      </c>
      <c r="D12" s="15" t="s">
        <v>9</v>
      </c>
      <c r="E12" s="140">
        <f>+ROUND((H12/1.19),0)</f>
        <v>87606</v>
      </c>
      <c r="F12" s="141">
        <f t="shared" si="1"/>
        <v>16645</v>
      </c>
      <c r="G12" s="202">
        <f t="shared" si="2"/>
        <v>104251</v>
      </c>
      <c r="H12" s="7">
        <v>104251</v>
      </c>
      <c r="J12" s="170">
        <v>100000</v>
      </c>
      <c r="K12" s="133">
        <f t="shared" si="3"/>
        <v>19000</v>
      </c>
      <c r="L12" s="171">
        <f t="shared" si="4"/>
        <v>119000</v>
      </c>
      <c r="N12" s="177">
        <v>96000</v>
      </c>
      <c r="O12" s="128">
        <f t="shared" si="5"/>
        <v>18240</v>
      </c>
      <c r="P12" s="183">
        <f t="shared" si="6"/>
        <v>114240</v>
      </c>
      <c r="Q12" s="189">
        <f t="shared" si="12"/>
        <v>87606</v>
      </c>
      <c r="R12" s="144">
        <f t="shared" si="7"/>
        <v>16645</v>
      </c>
      <c r="S12" s="190">
        <f t="shared" si="8"/>
        <v>104251</v>
      </c>
      <c r="T12" s="28">
        <f t="shared" si="9"/>
        <v>104251</v>
      </c>
      <c r="U12" s="28">
        <f t="shared" si="10"/>
        <v>0</v>
      </c>
    </row>
    <row r="13" spans="1:21" ht="35.25" customHeight="1" x14ac:dyDescent="0.2">
      <c r="A13" s="13">
        <f t="shared" si="11"/>
        <v>9</v>
      </c>
      <c r="B13" s="2" t="s">
        <v>17</v>
      </c>
      <c r="C13" s="14">
        <v>1</v>
      </c>
      <c r="D13" s="15" t="s">
        <v>9</v>
      </c>
      <c r="E13" s="140">
        <f t="shared" si="0"/>
        <v>104423</v>
      </c>
      <c r="F13" s="141">
        <f t="shared" si="1"/>
        <v>19840</v>
      </c>
      <c r="G13" s="202">
        <f t="shared" si="2"/>
        <v>124263</v>
      </c>
      <c r="H13" s="7">
        <v>124263</v>
      </c>
      <c r="J13" s="170">
        <v>110000</v>
      </c>
      <c r="K13" s="133">
        <f t="shared" si="3"/>
        <v>20900</v>
      </c>
      <c r="L13" s="171">
        <f t="shared" si="4"/>
        <v>130900</v>
      </c>
      <c r="N13" s="177">
        <v>110000</v>
      </c>
      <c r="O13" s="128">
        <f t="shared" si="5"/>
        <v>20900</v>
      </c>
      <c r="P13" s="183">
        <f t="shared" si="6"/>
        <v>130900</v>
      </c>
      <c r="Q13" s="189">
        <f t="shared" si="12"/>
        <v>104423</v>
      </c>
      <c r="R13" s="144">
        <f t="shared" si="7"/>
        <v>19840</v>
      </c>
      <c r="S13" s="190">
        <f t="shared" si="8"/>
        <v>124263</v>
      </c>
      <c r="T13" s="28">
        <f t="shared" si="9"/>
        <v>124263</v>
      </c>
      <c r="U13" s="28">
        <f t="shared" si="10"/>
        <v>0</v>
      </c>
    </row>
    <row r="14" spans="1:21" ht="30.75" customHeight="1" x14ac:dyDescent="0.2">
      <c r="A14" s="13">
        <f t="shared" si="11"/>
        <v>10</v>
      </c>
      <c r="B14" s="2" t="s">
        <v>18</v>
      </c>
      <c r="C14" s="14">
        <v>1</v>
      </c>
      <c r="D14" s="15" t="s">
        <v>9</v>
      </c>
      <c r="E14" s="140">
        <f t="shared" si="0"/>
        <v>44258</v>
      </c>
      <c r="F14" s="141">
        <f t="shared" si="1"/>
        <v>8409</v>
      </c>
      <c r="G14" s="202">
        <f t="shared" si="2"/>
        <v>52667</v>
      </c>
      <c r="H14" s="7">
        <v>52667</v>
      </c>
      <c r="J14" s="170">
        <v>50000</v>
      </c>
      <c r="K14" s="133">
        <f t="shared" si="3"/>
        <v>9500</v>
      </c>
      <c r="L14" s="171">
        <f t="shared" si="4"/>
        <v>59500</v>
      </c>
      <c r="N14" s="177">
        <v>50000</v>
      </c>
      <c r="O14" s="128">
        <f t="shared" si="5"/>
        <v>9500</v>
      </c>
      <c r="P14" s="183">
        <f t="shared" si="6"/>
        <v>59500</v>
      </c>
      <c r="Q14" s="189">
        <f t="shared" si="12"/>
        <v>44258</v>
      </c>
      <c r="R14" s="144">
        <f t="shared" si="7"/>
        <v>8409</v>
      </c>
      <c r="S14" s="190">
        <f t="shared" si="8"/>
        <v>52667</v>
      </c>
      <c r="T14" s="28">
        <f t="shared" si="9"/>
        <v>52667</v>
      </c>
      <c r="U14" s="28">
        <f t="shared" si="10"/>
        <v>0</v>
      </c>
    </row>
    <row r="15" spans="1:21" ht="42.75" customHeight="1" x14ac:dyDescent="0.2">
      <c r="A15" s="13">
        <f t="shared" si="11"/>
        <v>11</v>
      </c>
      <c r="B15" s="2" t="s">
        <v>19</v>
      </c>
      <c r="C15" s="14">
        <v>1</v>
      </c>
      <c r="D15" s="15" t="s">
        <v>9</v>
      </c>
      <c r="E15" s="140">
        <f t="shared" si="0"/>
        <v>300851</v>
      </c>
      <c r="F15" s="141">
        <f>+ROUND(E15*0.19,0)</f>
        <v>57162</v>
      </c>
      <c r="G15" s="202">
        <f t="shared" si="2"/>
        <v>358013</v>
      </c>
      <c r="H15" s="7">
        <v>358013</v>
      </c>
      <c r="J15" s="170">
        <v>350000</v>
      </c>
      <c r="K15" s="133">
        <f t="shared" si="3"/>
        <v>66500</v>
      </c>
      <c r="L15" s="171">
        <f t="shared" si="4"/>
        <v>416500</v>
      </c>
      <c r="N15" s="177">
        <v>350000</v>
      </c>
      <c r="O15" s="128">
        <f t="shared" si="5"/>
        <v>66500</v>
      </c>
      <c r="P15" s="183">
        <f t="shared" si="6"/>
        <v>416500</v>
      </c>
      <c r="Q15" s="189">
        <f t="shared" si="12"/>
        <v>300851</v>
      </c>
      <c r="R15" s="144">
        <f t="shared" si="7"/>
        <v>57162</v>
      </c>
      <c r="S15" s="190">
        <f t="shared" si="8"/>
        <v>358013</v>
      </c>
      <c r="T15" s="28">
        <f t="shared" si="9"/>
        <v>358013</v>
      </c>
      <c r="U15" s="28">
        <f t="shared" si="10"/>
        <v>0</v>
      </c>
    </row>
    <row r="16" spans="1:21" ht="36" customHeight="1" x14ac:dyDescent="0.2">
      <c r="A16" s="13">
        <f t="shared" si="11"/>
        <v>12</v>
      </c>
      <c r="B16" s="2" t="s">
        <v>20</v>
      </c>
      <c r="C16" s="14">
        <v>1</v>
      </c>
      <c r="D16" s="15" t="s">
        <v>9</v>
      </c>
      <c r="E16" s="140">
        <f t="shared" si="0"/>
        <v>429791</v>
      </c>
      <c r="F16" s="141">
        <f t="shared" si="1"/>
        <v>81660</v>
      </c>
      <c r="G16" s="202">
        <f t="shared" si="2"/>
        <v>511451</v>
      </c>
      <c r="H16" s="7">
        <v>511451</v>
      </c>
      <c r="J16" s="170">
        <f>+ROUND(431790.756,0)</f>
        <v>431791</v>
      </c>
      <c r="K16" s="133">
        <f t="shared" si="3"/>
        <v>82040</v>
      </c>
      <c r="L16" s="171">
        <f t="shared" si="4"/>
        <v>513831</v>
      </c>
      <c r="N16" s="177">
        <v>500000</v>
      </c>
      <c r="O16" s="128">
        <f t="shared" si="5"/>
        <v>95000</v>
      </c>
      <c r="P16" s="183">
        <f t="shared" si="6"/>
        <v>595000</v>
      </c>
      <c r="Q16" s="189">
        <f t="shared" si="12"/>
        <v>429791</v>
      </c>
      <c r="R16" s="144">
        <f t="shared" si="7"/>
        <v>81660</v>
      </c>
      <c r="S16" s="190">
        <f t="shared" si="8"/>
        <v>511451</v>
      </c>
      <c r="T16" s="28">
        <f t="shared" si="9"/>
        <v>511451</v>
      </c>
      <c r="U16" s="28">
        <f t="shared" si="10"/>
        <v>0</v>
      </c>
    </row>
    <row r="17" spans="1:21" ht="39.75" customHeight="1" x14ac:dyDescent="0.2">
      <c r="A17" s="13">
        <f t="shared" si="11"/>
        <v>13</v>
      </c>
      <c r="B17" s="2" t="s">
        <v>21</v>
      </c>
      <c r="C17" s="14">
        <v>1</v>
      </c>
      <c r="D17" s="15" t="s">
        <v>9</v>
      </c>
      <c r="E17" s="140">
        <f>+ROUND((H17/1.19),0)</f>
        <v>91455</v>
      </c>
      <c r="F17" s="141">
        <f t="shared" si="1"/>
        <v>17376</v>
      </c>
      <c r="G17" s="202">
        <f t="shared" si="2"/>
        <v>108831</v>
      </c>
      <c r="H17" s="7">
        <v>108831</v>
      </c>
      <c r="J17" s="170">
        <f>+ROUND(93454.6218487395,0)</f>
        <v>93455</v>
      </c>
      <c r="K17" s="133">
        <f>ROUND(+J17*0.19,0)</f>
        <v>17756</v>
      </c>
      <c r="L17" s="171">
        <f t="shared" si="4"/>
        <v>111211</v>
      </c>
      <c r="N17" s="177">
        <v>145000</v>
      </c>
      <c r="O17" s="128">
        <f t="shared" si="5"/>
        <v>27550</v>
      </c>
      <c r="P17" s="183">
        <f t="shared" si="6"/>
        <v>172550</v>
      </c>
      <c r="Q17" s="189">
        <f t="shared" si="12"/>
        <v>91455</v>
      </c>
      <c r="R17" s="144">
        <f t="shared" si="7"/>
        <v>17376</v>
      </c>
      <c r="S17" s="190">
        <f t="shared" si="8"/>
        <v>108831</v>
      </c>
      <c r="T17" s="28">
        <f t="shared" si="9"/>
        <v>108831</v>
      </c>
      <c r="U17" s="28">
        <f t="shared" si="10"/>
        <v>0</v>
      </c>
    </row>
    <row r="18" spans="1:21" ht="31.5" customHeight="1" x14ac:dyDescent="0.2">
      <c r="A18" s="13">
        <f t="shared" si="11"/>
        <v>14</v>
      </c>
      <c r="B18" s="2" t="s">
        <v>22</v>
      </c>
      <c r="C18" s="14">
        <v>1</v>
      </c>
      <c r="D18" s="15" t="s">
        <v>9</v>
      </c>
      <c r="E18" s="140">
        <f t="shared" si="0"/>
        <v>33613</v>
      </c>
      <c r="F18" s="141">
        <f t="shared" si="1"/>
        <v>6386</v>
      </c>
      <c r="G18" s="202">
        <f t="shared" si="2"/>
        <v>39999</v>
      </c>
      <c r="H18" s="7">
        <v>40000</v>
      </c>
      <c r="J18" s="170">
        <f>+ROUND(35613.4453781513,0)</f>
        <v>35613</v>
      </c>
      <c r="K18" s="133">
        <f t="shared" si="3"/>
        <v>6766</v>
      </c>
      <c r="L18" s="171">
        <f t="shared" si="4"/>
        <v>42379</v>
      </c>
      <c r="N18" s="177">
        <v>33613</v>
      </c>
      <c r="O18" s="128">
        <f t="shared" si="5"/>
        <v>6386</v>
      </c>
      <c r="P18" s="183">
        <f t="shared" si="6"/>
        <v>39999</v>
      </c>
      <c r="Q18" s="189">
        <f t="shared" si="12"/>
        <v>33613</v>
      </c>
      <c r="R18" s="144">
        <f t="shared" si="7"/>
        <v>6386</v>
      </c>
      <c r="S18" s="190">
        <f t="shared" si="8"/>
        <v>39999</v>
      </c>
      <c r="T18" s="28">
        <f t="shared" si="9"/>
        <v>39999</v>
      </c>
      <c r="U18" s="28">
        <f t="shared" si="10"/>
        <v>0</v>
      </c>
    </row>
    <row r="19" spans="1:21" ht="31.5" customHeight="1" x14ac:dyDescent="0.2">
      <c r="A19" s="13">
        <f t="shared" si="11"/>
        <v>15</v>
      </c>
      <c r="B19" s="2" t="s">
        <v>23</v>
      </c>
      <c r="C19" s="14">
        <v>1</v>
      </c>
      <c r="D19" s="15" t="s">
        <v>9</v>
      </c>
      <c r="E19" s="140">
        <f t="shared" si="0"/>
        <v>50420</v>
      </c>
      <c r="F19" s="141">
        <f t="shared" si="1"/>
        <v>9580</v>
      </c>
      <c r="G19" s="202">
        <f t="shared" si="2"/>
        <v>60000</v>
      </c>
      <c r="H19" s="7">
        <v>60000</v>
      </c>
      <c r="J19" s="170">
        <f>+ROUND(52420.1680672269,0)</f>
        <v>52420</v>
      </c>
      <c r="K19" s="133">
        <f t="shared" si="3"/>
        <v>9960</v>
      </c>
      <c r="L19" s="171">
        <f t="shared" si="4"/>
        <v>62380</v>
      </c>
      <c r="N19" s="177">
        <v>100000</v>
      </c>
      <c r="O19" s="128">
        <f t="shared" si="5"/>
        <v>19000</v>
      </c>
      <c r="P19" s="183">
        <f t="shared" si="6"/>
        <v>119000</v>
      </c>
      <c r="Q19" s="189">
        <f t="shared" si="12"/>
        <v>50420</v>
      </c>
      <c r="R19" s="144">
        <f t="shared" si="7"/>
        <v>9580</v>
      </c>
      <c r="S19" s="190">
        <f t="shared" si="8"/>
        <v>60000</v>
      </c>
      <c r="T19" s="28">
        <f t="shared" si="9"/>
        <v>60000</v>
      </c>
      <c r="U19" s="28">
        <f t="shared" si="10"/>
        <v>0</v>
      </c>
    </row>
    <row r="20" spans="1:21" ht="16.5" customHeight="1" x14ac:dyDescent="0.2">
      <c r="A20" s="13">
        <f t="shared" si="11"/>
        <v>16</v>
      </c>
      <c r="B20" s="2" t="s">
        <v>24</v>
      </c>
      <c r="C20" s="14">
        <v>1</v>
      </c>
      <c r="D20" s="15" t="s">
        <v>25</v>
      </c>
      <c r="E20" s="140">
        <f t="shared" si="0"/>
        <v>168067</v>
      </c>
      <c r="F20" s="141">
        <f t="shared" si="1"/>
        <v>31933</v>
      </c>
      <c r="G20" s="202">
        <f t="shared" si="2"/>
        <v>200000</v>
      </c>
      <c r="H20" s="7">
        <v>200000</v>
      </c>
      <c r="J20" s="170">
        <v>280000</v>
      </c>
      <c r="K20" s="133">
        <f t="shared" si="3"/>
        <v>53200</v>
      </c>
      <c r="L20" s="171">
        <f t="shared" si="4"/>
        <v>333200</v>
      </c>
      <c r="N20" s="177">
        <v>210000</v>
      </c>
      <c r="O20" s="128">
        <f t="shared" si="5"/>
        <v>39900</v>
      </c>
      <c r="P20" s="183">
        <f t="shared" si="6"/>
        <v>249900</v>
      </c>
      <c r="Q20" s="189">
        <f t="shared" si="12"/>
        <v>168067</v>
      </c>
      <c r="R20" s="144">
        <f t="shared" si="7"/>
        <v>31933</v>
      </c>
      <c r="S20" s="190">
        <f t="shared" si="8"/>
        <v>200000</v>
      </c>
      <c r="T20" s="28">
        <f t="shared" si="9"/>
        <v>200000</v>
      </c>
      <c r="U20" s="28">
        <f t="shared" si="10"/>
        <v>0</v>
      </c>
    </row>
    <row r="21" spans="1:21" ht="27" customHeight="1" x14ac:dyDescent="0.2">
      <c r="A21" s="13">
        <f t="shared" si="11"/>
        <v>17</v>
      </c>
      <c r="B21" s="2" t="s">
        <v>26</v>
      </c>
      <c r="C21" s="14">
        <v>1</v>
      </c>
      <c r="D21" s="15" t="s">
        <v>25</v>
      </c>
      <c r="E21" s="140">
        <f t="shared" si="0"/>
        <v>241500</v>
      </c>
      <c r="F21" s="141">
        <f>+ROUND(E21*0.19,0)</f>
        <v>45885</v>
      </c>
      <c r="G21" s="202">
        <f t="shared" si="2"/>
        <v>287385</v>
      </c>
      <c r="H21" s="7">
        <v>287385</v>
      </c>
      <c r="J21" s="170">
        <v>310000</v>
      </c>
      <c r="K21" s="133">
        <f t="shared" si="3"/>
        <v>58900</v>
      </c>
      <c r="L21" s="171">
        <f t="shared" si="4"/>
        <v>368900</v>
      </c>
      <c r="N21" s="177">
        <v>300000</v>
      </c>
      <c r="O21" s="128">
        <f t="shared" si="5"/>
        <v>57000</v>
      </c>
      <c r="P21" s="183">
        <f t="shared" si="6"/>
        <v>357000</v>
      </c>
      <c r="Q21" s="189">
        <f t="shared" si="12"/>
        <v>241500</v>
      </c>
      <c r="R21" s="144">
        <f t="shared" si="7"/>
        <v>45885</v>
      </c>
      <c r="S21" s="190">
        <f t="shared" si="8"/>
        <v>287385</v>
      </c>
      <c r="T21" s="28">
        <f t="shared" si="9"/>
        <v>287385</v>
      </c>
      <c r="U21" s="28">
        <f t="shared" si="10"/>
        <v>0</v>
      </c>
    </row>
    <row r="22" spans="1:21" ht="25.5" customHeight="1" x14ac:dyDescent="0.2">
      <c r="A22" s="13">
        <f t="shared" si="11"/>
        <v>18</v>
      </c>
      <c r="B22" s="2" t="s">
        <v>27</v>
      </c>
      <c r="C22" s="14">
        <v>1</v>
      </c>
      <c r="D22" s="15" t="s">
        <v>9</v>
      </c>
      <c r="E22" s="140">
        <f t="shared" si="0"/>
        <v>109244</v>
      </c>
      <c r="F22" s="141">
        <f t="shared" si="1"/>
        <v>20756</v>
      </c>
      <c r="G22" s="202">
        <f t="shared" si="2"/>
        <v>130000</v>
      </c>
      <c r="H22" s="7">
        <v>130000</v>
      </c>
      <c r="J22" s="170">
        <f>+ROUND(111243.697478992,0)</f>
        <v>111244</v>
      </c>
      <c r="K22" s="133">
        <f t="shared" si="3"/>
        <v>21136</v>
      </c>
      <c r="L22" s="171">
        <f t="shared" si="4"/>
        <v>132380</v>
      </c>
      <c r="N22" s="177">
        <v>109244</v>
      </c>
      <c r="O22" s="128">
        <f t="shared" si="5"/>
        <v>20756</v>
      </c>
      <c r="P22" s="183">
        <f t="shared" si="6"/>
        <v>130000</v>
      </c>
      <c r="Q22" s="189">
        <f t="shared" si="12"/>
        <v>109244</v>
      </c>
      <c r="R22" s="144">
        <f t="shared" si="7"/>
        <v>20756</v>
      </c>
      <c r="S22" s="190">
        <f t="shared" si="8"/>
        <v>130000</v>
      </c>
      <c r="T22" s="28">
        <f t="shared" si="9"/>
        <v>130000</v>
      </c>
      <c r="U22" s="28">
        <f t="shared" si="10"/>
        <v>0</v>
      </c>
    </row>
    <row r="23" spans="1:21" ht="32.25" customHeight="1" x14ac:dyDescent="0.2">
      <c r="A23" s="13">
        <f t="shared" si="11"/>
        <v>19</v>
      </c>
      <c r="B23" s="2" t="s">
        <v>28</v>
      </c>
      <c r="C23" s="14">
        <v>1</v>
      </c>
      <c r="D23" s="15" t="s">
        <v>9</v>
      </c>
      <c r="E23" s="140">
        <f t="shared" si="0"/>
        <v>84034</v>
      </c>
      <c r="F23" s="141">
        <f t="shared" si="1"/>
        <v>15966</v>
      </c>
      <c r="G23" s="202">
        <f t="shared" si="2"/>
        <v>100000</v>
      </c>
      <c r="H23" s="7">
        <v>100000</v>
      </c>
      <c r="J23" s="170">
        <f>+ROUND(86033.6134453782,0)</f>
        <v>86034</v>
      </c>
      <c r="K23" s="133">
        <f t="shared" si="3"/>
        <v>16346</v>
      </c>
      <c r="L23" s="171">
        <f t="shared" si="4"/>
        <v>102380</v>
      </c>
      <c r="N23" s="177">
        <v>84034</v>
      </c>
      <c r="O23" s="128">
        <f t="shared" si="5"/>
        <v>15966</v>
      </c>
      <c r="P23" s="183">
        <f t="shared" si="6"/>
        <v>100000</v>
      </c>
      <c r="Q23" s="189">
        <f t="shared" si="12"/>
        <v>84034</v>
      </c>
      <c r="R23" s="144">
        <f t="shared" si="7"/>
        <v>15966</v>
      </c>
      <c r="S23" s="190">
        <f t="shared" si="8"/>
        <v>100000</v>
      </c>
      <c r="T23" s="28">
        <f t="shared" si="9"/>
        <v>100000</v>
      </c>
      <c r="U23" s="28">
        <f t="shared" si="10"/>
        <v>0</v>
      </c>
    </row>
    <row r="24" spans="1:21" s="34" customFormat="1" ht="24.75" customHeight="1" x14ac:dyDescent="0.2">
      <c r="A24" s="29">
        <f t="shared" si="11"/>
        <v>20</v>
      </c>
      <c r="B24" s="3" t="s">
        <v>29</v>
      </c>
      <c r="C24" s="30">
        <v>1</v>
      </c>
      <c r="D24" s="31" t="s">
        <v>30</v>
      </c>
      <c r="E24" s="140">
        <f>+ROUND((H24/1.19),0)</f>
        <v>420168</v>
      </c>
      <c r="F24" s="141">
        <f t="shared" si="1"/>
        <v>79832</v>
      </c>
      <c r="G24" s="142">
        <f t="shared" si="2"/>
        <v>500000</v>
      </c>
      <c r="H24" s="33">
        <v>500000</v>
      </c>
      <c r="J24" s="170">
        <v>310000</v>
      </c>
      <c r="K24" s="133">
        <f t="shared" si="3"/>
        <v>58900</v>
      </c>
      <c r="L24" s="171">
        <f t="shared" si="4"/>
        <v>368900</v>
      </c>
      <c r="N24" s="177">
        <v>308000</v>
      </c>
      <c r="O24" s="128">
        <f t="shared" si="5"/>
        <v>58520</v>
      </c>
      <c r="P24" s="204">
        <f t="shared" si="6"/>
        <v>366520</v>
      </c>
      <c r="Q24" s="189">
        <f>+N24</f>
        <v>308000</v>
      </c>
      <c r="R24" s="144">
        <f t="shared" si="7"/>
        <v>58520</v>
      </c>
      <c r="S24" s="190">
        <f t="shared" si="8"/>
        <v>366520</v>
      </c>
      <c r="T24" s="28">
        <f t="shared" si="9"/>
        <v>366520</v>
      </c>
      <c r="U24" s="28">
        <f t="shared" si="10"/>
        <v>0</v>
      </c>
    </row>
    <row r="25" spans="1:21" ht="26.25" customHeight="1" x14ac:dyDescent="0.2">
      <c r="A25" s="13">
        <f t="shared" si="11"/>
        <v>21</v>
      </c>
      <c r="B25" s="2" t="s">
        <v>31</v>
      </c>
      <c r="C25" s="14">
        <v>1</v>
      </c>
      <c r="D25" s="15" t="s">
        <v>9</v>
      </c>
      <c r="E25" s="140">
        <f t="shared" si="0"/>
        <v>483193</v>
      </c>
      <c r="F25" s="141">
        <f t="shared" si="1"/>
        <v>91807</v>
      </c>
      <c r="G25" s="202">
        <f t="shared" si="2"/>
        <v>575000</v>
      </c>
      <c r="H25" s="7">
        <v>575000</v>
      </c>
      <c r="J25" s="170">
        <f>+ROUND(485193.277310924,0)</f>
        <v>485193</v>
      </c>
      <c r="K25" s="133">
        <f t="shared" si="3"/>
        <v>92187</v>
      </c>
      <c r="L25" s="171">
        <f t="shared" si="4"/>
        <v>577380</v>
      </c>
      <c r="N25" s="177">
        <v>720000</v>
      </c>
      <c r="O25" s="128">
        <f t="shared" si="5"/>
        <v>136800</v>
      </c>
      <c r="P25" s="183">
        <f t="shared" si="6"/>
        <v>856800</v>
      </c>
      <c r="Q25" s="189">
        <f>+E25</f>
        <v>483193</v>
      </c>
      <c r="R25" s="144">
        <f t="shared" si="7"/>
        <v>91807</v>
      </c>
      <c r="S25" s="190">
        <f t="shared" si="8"/>
        <v>575000</v>
      </c>
      <c r="T25" s="28">
        <f t="shared" si="9"/>
        <v>575000</v>
      </c>
      <c r="U25" s="28">
        <f t="shared" si="10"/>
        <v>0</v>
      </c>
    </row>
    <row r="26" spans="1:21" ht="26.25" customHeight="1" x14ac:dyDescent="0.2">
      <c r="A26" s="13">
        <f t="shared" si="11"/>
        <v>22</v>
      </c>
      <c r="B26" s="2" t="s">
        <v>32</v>
      </c>
      <c r="C26" s="14">
        <v>1</v>
      </c>
      <c r="D26" s="15" t="s">
        <v>9</v>
      </c>
      <c r="E26" s="140">
        <f>+ROUND((H26/1.19),0)</f>
        <v>603750</v>
      </c>
      <c r="F26" s="141">
        <f t="shared" si="1"/>
        <v>114713</v>
      </c>
      <c r="G26" s="202">
        <f t="shared" si="2"/>
        <v>718463</v>
      </c>
      <c r="H26" s="7">
        <v>718463</v>
      </c>
      <c r="J26" s="170">
        <f>+ROUND(605750.420168067,0)</f>
        <v>605750</v>
      </c>
      <c r="K26" s="133">
        <f t="shared" si="3"/>
        <v>115093</v>
      </c>
      <c r="L26" s="171">
        <f t="shared" si="4"/>
        <v>720843</v>
      </c>
      <c r="N26" s="177">
        <v>603750</v>
      </c>
      <c r="O26" s="128">
        <f t="shared" si="5"/>
        <v>114713</v>
      </c>
      <c r="P26" s="183">
        <f t="shared" si="6"/>
        <v>718463</v>
      </c>
      <c r="Q26" s="189">
        <f>+E26</f>
        <v>603750</v>
      </c>
      <c r="R26" s="144">
        <f t="shared" si="7"/>
        <v>114713</v>
      </c>
      <c r="S26" s="190">
        <f t="shared" si="8"/>
        <v>718463</v>
      </c>
      <c r="T26" s="28">
        <f t="shared" si="9"/>
        <v>718463</v>
      </c>
      <c r="U26" s="28">
        <f t="shared" si="10"/>
        <v>0</v>
      </c>
    </row>
    <row r="27" spans="1:21" ht="25.5" customHeight="1" x14ac:dyDescent="0.2">
      <c r="A27" s="13">
        <f t="shared" si="11"/>
        <v>23</v>
      </c>
      <c r="B27" s="2" t="s">
        <v>33</v>
      </c>
      <c r="C27" s="14">
        <v>1</v>
      </c>
      <c r="D27" s="15" t="s">
        <v>30</v>
      </c>
      <c r="E27" s="140">
        <f t="shared" si="0"/>
        <v>125950</v>
      </c>
      <c r="F27" s="141">
        <f t="shared" si="1"/>
        <v>23931</v>
      </c>
      <c r="G27" s="202">
        <f t="shared" si="2"/>
        <v>149881</v>
      </c>
      <c r="H27" s="7">
        <v>149881</v>
      </c>
      <c r="J27" s="172">
        <v>175000</v>
      </c>
      <c r="K27" s="133">
        <f t="shared" si="3"/>
        <v>33250</v>
      </c>
      <c r="L27" s="171">
        <f t="shared" si="4"/>
        <v>208250</v>
      </c>
      <c r="N27" s="178">
        <v>170000</v>
      </c>
      <c r="O27" s="128">
        <f t="shared" si="5"/>
        <v>32300</v>
      </c>
      <c r="P27" s="183">
        <f t="shared" si="6"/>
        <v>202300</v>
      </c>
      <c r="Q27" s="189">
        <f>+E27</f>
        <v>125950</v>
      </c>
      <c r="R27" s="144">
        <f t="shared" si="7"/>
        <v>23931</v>
      </c>
      <c r="S27" s="190">
        <f t="shared" si="8"/>
        <v>149881</v>
      </c>
      <c r="T27" s="28">
        <f t="shared" si="9"/>
        <v>149881</v>
      </c>
      <c r="U27" s="28">
        <f t="shared" si="10"/>
        <v>0</v>
      </c>
    </row>
    <row r="28" spans="1:21" ht="36.75" customHeight="1" x14ac:dyDescent="0.2">
      <c r="A28" s="13">
        <f t="shared" si="11"/>
        <v>24</v>
      </c>
      <c r="B28" s="2" t="s">
        <v>34</v>
      </c>
      <c r="C28" s="14">
        <v>1</v>
      </c>
      <c r="D28" s="15" t="s">
        <v>30</v>
      </c>
      <c r="E28" s="140">
        <f t="shared" si="0"/>
        <v>204160</v>
      </c>
      <c r="F28" s="141">
        <f t="shared" si="1"/>
        <v>38790</v>
      </c>
      <c r="G28" s="202">
        <f t="shared" si="2"/>
        <v>242950</v>
      </c>
      <c r="H28" s="7">
        <v>242950</v>
      </c>
      <c r="J28" s="172">
        <v>211000</v>
      </c>
      <c r="K28" s="133">
        <f t="shared" si="3"/>
        <v>40090</v>
      </c>
      <c r="L28" s="171">
        <f t="shared" si="4"/>
        <v>251090</v>
      </c>
      <c r="N28" s="178">
        <v>210000</v>
      </c>
      <c r="O28" s="128">
        <f t="shared" si="5"/>
        <v>39900</v>
      </c>
      <c r="P28" s="183">
        <f t="shared" si="6"/>
        <v>249900</v>
      </c>
      <c r="Q28" s="189">
        <f>+E28</f>
        <v>204160</v>
      </c>
      <c r="R28" s="144">
        <f t="shared" si="7"/>
        <v>38790</v>
      </c>
      <c r="S28" s="190">
        <f t="shared" si="8"/>
        <v>242950</v>
      </c>
      <c r="T28" s="28">
        <f t="shared" si="9"/>
        <v>242950</v>
      </c>
      <c r="U28" s="28">
        <f t="shared" si="10"/>
        <v>0</v>
      </c>
    </row>
    <row r="29" spans="1:21" x14ac:dyDescent="0.2">
      <c r="A29" s="13">
        <v>2</v>
      </c>
      <c r="B29" s="195" t="s">
        <v>35</v>
      </c>
      <c r="C29" s="196"/>
      <c r="D29" s="196"/>
      <c r="E29" s="196"/>
      <c r="F29" s="196"/>
      <c r="G29" s="197"/>
      <c r="H29" s="193"/>
      <c r="I29" s="194"/>
      <c r="J29" s="257" t="str">
        <f>+B29</f>
        <v>AGREGADOS</v>
      </c>
      <c r="K29" s="258"/>
      <c r="L29" s="259"/>
      <c r="M29" s="194"/>
      <c r="N29" s="257" t="str">
        <f>+J29</f>
        <v>AGREGADOS</v>
      </c>
      <c r="O29" s="258"/>
      <c r="P29" s="260"/>
      <c r="Q29" s="287" t="str">
        <f>+N29</f>
        <v>AGREGADOS</v>
      </c>
      <c r="R29" s="288"/>
      <c r="S29" s="289"/>
      <c r="T29" s="28">
        <f t="shared" si="9"/>
        <v>0</v>
      </c>
      <c r="U29" s="28">
        <f t="shared" si="10"/>
        <v>0</v>
      </c>
    </row>
    <row r="30" spans="1:21" ht="40.5" customHeight="1" x14ac:dyDescent="0.2">
      <c r="A30" s="13">
        <v>2.1</v>
      </c>
      <c r="B30" s="2" t="s">
        <v>36</v>
      </c>
      <c r="C30" s="14">
        <v>1</v>
      </c>
      <c r="D30" s="15" t="s">
        <v>9</v>
      </c>
      <c r="E30" s="140">
        <f t="shared" si="0"/>
        <v>45465</v>
      </c>
      <c r="F30" s="141">
        <f>+ROUND(E30*0.19,0)</f>
        <v>8638</v>
      </c>
      <c r="G30" s="202">
        <f t="shared" si="2"/>
        <v>54103</v>
      </c>
      <c r="H30" s="7">
        <v>54103</v>
      </c>
      <c r="J30" s="170">
        <f>+ROUND(47464.7058823529,0)</f>
        <v>47465</v>
      </c>
      <c r="K30" s="134">
        <f>+ROUND(J30*0.19,0)</f>
        <v>9018</v>
      </c>
      <c r="L30" s="171">
        <f t="shared" si="4"/>
        <v>56483</v>
      </c>
      <c r="N30" s="179">
        <v>60000</v>
      </c>
      <c r="O30" s="129">
        <f t="shared" ref="O30:O37" si="13">+N30*0.19</f>
        <v>11400</v>
      </c>
      <c r="P30" s="183">
        <f t="shared" ref="P30:P40" si="14">+O30+N30</f>
        <v>71400</v>
      </c>
      <c r="Q30" s="189">
        <f t="shared" ref="Q30:Q40" si="15">+E30</f>
        <v>45465</v>
      </c>
      <c r="R30" s="144">
        <f t="shared" si="7"/>
        <v>8638</v>
      </c>
      <c r="S30" s="190">
        <f t="shared" si="8"/>
        <v>54103</v>
      </c>
      <c r="T30" s="28">
        <f t="shared" si="9"/>
        <v>54103</v>
      </c>
      <c r="U30" s="28">
        <f t="shared" si="10"/>
        <v>0</v>
      </c>
    </row>
    <row r="31" spans="1:21" ht="34.5" customHeight="1" x14ac:dyDescent="0.2">
      <c r="A31" s="13">
        <v>2.2000000000000002</v>
      </c>
      <c r="B31" s="2" t="s">
        <v>37</v>
      </c>
      <c r="C31" s="14">
        <v>1</v>
      </c>
      <c r="D31" s="15" t="s">
        <v>9</v>
      </c>
      <c r="E31" s="140">
        <f t="shared" si="0"/>
        <v>45465</v>
      </c>
      <c r="F31" s="141">
        <f t="shared" ref="F31:F33" si="16">+ROUND(E31*0.19,0)</f>
        <v>8638</v>
      </c>
      <c r="G31" s="202">
        <f t="shared" si="2"/>
        <v>54103</v>
      </c>
      <c r="H31" s="7">
        <v>54103</v>
      </c>
      <c r="J31" s="170">
        <f>+ROUND(47464.7058823529,0)</f>
        <v>47465</v>
      </c>
      <c r="K31" s="134">
        <f t="shared" ref="K31:K39" si="17">+ROUND(J31*0.19,0)</f>
        <v>9018</v>
      </c>
      <c r="L31" s="171">
        <f t="shared" si="4"/>
        <v>56483</v>
      </c>
      <c r="N31" s="179">
        <v>55000</v>
      </c>
      <c r="O31" s="129">
        <f t="shared" si="13"/>
        <v>10450</v>
      </c>
      <c r="P31" s="183">
        <f t="shared" si="14"/>
        <v>65450</v>
      </c>
      <c r="Q31" s="189">
        <f t="shared" si="15"/>
        <v>45465</v>
      </c>
      <c r="R31" s="144">
        <f t="shared" si="7"/>
        <v>8638</v>
      </c>
      <c r="S31" s="190">
        <f t="shared" si="8"/>
        <v>54103</v>
      </c>
      <c r="T31" s="28">
        <f t="shared" si="9"/>
        <v>54103</v>
      </c>
      <c r="U31" s="28">
        <f t="shared" si="10"/>
        <v>0</v>
      </c>
    </row>
    <row r="32" spans="1:21" ht="33" customHeight="1" x14ac:dyDescent="0.2">
      <c r="A32" s="13">
        <v>2.2999999999999998</v>
      </c>
      <c r="B32" s="2" t="s">
        <v>38</v>
      </c>
      <c r="C32" s="14">
        <v>1</v>
      </c>
      <c r="D32" s="15" t="s">
        <v>9</v>
      </c>
      <c r="E32" s="140">
        <f t="shared" si="0"/>
        <v>34388</v>
      </c>
      <c r="F32" s="141">
        <f t="shared" si="16"/>
        <v>6534</v>
      </c>
      <c r="G32" s="202">
        <f t="shared" si="2"/>
        <v>40922</v>
      </c>
      <c r="H32" s="7">
        <v>40922</v>
      </c>
      <c r="J32" s="170">
        <f>+ROUND(36388.2352941177,0)</f>
        <v>36388</v>
      </c>
      <c r="K32" s="134">
        <f t="shared" si="17"/>
        <v>6914</v>
      </c>
      <c r="L32" s="171">
        <f t="shared" si="4"/>
        <v>43302</v>
      </c>
      <c r="N32" s="179">
        <v>35000</v>
      </c>
      <c r="O32" s="129">
        <f t="shared" si="13"/>
        <v>6650</v>
      </c>
      <c r="P32" s="183">
        <f t="shared" si="14"/>
        <v>41650</v>
      </c>
      <c r="Q32" s="189">
        <f t="shared" si="15"/>
        <v>34388</v>
      </c>
      <c r="R32" s="144">
        <f t="shared" si="7"/>
        <v>6534</v>
      </c>
      <c r="S32" s="190">
        <f t="shared" si="8"/>
        <v>40922</v>
      </c>
      <c r="T32" s="28">
        <f t="shared" si="9"/>
        <v>40922</v>
      </c>
      <c r="U32" s="28">
        <f t="shared" si="10"/>
        <v>0</v>
      </c>
    </row>
    <row r="33" spans="1:21" ht="29.25" customHeight="1" x14ac:dyDescent="0.2">
      <c r="A33" s="13">
        <v>2.4</v>
      </c>
      <c r="B33" s="2" t="s">
        <v>39</v>
      </c>
      <c r="C33" s="14">
        <v>1</v>
      </c>
      <c r="D33" s="15" t="s">
        <v>9</v>
      </c>
      <c r="E33" s="140">
        <f t="shared" si="0"/>
        <v>39218</v>
      </c>
      <c r="F33" s="141">
        <f t="shared" si="16"/>
        <v>7451</v>
      </c>
      <c r="G33" s="202">
        <f t="shared" si="2"/>
        <v>46669</v>
      </c>
      <c r="H33" s="7">
        <v>46669</v>
      </c>
      <c r="J33" s="170">
        <f>+ROUND(41217.6470588235,0)</f>
        <v>41218</v>
      </c>
      <c r="K33" s="134">
        <f t="shared" si="17"/>
        <v>7831</v>
      </c>
      <c r="L33" s="171">
        <f t="shared" si="4"/>
        <v>49049</v>
      </c>
      <c r="N33" s="179">
        <v>45000</v>
      </c>
      <c r="O33" s="129">
        <f t="shared" si="13"/>
        <v>8550</v>
      </c>
      <c r="P33" s="183">
        <f t="shared" si="14"/>
        <v>53550</v>
      </c>
      <c r="Q33" s="189">
        <f t="shared" si="15"/>
        <v>39218</v>
      </c>
      <c r="R33" s="144">
        <f t="shared" si="7"/>
        <v>7451</v>
      </c>
      <c r="S33" s="190">
        <f t="shared" si="8"/>
        <v>46669</v>
      </c>
      <c r="T33" s="28">
        <f t="shared" si="9"/>
        <v>46669</v>
      </c>
      <c r="U33" s="28">
        <f t="shared" si="10"/>
        <v>0</v>
      </c>
    </row>
    <row r="34" spans="1:21" ht="25.5" customHeight="1" x14ac:dyDescent="0.2">
      <c r="A34" s="13">
        <v>2.5</v>
      </c>
      <c r="B34" s="2" t="s">
        <v>40</v>
      </c>
      <c r="C34" s="14">
        <v>1</v>
      </c>
      <c r="D34" s="15" t="s">
        <v>9</v>
      </c>
      <c r="E34" s="140">
        <f t="shared" si="0"/>
        <v>33613</v>
      </c>
      <c r="F34" s="141">
        <f>+ROUND(E34*0.19,0)</f>
        <v>6386</v>
      </c>
      <c r="G34" s="202">
        <f t="shared" si="2"/>
        <v>39999</v>
      </c>
      <c r="H34" s="7">
        <v>40000</v>
      </c>
      <c r="J34" s="170">
        <f>+ROUND(35613.4453781513,0)</f>
        <v>35613</v>
      </c>
      <c r="K34" s="134">
        <f t="shared" si="17"/>
        <v>6766</v>
      </c>
      <c r="L34" s="171">
        <f t="shared" si="4"/>
        <v>42379</v>
      </c>
      <c r="N34" s="179">
        <v>45000</v>
      </c>
      <c r="O34" s="129">
        <f t="shared" si="13"/>
        <v>8550</v>
      </c>
      <c r="P34" s="183">
        <f t="shared" si="14"/>
        <v>53550</v>
      </c>
      <c r="Q34" s="189">
        <f t="shared" si="15"/>
        <v>33613</v>
      </c>
      <c r="R34" s="144">
        <f t="shared" si="7"/>
        <v>6386</v>
      </c>
      <c r="S34" s="190">
        <f t="shared" si="8"/>
        <v>39999</v>
      </c>
      <c r="T34" s="28">
        <f t="shared" si="9"/>
        <v>39999</v>
      </c>
      <c r="U34" s="28">
        <f t="shared" si="10"/>
        <v>0</v>
      </c>
    </row>
    <row r="35" spans="1:21" ht="27" customHeight="1" x14ac:dyDescent="0.2">
      <c r="A35" s="13">
        <v>2.6</v>
      </c>
      <c r="B35" s="2" t="s">
        <v>41</v>
      </c>
      <c r="C35" s="14">
        <v>1</v>
      </c>
      <c r="D35" s="15" t="s">
        <v>9</v>
      </c>
      <c r="E35" s="140">
        <f t="shared" si="0"/>
        <v>33613</v>
      </c>
      <c r="F35" s="141">
        <f t="shared" ref="F35:F74" si="18">+ROUND(E35*0.19,0)</f>
        <v>6386</v>
      </c>
      <c r="G35" s="202">
        <f t="shared" si="2"/>
        <v>39999</v>
      </c>
      <c r="H35" s="7">
        <v>40000</v>
      </c>
      <c r="J35" s="170">
        <f>+ROUND(35613.4453781513,0)</f>
        <v>35613</v>
      </c>
      <c r="K35" s="134">
        <f t="shared" si="17"/>
        <v>6766</v>
      </c>
      <c r="L35" s="171">
        <f t="shared" si="4"/>
        <v>42379</v>
      </c>
      <c r="N35" s="179">
        <v>45000</v>
      </c>
      <c r="O35" s="129">
        <f t="shared" si="13"/>
        <v>8550</v>
      </c>
      <c r="P35" s="183">
        <f t="shared" si="14"/>
        <v>53550</v>
      </c>
      <c r="Q35" s="189">
        <f t="shared" si="15"/>
        <v>33613</v>
      </c>
      <c r="R35" s="144">
        <f t="shared" si="7"/>
        <v>6386</v>
      </c>
      <c r="S35" s="190">
        <f t="shared" si="8"/>
        <v>39999</v>
      </c>
      <c r="T35" s="28">
        <f t="shared" si="9"/>
        <v>39999</v>
      </c>
      <c r="U35" s="28">
        <f t="shared" si="10"/>
        <v>0</v>
      </c>
    </row>
    <row r="36" spans="1:21" ht="26.25" customHeight="1" x14ac:dyDescent="0.2">
      <c r="A36" s="13">
        <v>2.7</v>
      </c>
      <c r="B36" s="2" t="s">
        <v>42</v>
      </c>
      <c r="C36" s="14">
        <v>1</v>
      </c>
      <c r="D36" s="15" t="s">
        <v>9</v>
      </c>
      <c r="E36" s="140">
        <f t="shared" si="0"/>
        <v>35595</v>
      </c>
      <c r="F36" s="141">
        <f t="shared" si="18"/>
        <v>6763</v>
      </c>
      <c r="G36" s="202">
        <f t="shared" si="2"/>
        <v>42358</v>
      </c>
      <c r="H36" s="7">
        <v>42358</v>
      </c>
      <c r="J36" s="170">
        <f>+ROUND(37594.9579831933,0)</f>
        <v>37595</v>
      </c>
      <c r="K36" s="134">
        <f t="shared" si="17"/>
        <v>7143</v>
      </c>
      <c r="L36" s="171">
        <f t="shared" si="4"/>
        <v>44738</v>
      </c>
      <c r="N36" s="179">
        <v>40000</v>
      </c>
      <c r="O36" s="129">
        <f t="shared" si="13"/>
        <v>7600</v>
      </c>
      <c r="P36" s="183">
        <f t="shared" si="14"/>
        <v>47600</v>
      </c>
      <c r="Q36" s="189">
        <f t="shared" si="15"/>
        <v>35595</v>
      </c>
      <c r="R36" s="144">
        <f t="shared" si="7"/>
        <v>6763</v>
      </c>
      <c r="S36" s="190">
        <f t="shared" si="8"/>
        <v>42358</v>
      </c>
      <c r="T36" s="28">
        <f t="shared" si="9"/>
        <v>42358</v>
      </c>
      <c r="U36" s="28">
        <f t="shared" si="10"/>
        <v>0</v>
      </c>
    </row>
    <row r="37" spans="1:21" ht="31.5" customHeight="1" x14ac:dyDescent="0.2">
      <c r="A37" s="13">
        <v>2.8</v>
      </c>
      <c r="B37" s="2" t="s">
        <v>43</v>
      </c>
      <c r="C37" s="14">
        <v>1</v>
      </c>
      <c r="D37" s="15" t="s">
        <v>9</v>
      </c>
      <c r="E37" s="140">
        <f t="shared" si="0"/>
        <v>35595</v>
      </c>
      <c r="F37" s="141">
        <f t="shared" si="18"/>
        <v>6763</v>
      </c>
      <c r="G37" s="202">
        <f t="shared" si="2"/>
        <v>42358</v>
      </c>
      <c r="H37" s="7">
        <v>42358</v>
      </c>
      <c r="J37" s="170">
        <f>+ROUND(37594.9579831933,0)</f>
        <v>37595</v>
      </c>
      <c r="K37" s="134">
        <f t="shared" si="17"/>
        <v>7143</v>
      </c>
      <c r="L37" s="171">
        <f t="shared" si="4"/>
        <v>44738</v>
      </c>
      <c r="N37" s="179">
        <v>40000</v>
      </c>
      <c r="O37" s="129">
        <f t="shared" si="13"/>
        <v>7600</v>
      </c>
      <c r="P37" s="183">
        <f t="shared" si="14"/>
        <v>47600</v>
      </c>
      <c r="Q37" s="189">
        <f t="shared" si="15"/>
        <v>35595</v>
      </c>
      <c r="R37" s="144">
        <f t="shared" si="7"/>
        <v>6763</v>
      </c>
      <c r="S37" s="190">
        <f t="shared" si="8"/>
        <v>42358</v>
      </c>
      <c r="T37" s="28">
        <f t="shared" si="9"/>
        <v>42358</v>
      </c>
      <c r="U37" s="28">
        <f t="shared" si="10"/>
        <v>0</v>
      </c>
    </row>
    <row r="38" spans="1:21" ht="39.75" customHeight="1" x14ac:dyDescent="0.2">
      <c r="A38" s="13">
        <v>2.9</v>
      </c>
      <c r="B38" s="2" t="s">
        <v>44</v>
      </c>
      <c r="C38" s="14">
        <v>1</v>
      </c>
      <c r="D38" s="15" t="s">
        <v>9</v>
      </c>
      <c r="E38" s="140">
        <f t="shared" si="0"/>
        <v>84034</v>
      </c>
      <c r="F38" s="141">
        <f t="shared" si="18"/>
        <v>15966</v>
      </c>
      <c r="G38" s="202">
        <f t="shared" si="2"/>
        <v>100000</v>
      </c>
      <c r="H38" s="7">
        <v>100000</v>
      </c>
      <c r="J38" s="170">
        <f>+ROUND(86033.6134453782,0)</f>
        <v>86034</v>
      </c>
      <c r="K38" s="134">
        <f t="shared" si="17"/>
        <v>16346</v>
      </c>
      <c r="L38" s="171">
        <f t="shared" si="4"/>
        <v>102380</v>
      </c>
      <c r="N38" s="179">
        <v>100000</v>
      </c>
      <c r="O38" s="129">
        <f>+ROUND(N38*0.19,0)</f>
        <v>19000</v>
      </c>
      <c r="P38" s="183">
        <f t="shared" si="14"/>
        <v>119000</v>
      </c>
      <c r="Q38" s="189">
        <f t="shared" si="15"/>
        <v>84034</v>
      </c>
      <c r="R38" s="144">
        <f t="shared" si="7"/>
        <v>15966</v>
      </c>
      <c r="S38" s="190">
        <f t="shared" si="8"/>
        <v>100000</v>
      </c>
      <c r="T38" s="28">
        <f t="shared" si="9"/>
        <v>100000</v>
      </c>
      <c r="U38" s="28">
        <f t="shared" si="10"/>
        <v>0</v>
      </c>
    </row>
    <row r="39" spans="1:21" ht="38.25" customHeight="1" x14ac:dyDescent="0.2">
      <c r="A39" s="13">
        <v>2.1</v>
      </c>
      <c r="B39" s="2" t="s">
        <v>45</v>
      </c>
      <c r="C39" s="14">
        <v>1</v>
      </c>
      <c r="D39" s="15" t="s">
        <v>9</v>
      </c>
      <c r="E39" s="140">
        <f t="shared" si="0"/>
        <v>226891</v>
      </c>
      <c r="F39" s="141">
        <f t="shared" si="18"/>
        <v>43109</v>
      </c>
      <c r="G39" s="202">
        <f t="shared" si="2"/>
        <v>270000</v>
      </c>
      <c r="H39" s="7">
        <v>270000</v>
      </c>
      <c r="J39" s="170">
        <f>+ROUND(228890.756302521,0)</f>
        <v>228891</v>
      </c>
      <c r="K39" s="134">
        <f t="shared" si="17"/>
        <v>43489</v>
      </c>
      <c r="L39" s="171">
        <f t="shared" si="4"/>
        <v>272380</v>
      </c>
      <c r="N39" s="179">
        <v>226891</v>
      </c>
      <c r="O39" s="129">
        <f t="shared" ref="O39:O40" si="19">+ROUND(N39*0.19,0)</f>
        <v>43109</v>
      </c>
      <c r="P39" s="183">
        <f t="shared" si="14"/>
        <v>270000</v>
      </c>
      <c r="Q39" s="189">
        <f t="shared" si="15"/>
        <v>226891</v>
      </c>
      <c r="R39" s="144">
        <f t="shared" si="7"/>
        <v>43109</v>
      </c>
      <c r="S39" s="190">
        <f t="shared" si="8"/>
        <v>270000</v>
      </c>
      <c r="T39" s="28">
        <f t="shared" si="9"/>
        <v>270000</v>
      </c>
      <c r="U39" s="28">
        <f t="shared" si="10"/>
        <v>0</v>
      </c>
    </row>
    <row r="40" spans="1:21" ht="47.25" customHeight="1" x14ac:dyDescent="0.2">
      <c r="A40" s="13">
        <v>2.11</v>
      </c>
      <c r="B40" s="2" t="s">
        <v>46</v>
      </c>
      <c r="C40" s="14">
        <v>1</v>
      </c>
      <c r="D40" s="15" t="s">
        <v>9</v>
      </c>
      <c r="E40" s="140">
        <f t="shared" si="0"/>
        <v>41843</v>
      </c>
      <c r="F40" s="141">
        <f t="shared" si="18"/>
        <v>7950</v>
      </c>
      <c r="G40" s="202">
        <f t="shared" si="2"/>
        <v>49793</v>
      </c>
      <c r="H40" s="7">
        <v>49793</v>
      </c>
      <c r="J40" s="170">
        <f>+ROUND(43842.8571428571,0)</f>
        <v>43843</v>
      </c>
      <c r="K40" s="134">
        <f>+ROUND(J40*0.19,0)</f>
        <v>8330</v>
      </c>
      <c r="L40" s="171">
        <f t="shared" si="4"/>
        <v>52173</v>
      </c>
      <c r="N40" s="179">
        <v>70000</v>
      </c>
      <c r="O40" s="129">
        <f t="shared" si="19"/>
        <v>13300</v>
      </c>
      <c r="P40" s="183">
        <f t="shared" si="14"/>
        <v>83300</v>
      </c>
      <c r="Q40" s="189">
        <f t="shared" si="15"/>
        <v>41843</v>
      </c>
      <c r="R40" s="144">
        <f t="shared" si="7"/>
        <v>7950</v>
      </c>
      <c r="S40" s="190">
        <f t="shared" si="8"/>
        <v>49793</v>
      </c>
      <c r="T40" s="28">
        <f t="shared" si="9"/>
        <v>49793</v>
      </c>
      <c r="U40" s="28">
        <f t="shared" si="10"/>
        <v>0</v>
      </c>
    </row>
    <row r="41" spans="1:21" x14ac:dyDescent="0.2">
      <c r="A41" s="198">
        <v>3</v>
      </c>
      <c r="B41" s="195" t="s">
        <v>47</v>
      </c>
      <c r="C41" s="196"/>
      <c r="D41" s="196"/>
      <c r="E41" s="196"/>
      <c r="F41" s="196"/>
      <c r="G41" s="197"/>
      <c r="H41" s="193"/>
      <c r="I41" s="194"/>
      <c r="J41" s="257" t="str">
        <f>+B41</f>
        <v>CONCRETOS</v>
      </c>
      <c r="K41" s="258"/>
      <c r="L41" s="259"/>
      <c r="M41" s="194"/>
      <c r="N41" s="257" t="str">
        <f>+J41</f>
        <v>CONCRETOS</v>
      </c>
      <c r="O41" s="258"/>
      <c r="P41" s="260"/>
      <c r="Q41" s="287" t="str">
        <f>+N41</f>
        <v>CONCRETOS</v>
      </c>
      <c r="R41" s="288"/>
      <c r="S41" s="289"/>
      <c r="T41" s="28">
        <f t="shared" si="9"/>
        <v>0</v>
      </c>
      <c r="U41" s="28">
        <f t="shared" si="10"/>
        <v>0</v>
      </c>
    </row>
    <row r="42" spans="1:21" ht="36" customHeight="1" x14ac:dyDescent="0.2">
      <c r="A42" s="13">
        <v>3.1</v>
      </c>
      <c r="B42" s="2" t="s">
        <v>48</v>
      </c>
      <c r="C42" s="14">
        <v>1</v>
      </c>
      <c r="D42" s="15" t="s">
        <v>9</v>
      </c>
      <c r="E42" s="140">
        <f t="shared" si="0"/>
        <v>414671</v>
      </c>
      <c r="F42" s="141">
        <f t="shared" si="18"/>
        <v>78787</v>
      </c>
      <c r="G42" s="202">
        <f t="shared" si="2"/>
        <v>493458</v>
      </c>
      <c r="H42" s="7">
        <v>493458</v>
      </c>
      <c r="J42" s="170">
        <f>+ROUND(416670.588235294,0)</f>
        <v>416671</v>
      </c>
      <c r="K42" s="134">
        <f>+ROUND(J42*0.19,0)</f>
        <v>79167</v>
      </c>
      <c r="L42" s="171">
        <f t="shared" si="4"/>
        <v>495838</v>
      </c>
      <c r="N42" s="177">
        <v>650000</v>
      </c>
      <c r="O42" s="129">
        <f t="shared" ref="O42" si="20">+N42*0.19</f>
        <v>123500</v>
      </c>
      <c r="P42" s="183">
        <f t="shared" ref="P42:P55" si="21">+O42+N42</f>
        <v>773500</v>
      </c>
      <c r="Q42" s="189">
        <f t="shared" ref="Q42:Q55" si="22">+E42</f>
        <v>414671</v>
      </c>
      <c r="R42" s="144">
        <f t="shared" si="7"/>
        <v>78787</v>
      </c>
      <c r="S42" s="190">
        <f t="shared" si="8"/>
        <v>493458</v>
      </c>
      <c r="T42" s="28">
        <f t="shared" si="9"/>
        <v>493458</v>
      </c>
      <c r="U42" s="28">
        <f t="shared" si="10"/>
        <v>0</v>
      </c>
    </row>
    <row r="43" spans="1:21" ht="30.75" customHeight="1" x14ac:dyDescent="0.2">
      <c r="A43" s="13">
        <v>3.2</v>
      </c>
      <c r="B43" s="2" t="s">
        <v>49</v>
      </c>
      <c r="C43" s="14">
        <v>1</v>
      </c>
      <c r="D43" s="15" t="s">
        <v>9</v>
      </c>
      <c r="E43" s="140">
        <f t="shared" si="0"/>
        <v>194211</v>
      </c>
      <c r="F43" s="141">
        <f t="shared" si="18"/>
        <v>36900</v>
      </c>
      <c r="G43" s="202">
        <f t="shared" si="2"/>
        <v>231111</v>
      </c>
      <c r="H43" s="7">
        <v>231111</v>
      </c>
      <c r="J43" s="170">
        <f>+ROUND(196210.924369748,0)</f>
        <v>196211</v>
      </c>
      <c r="K43" s="134">
        <f t="shared" ref="K43:K55" si="23">+ROUND(J43*0.19,0)</f>
        <v>37280</v>
      </c>
      <c r="L43" s="171">
        <f t="shared" si="4"/>
        <v>233491</v>
      </c>
      <c r="N43" s="177">
        <v>194211</v>
      </c>
      <c r="O43" s="129">
        <f>+ROUND(N43*0.19,0)</f>
        <v>36900</v>
      </c>
      <c r="P43" s="183">
        <f t="shared" si="21"/>
        <v>231111</v>
      </c>
      <c r="Q43" s="189">
        <f t="shared" si="22"/>
        <v>194211</v>
      </c>
      <c r="R43" s="144">
        <f t="shared" si="7"/>
        <v>36900</v>
      </c>
      <c r="S43" s="190">
        <f t="shared" si="8"/>
        <v>231111</v>
      </c>
      <c r="T43" s="28">
        <f t="shared" si="9"/>
        <v>231111</v>
      </c>
      <c r="U43" s="28">
        <f t="shared" si="10"/>
        <v>0</v>
      </c>
    </row>
    <row r="44" spans="1:21" ht="27.75" customHeight="1" x14ac:dyDescent="0.2">
      <c r="A44" s="13">
        <v>3.3</v>
      </c>
      <c r="B44" s="2" t="s">
        <v>50</v>
      </c>
      <c r="C44" s="14">
        <v>1</v>
      </c>
      <c r="D44" s="15" t="s">
        <v>9</v>
      </c>
      <c r="E44" s="140">
        <f t="shared" si="0"/>
        <v>9188</v>
      </c>
      <c r="F44" s="141">
        <f t="shared" si="18"/>
        <v>1746</v>
      </c>
      <c r="G44" s="202">
        <f t="shared" si="2"/>
        <v>10934</v>
      </c>
      <c r="H44" s="7">
        <v>10934</v>
      </c>
      <c r="J44" s="170">
        <f>+ROUND(11188.2352941176,0)</f>
        <v>11188</v>
      </c>
      <c r="K44" s="134">
        <f t="shared" si="23"/>
        <v>2126</v>
      </c>
      <c r="L44" s="171">
        <f t="shared" si="4"/>
        <v>13314</v>
      </c>
      <c r="N44" s="177">
        <v>9350</v>
      </c>
      <c r="O44" s="129">
        <f t="shared" ref="O44:O55" si="24">+ROUND(N44*0.19,0)</f>
        <v>1777</v>
      </c>
      <c r="P44" s="183">
        <f t="shared" si="21"/>
        <v>11127</v>
      </c>
      <c r="Q44" s="189">
        <f t="shared" si="22"/>
        <v>9188</v>
      </c>
      <c r="R44" s="144">
        <f t="shared" si="7"/>
        <v>1746</v>
      </c>
      <c r="S44" s="190">
        <f t="shared" si="8"/>
        <v>10934</v>
      </c>
      <c r="T44" s="28">
        <f t="shared" si="9"/>
        <v>10934</v>
      </c>
      <c r="U44" s="28">
        <f t="shared" si="10"/>
        <v>0</v>
      </c>
    </row>
    <row r="45" spans="1:21" ht="42.75" customHeight="1" x14ac:dyDescent="0.2">
      <c r="A45" s="13">
        <v>3.4</v>
      </c>
      <c r="B45" s="2" t="s">
        <v>51</v>
      </c>
      <c r="C45" s="14">
        <v>1</v>
      </c>
      <c r="D45" s="15" t="s">
        <v>9</v>
      </c>
      <c r="E45" s="140">
        <f t="shared" si="0"/>
        <v>12101</v>
      </c>
      <c r="F45" s="141">
        <f t="shared" si="18"/>
        <v>2299</v>
      </c>
      <c r="G45" s="202">
        <f t="shared" si="2"/>
        <v>14400</v>
      </c>
      <c r="H45" s="7">
        <v>14400</v>
      </c>
      <c r="J45" s="170">
        <f>+ROUND(14100.8403361345,0)</f>
        <v>14101</v>
      </c>
      <c r="K45" s="134">
        <f t="shared" si="23"/>
        <v>2679</v>
      </c>
      <c r="L45" s="171">
        <f t="shared" si="4"/>
        <v>16780</v>
      </c>
      <c r="N45" s="177">
        <v>15000</v>
      </c>
      <c r="O45" s="129">
        <f t="shared" si="24"/>
        <v>2850</v>
      </c>
      <c r="P45" s="183">
        <f t="shared" si="21"/>
        <v>17850</v>
      </c>
      <c r="Q45" s="189">
        <f t="shared" si="22"/>
        <v>12101</v>
      </c>
      <c r="R45" s="144">
        <f t="shared" si="7"/>
        <v>2299</v>
      </c>
      <c r="S45" s="190">
        <f t="shared" si="8"/>
        <v>14400</v>
      </c>
      <c r="T45" s="28">
        <f t="shared" si="9"/>
        <v>14400</v>
      </c>
      <c r="U45" s="28">
        <f t="shared" si="10"/>
        <v>0</v>
      </c>
    </row>
    <row r="46" spans="1:21" ht="44.25" customHeight="1" x14ac:dyDescent="0.2">
      <c r="A46" s="13">
        <v>3.5</v>
      </c>
      <c r="B46" s="2" t="s">
        <v>52</v>
      </c>
      <c r="C46" s="14">
        <v>1</v>
      </c>
      <c r="D46" s="15" t="s">
        <v>9</v>
      </c>
      <c r="E46" s="140">
        <f t="shared" si="0"/>
        <v>20475</v>
      </c>
      <c r="F46" s="141">
        <f t="shared" si="18"/>
        <v>3890</v>
      </c>
      <c r="G46" s="202">
        <f t="shared" si="2"/>
        <v>24365</v>
      </c>
      <c r="H46" s="7">
        <v>24365</v>
      </c>
      <c r="J46" s="170">
        <f>+ROUND(22474.7899159664,0)</f>
        <v>22475</v>
      </c>
      <c r="K46" s="134">
        <f t="shared" si="23"/>
        <v>4270</v>
      </c>
      <c r="L46" s="171">
        <f t="shared" si="4"/>
        <v>26745</v>
      </c>
      <c r="N46" s="177">
        <v>20475</v>
      </c>
      <c r="O46" s="129">
        <f t="shared" si="24"/>
        <v>3890</v>
      </c>
      <c r="P46" s="183">
        <f t="shared" si="21"/>
        <v>24365</v>
      </c>
      <c r="Q46" s="189">
        <f t="shared" si="22"/>
        <v>20475</v>
      </c>
      <c r="R46" s="144">
        <f t="shared" si="7"/>
        <v>3890</v>
      </c>
      <c r="S46" s="190">
        <f t="shared" si="8"/>
        <v>24365</v>
      </c>
      <c r="T46" s="28">
        <f t="shared" si="9"/>
        <v>24365</v>
      </c>
      <c r="U46" s="28">
        <f t="shared" si="10"/>
        <v>0</v>
      </c>
    </row>
    <row r="47" spans="1:21" ht="45.75" customHeight="1" x14ac:dyDescent="0.2">
      <c r="A47" s="13">
        <v>3.6</v>
      </c>
      <c r="B47" s="2" t="s">
        <v>53</v>
      </c>
      <c r="C47" s="14">
        <v>1</v>
      </c>
      <c r="D47" s="15" t="s">
        <v>9</v>
      </c>
      <c r="E47" s="140">
        <f t="shared" si="0"/>
        <v>136500</v>
      </c>
      <c r="F47" s="141">
        <f t="shared" si="18"/>
        <v>25935</v>
      </c>
      <c r="G47" s="202">
        <f t="shared" si="2"/>
        <v>162435</v>
      </c>
      <c r="H47" s="7">
        <v>162435</v>
      </c>
      <c r="J47" s="170">
        <v>138500</v>
      </c>
      <c r="K47" s="134">
        <f t="shared" si="23"/>
        <v>26315</v>
      </c>
      <c r="L47" s="171">
        <f t="shared" si="4"/>
        <v>164815</v>
      </c>
      <c r="N47" s="177">
        <v>150000</v>
      </c>
      <c r="O47" s="129">
        <f t="shared" si="24"/>
        <v>28500</v>
      </c>
      <c r="P47" s="183">
        <f t="shared" si="21"/>
        <v>178500</v>
      </c>
      <c r="Q47" s="189">
        <f t="shared" si="22"/>
        <v>136500</v>
      </c>
      <c r="R47" s="144">
        <f t="shared" si="7"/>
        <v>25935</v>
      </c>
      <c r="S47" s="190">
        <f t="shared" si="8"/>
        <v>162435</v>
      </c>
      <c r="T47" s="28">
        <f t="shared" si="9"/>
        <v>162435</v>
      </c>
      <c r="U47" s="28">
        <f t="shared" si="10"/>
        <v>0</v>
      </c>
    </row>
    <row r="48" spans="1:21" ht="44.25" customHeight="1" x14ac:dyDescent="0.2">
      <c r="A48" s="13">
        <v>3.7</v>
      </c>
      <c r="B48" s="2" t="s">
        <v>54</v>
      </c>
      <c r="C48" s="14">
        <v>1</v>
      </c>
      <c r="D48" s="15" t="s">
        <v>9</v>
      </c>
      <c r="E48" s="140">
        <f t="shared" si="0"/>
        <v>232496</v>
      </c>
      <c r="F48" s="141">
        <f t="shared" si="18"/>
        <v>44174</v>
      </c>
      <c r="G48" s="202">
        <f t="shared" si="2"/>
        <v>276670</v>
      </c>
      <c r="H48" s="7">
        <v>276670</v>
      </c>
      <c r="J48" s="170">
        <f>+ROUND(234495.798319328,0)</f>
        <v>234496</v>
      </c>
      <c r="K48" s="134">
        <f t="shared" si="23"/>
        <v>44554</v>
      </c>
      <c r="L48" s="171">
        <f t="shared" si="4"/>
        <v>279050</v>
      </c>
      <c r="N48" s="177">
        <v>232496</v>
      </c>
      <c r="O48" s="129">
        <f t="shared" si="24"/>
        <v>44174</v>
      </c>
      <c r="P48" s="183">
        <f t="shared" si="21"/>
        <v>276670</v>
      </c>
      <c r="Q48" s="189">
        <f t="shared" si="22"/>
        <v>232496</v>
      </c>
      <c r="R48" s="144">
        <f t="shared" si="7"/>
        <v>44174</v>
      </c>
      <c r="S48" s="190">
        <f t="shared" si="8"/>
        <v>276670</v>
      </c>
      <c r="T48" s="28">
        <f t="shared" si="9"/>
        <v>276670</v>
      </c>
      <c r="U48" s="28">
        <f t="shared" si="10"/>
        <v>0</v>
      </c>
    </row>
    <row r="49" spans="1:21" ht="26.25" customHeight="1" x14ac:dyDescent="0.2">
      <c r="A49" s="13">
        <v>3.8</v>
      </c>
      <c r="B49" s="2" t="s">
        <v>55</v>
      </c>
      <c r="C49" s="14">
        <v>1</v>
      </c>
      <c r="D49" s="15" t="s">
        <v>9</v>
      </c>
      <c r="E49" s="140">
        <f t="shared" si="0"/>
        <v>16538</v>
      </c>
      <c r="F49" s="141">
        <f t="shared" si="18"/>
        <v>3142</v>
      </c>
      <c r="G49" s="202">
        <f t="shared" si="2"/>
        <v>19680</v>
      </c>
      <c r="H49" s="7">
        <v>19680</v>
      </c>
      <c r="J49" s="170">
        <f>+ROUND(18537.8151260504,0)</f>
        <v>18538</v>
      </c>
      <c r="K49" s="134">
        <f t="shared" si="23"/>
        <v>3522</v>
      </c>
      <c r="L49" s="171">
        <f t="shared" si="4"/>
        <v>22060</v>
      </c>
      <c r="N49" s="177">
        <v>16538</v>
      </c>
      <c r="O49" s="129">
        <f t="shared" si="24"/>
        <v>3142</v>
      </c>
      <c r="P49" s="183">
        <f t="shared" si="21"/>
        <v>19680</v>
      </c>
      <c r="Q49" s="189">
        <f t="shared" si="22"/>
        <v>16538</v>
      </c>
      <c r="R49" s="144">
        <f t="shared" si="7"/>
        <v>3142</v>
      </c>
      <c r="S49" s="190">
        <f t="shared" si="8"/>
        <v>19680</v>
      </c>
      <c r="T49" s="28">
        <f t="shared" si="9"/>
        <v>19680</v>
      </c>
      <c r="U49" s="28">
        <f t="shared" si="10"/>
        <v>0</v>
      </c>
    </row>
    <row r="50" spans="1:21" ht="36" customHeight="1" x14ac:dyDescent="0.2">
      <c r="A50" s="13">
        <v>3.9</v>
      </c>
      <c r="B50" s="2" t="s">
        <v>56</v>
      </c>
      <c r="C50" s="14">
        <v>1</v>
      </c>
      <c r="D50" s="15" t="s">
        <v>9</v>
      </c>
      <c r="E50" s="140">
        <f t="shared" si="0"/>
        <v>20213</v>
      </c>
      <c r="F50" s="141">
        <f t="shared" si="18"/>
        <v>3840</v>
      </c>
      <c r="G50" s="202">
        <f t="shared" si="2"/>
        <v>24053</v>
      </c>
      <c r="H50" s="7">
        <v>24053</v>
      </c>
      <c r="J50" s="170">
        <f>+ROUND(22212.6050420168,0)</f>
        <v>22213</v>
      </c>
      <c r="K50" s="134">
        <f t="shared" si="23"/>
        <v>4220</v>
      </c>
      <c r="L50" s="171">
        <f t="shared" si="4"/>
        <v>26433</v>
      </c>
      <c r="N50" s="177">
        <v>30000</v>
      </c>
      <c r="O50" s="129">
        <f t="shared" si="24"/>
        <v>5700</v>
      </c>
      <c r="P50" s="183">
        <f t="shared" si="21"/>
        <v>35700</v>
      </c>
      <c r="Q50" s="189">
        <f t="shared" si="22"/>
        <v>20213</v>
      </c>
      <c r="R50" s="144">
        <f t="shared" si="7"/>
        <v>3840</v>
      </c>
      <c r="S50" s="190">
        <f t="shared" si="8"/>
        <v>24053</v>
      </c>
      <c r="T50" s="28">
        <f t="shared" si="9"/>
        <v>24053</v>
      </c>
      <c r="U50" s="28">
        <f t="shared" si="10"/>
        <v>0</v>
      </c>
    </row>
    <row r="51" spans="1:21" ht="43.5" customHeight="1" x14ac:dyDescent="0.2">
      <c r="A51" s="13">
        <v>3.1</v>
      </c>
      <c r="B51" s="2" t="s">
        <v>57</v>
      </c>
      <c r="C51" s="14">
        <v>1</v>
      </c>
      <c r="D51" s="15" t="s">
        <v>58</v>
      </c>
      <c r="E51" s="140">
        <f t="shared" si="0"/>
        <v>1261</v>
      </c>
      <c r="F51" s="141">
        <f t="shared" si="18"/>
        <v>240</v>
      </c>
      <c r="G51" s="202">
        <f t="shared" si="2"/>
        <v>1501</v>
      </c>
      <c r="H51" s="7">
        <v>1500</v>
      </c>
      <c r="J51" s="170">
        <f>+ROUND(3260.50420168067,0)</f>
        <v>3261</v>
      </c>
      <c r="K51" s="134">
        <f t="shared" si="23"/>
        <v>620</v>
      </c>
      <c r="L51" s="171">
        <f t="shared" si="4"/>
        <v>3881</v>
      </c>
      <c r="N51" s="177">
        <v>2500</v>
      </c>
      <c r="O51" s="129">
        <f t="shared" si="24"/>
        <v>475</v>
      </c>
      <c r="P51" s="183">
        <f t="shared" si="21"/>
        <v>2975</v>
      </c>
      <c r="Q51" s="189">
        <f t="shared" si="22"/>
        <v>1261</v>
      </c>
      <c r="R51" s="144">
        <f t="shared" si="7"/>
        <v>240</v>
      </c>
      <c r="S51" s="190">
        <f t="shared" si="8"/>
        <v>1501</v>
      </c>
      <c r="T51" s="28">
        <f t="shared" si="9"/>
        <v>1501</v>
      </c>
      <c r="U51" s="28">
        <f t="shared" si="10"/>
        <v>0</v>
      </c>
    </row>
    <row r="52" spans="1:21" ht="39" customHeight="1" x14ac:dyDescent="0.2">
      <c r="A52" s="13">
        <v>3.11</v>
      </c>
      <c r="B52" s="2" t="s">
        <v>59</v>
      </c>
      <c r="C52" s="14">
        <v>1</v>
      </c>
      <c r="D52" s="15" t="s">
        <v>9</v>
      </c>
      <c r="E52" s="140">
        <f t="shared" si="0"/>
        <v>11288</v>
      </c>
      <c r="F52" s="141">
        <f t="shared" si="18"/>
        <v>2145</v>
      </c>
      <c r="G52" s="202">
        <f t="shared" si="2"/>
        <v>13433</v>
      </c>
      <c r="H52" s="7">
        <v>13433</v>
      </c>
      <c r="J52" s="170">
        <f>+ROUND(13288.2352941176,0)</f>
        <v>13288</v>
      </c>
      <c r="K52" s="134">
        <f t="shared" si="23"/>
        <v>2525</v>
      </c>
      <c r="L52" s="171">
        <f t="shared" si="4"/>
        <v>15813</v>
      </c>
      <c r="N52" s="177">
        <v>14000</v>
      </c>
      <c r="O52" s="129">
        <f t="shared" si="24"/>
        <v>2660</v>
      </c>
      <c r="P52" s="183">
        <f t="shared" si="21"/>
        <v>16660</v>
      </c>
      <c r="Q52" s="189">
        <f t="shared" si="22"/>
        <v>11288</v>
      </c>
      <c r="R52" s="144">
        <f t="shared" si="7"/>
        <v>2145</v>
      </c>
      <c r="S52" s="190">
        <f t="shared" si="8"/>
        <v>13433</v>
      </c>
      <c r="T52" s="28">
        <f t="shared" si="9"/>
        <v>13433</v>
      </c>
      <c r="U52" s="28">
        <f t="shared" si="10"/>
        <v>0</v>
      </c>
    </row>
    <row r="53" spans="1:21" ht="28.5" customHeight="1" x14ac:dyDescent="0.2">
      <c r="A53" s="13">
        <v>3.12</v>
      </c>
      <c r="B53" s="2" t="s">
        <v>60</v>
      </c>
      <c r="C53" s="14">
        <v>1</v>
      </c>
      <c r="D53" s="15" t="s">
        <v>9</v>
      </c>
      <c r="E53" s="140">
        <f t="shared" si="0"/>
        <v>391388</v>
      </c>
      <c r="F53" s="141">
        <f t="shared" si="18"/>
        <v>74364</v>
      </c>
      <c r="G53" s="202">
        <f t="shared" si="2"/>
        <v>465752</v>
      </c>
      <c r="H53" s="7">
        <v>465752</v>
      </c>
      <c r="J53" s="170">
        <f>+ROUND(393388.235294118,0)</f>
        <v>393388</v>
      </c>
      <c r="K53" s="134">
        <f t="shared" si="23"/>
        <v>74744</v>
      </c>
      <c r="L53" s="171">
        <f t="shared" si="4"/>
        <v>468132</v>
      </c>
      <c r="N53" s="177">
        <v>500000</v>
      </c>
      <c r="O53" s="129">
        <f t="shared" si="24"/>
        <v>95000</v>
      </c>
      <c r="P53" s="183">
        <f t="shared" si="21"/>
        <v>595000</v>
      </c>
      <c r="Q53" s="189">
        <f t="shared" si="22"/>
        <v>391388</v>
      </c>
      <c r="R53" s="144">
        <f t="shared" si="7"/>
        <v>74364</v>
      </c>
      <c r="S53" s="190">
        <f t="shared" si="8"/>
        <v>465752</v>
      </c>
      <c r="T53" s="28">
        <f t="shared" si="9"/>
        <v>465752</v>
      </c>
      <c r="U53" s="28">
        <f t="shared" si="10"/>
        <v>0</v>
      </c>
    </row>
    <row r="54" spans="1:21" ht="23.25" customHeight="1" x14ac:dyDescent="0.2">
      <c r="A54" s="13">
        <v>3.13</v>
      </c>
      <c r="B54" s="2" t="s">
        <v>61</v>
      </c>
      <c r="C54" s="14">
        <v>1</v>
      </c>
      <c r="D54" s="15" t="s">
        <v>9</v>
      </c>
      <c r="E54" s="140">
        <f t="shared" si="0"/>
        <v>11288</v>
      </c>
      <c r="F54" s="141">
        <f t="shared" si="18"/>
        <v>2145</v>
      </c>
      <c r="G54" s="202">
        <f t="shared" si="2"/>
        <v>13433</v>
      </c>
      <c r="H54" s="7">
        <v>13433</v>
      </c>
      <c r="J54" s="170">
        <f>+ROUND(13288.2352941176,0)</f>
        <v>13288</v>
      </c>
      <c r="K54" s="134">
        <f t="shared" si="23"/>
        <v>2525</v>
      </c>
      <c r="L54" s="171">
        <f t="shared" si="4"/>
        <v>15813</v>
      </c>
      <c r="N54" s="177">
        <v>15000</v>
      </c>
      <c r="O54" s="129">
        <f t="shared" si="24"/>
        <v>2850</v>
      </c>
      <c r="P54" s="183">
        <f t="shared" si="21"/>
        <v>17850</v>
      </c>
      <c r="Q54" s="189">
        <f t="shared" si="22"/>
        <v>11288</v>
      </c>
      <c r="R54" s="144">
        <f t="shared" si="7"/>
        <v>2145</v>
      </c>
      <c r="S54" s="190">
        <f t="shared" si="8"/>
        <v>13433</v>
      </c>
      <c r="T54" s="28">
        <f t="shared" si="9"/>
        <v>13433</v>
      </c>
      <c r="U54" s="28">
        <f t="shared" si="10"/>
        <v>0</v>
      </c>
    </row>
    <row r="55" spans="1:21" ht="24" customHeight="1" x14ac:dyDescent="0.2">
      <c r="A55" s="13">
        <v>3.14</v>
      </c>
      <c r="B55" s="2" t="s">
        <v>62</v>
      </c>
      <c r="C55" s="14">
        <v>1</v>
      </c>
      <c r="D55" s="15" t="s">
        <v>9</v>
      </c>
      <c r="E55" s="140">
        <f t="shared" si="0"/>
        <v>76309</v>
      </c>
      <c r="F55" s="141">
        <f t="shared" si="18"/>
        <v>14499</v>
      </c>
      <c r="G55" s="202">
        <f t="shared" si="2"/>
        <v>90808</v>
      </c>
      <c r="H55" s="7">
        <v>90808</v>
      </c>
      <c r="J55" s="170">
        <f>+ROUND(78309.243697479,0)</f>
        <v>78309</v>
      </c>
      <c r="K55" s="134">
        <f t="shared" si="23"/>
        <v>14879</v>
      </c>
      <c r="L55" s="171">
        <f t="shared" si="4"/>
        <v>93188</v>
      </c>
      <c r="N55" s="177">
        <v>76309</v>
      </c>
      <c r="O55" s="129">
        <f t="shared" si="24"/>
        <v>14499</v>
      </c>
      <c r="P55" s="183">
        <f t="shared" si="21"/>
        <v>90808</v>
      </c>
      <c r="Q55" s="189">
        <f t="shared" si="22"/>
        <v>76309</v>
      </c>
      <c r="R55" s="144">
        <f t="shared" si="7"/>
        <v>14499</v>
      </c>
      <c r="S55" s="190">
        <f t="shared" si="8"/>
        <v>90808</v>
      </c>
      <c r="T55" s="28">
        <f t="shared" si="9"/>
        <v>90808</v>
      </c>
      <c r="U55" s="28">
        <f t="shared" si="10"/>
        <v>0</v>
      </c>
    </row>
    <row r="56" spans="1:21" ht="15" customHeight="1" x14ac:dyDescent="0.2">
      <c r="A56" s="198">
        <v>4</v>
      </c>
      <c r="B56" s="308" t="s">
        <v>63</v>
      </c>
      <c r="C56" s="309"/>
      <c r="D56" s="309"/>
      <c r="E56" s="309"/>
      <c r="F56" s="309"/>
      <c r="G56" s="310"/>
      <c r="H56" s="193"/>
      <c r="I56" s="194"/>
      <c r="J56" s="257" t="str">
        <f>+B56</f>
        <v>ASFALTOS</v>
      </c>
      <c r="K56" s="258"/>
      <c r="L56" s="259"/>
      <c r="M56" s="194"/>
      <c r="N56" s="257" t="str">
        <f>+J56</f>
        <v>ASFALTOS</v>
      </c>
      <c r="O56" s="258"/>
      <c r="P56" s="260"/>
      <c r="Q56" s="287" t="str">
        <f>+N56</f>
        <v>ASFALTOS</v>
      </c>
      <c r="R56" s="288"/>
      <c r="S56" s="289"/>
      <c r="T56" s="28">
        <f t="shared" si="9"/>
        <v>0</v>
      </c>
      <c r="U56" s="28">
        <f t="shared" si="10"/>
        <v>0</v>
      </c>
    </row>
    <row r="57" spans="1:21" x14ac:dyDescent="0.2">
      <c r="A57" s="13">
        <v>4.0999999999999996</v>
      </c>
      <c r="B57" s="2" t="s">
        <v>64</v>
      </c>
      <c r="C57" s="14">
        <v>1</v>
      </c>
      <c r="D57" s="15" t="s">
        <v>9</v>
      </c>
      <c r="E57" s="140">
        <f t="shared" si="0"/>
        <v>47696</v>
      </c>
      <c r="F57" s="141">
        <f t="shared" si="18"/>
        <v>9062</v>
      </c>
      <c r="G57" s="202">
        <f t="shared" si="2"/>
        <v>56758</v>
      </c>
      <c r="H57" s="7">
        <v>56758</v>
      </c>
      <c r="J57" s="172">
        <f>+ROUND(49695.7983193277,0)</f>
        <v>49696</v>
      </c>
      <c r="K57" s="134">
        <f>+ROUND(J57*0.19,0)</f>
        <v>9442</v>
      </c>
      <c r="L57" s="135">
        <f t="shared" ref="L57:L63" si="25">+K57+J57</f>
        <v>59138</v>
      </c>
      <c r="N57" s="178">
        <v>50000</v>
      </c>
      <c r="O57" s="129">
        <f>+ROUND(N57*0.19,0)</f>
        <v>9500</v>
      </c>
      <c r="P57" s="184">
        <f t="shared" ref="P57:P63" si="26">+O57+N57</f>
        <v>59500</v>
      </c>
      <c r="Q57" s="189">
        <f t="shared" ref="Q57:Q63" si="27">+E57</f>
        <v>47696</v>
      </c>
      <c r="R57" s="144">
        <f t="shared" si="7"/>
        <v>9062</v>
      </c>
      <c r="S57" s="190">
        <f t="shared" si="8"/>
        <v>56758</v>
      </c>
      <c r="T57" s="28">
        <f t="shared" si="9"/>
        <v>56758</v>
      </c>
      <c r="U57" s="28">
        <f t="shared" si="10"/>
        <v>0</v>
      </c>
    </row>
    <row r="58" spans="1:21" ht="21.75" customHeight="1" x14ac:dyDescent="0.2">
      <c r="A58" s="13">
        <v>4.2</v>
      </c>
      <c r="B58" s="2" t="s">
        <v>65</v>
      </c>
      <c r="C58" s="14">
        <v>1</v>
      </c>
      <c r="D58" s="15" t="s">
        <v>9</v>
      </c>
      <c r="E58" s="140">
        <f t="shared" si="0"/>
        <v>45465</v>
      </c>
      <c r="F58" s="141">
        <f t="shared" si="18"/>
        <v>8638</v>
      </c>
      <c r="G58" s="202">
        <f t="shared" si="2"/>
        <v>54103</v>
      </c>
      <c r="H58" s="7">
        <v>54103</v>
      </c>
      <c r="J58" s="172">
        <f>+ROUND(47464.7058823529,0)</f>
        <v>47465</v>
      </c>
      <c r="K58" s="134">
        <f t="shared" ref="K58:K63" si="28">+ROUND(J58*0.19,0)</f>
        <v>9018</v>
      </c>
      <c r="L58" s="135">
        <f t="shared" si="25"/>
        <v>56483</v>
      </c>
      <c r="N58" s="178">
        <v>55000</v>
      </c>
      <c r="O58" s="129">
        <f t="shared" ref="O58:O63" si="29">+ROUND(N58*0.19,0)</f>
        <v>10450</v>
      </c>
      <c r="P58" s="184">
        <f t="shared" si="26"/>
        <v>65450</v>
      </c>
      <c r="Q58" s="189">
        <f t="shared" si="27"/>
        <v>45465</v>
      </c>
      <c r="R58" s="144">
        <f t="shared" si="7"/>
        <v>8638</v>
      </c>
      <c r="S58" s="190">
        <f t="shared" si="8"/>
        <v>54103</v>
      </c>
      <c r="T58" s="28">
        <f t="shared" si="9"/>
        <v>54103</v>
      </c>
      <c r="U58" s="28">
        <f t="shared" si="10"/>
        <v>0</v>
      </c>
    </row>
    <row r="59" spans="1:21" ht="21" customHeight="1" x14ac:dyDescent="0.2">
      <c r="A59" s="13">
        <v>4.3</v>
      </c>
      <c r="B59" s="2" t="s">
        <v>66</v>
      </c>
      <c r="C59" s="14">
        <v>1</v>
      </c>
      <c r="D59" s="15" t="s">
        <v>9</v>
      </c>
      <c r="E59" s="140">
        <f t="shared" si="0"/>
        <v>10395</v>
      </c>
      <c r="F59" s="141">
        <f t="shared" si="18"/>
        <v>1975</v>
      </c>
      <c r="G59" s="202">
        <f t="shared" si="2"/>
        <v>12370</v>
      </c>
      <c r="H59" s="7">
        <v>12370</v>
      </c>
      <c r="J59" s="172">
        <f>+ROUND(12394.9579831933,0)</f>
        <v>12395</v>
      </c>
      <c r="K59" s="134">
        <f t="shared" si="28"/>
        <v>2355</v>
      </c>
      <c r="L59" s="135">
        <f t="shared" si="25"/>
        <v>14750</v>
      </c>
      <c r="N59" s="178">
        <v>12000</v>
      </c>
      <c r="O59" s="129">
        <f t="shared" si="29"/>
        <v>2280</v>
      </c>
      <c r="P59" s="184">
        <f t="shared" si="26"/>
        <v>14280</v>
      </c>
      <c r="Q59" s="189">
        <f t="shared" si="27"/>
        <v>10395</v>
      </c>
      <c r="R59" s="144">
        <f t="shared" si="7"/>
        <v>1975</v>
      </c>
      <c r="S59" s="190">
        <f t="shared" si="8"/>
        <v>12370</v>
      </c>
      <c r="T59" s="28">
        <f t="shared" si="9"/>
        <v>12370</v>
      </c>
      <c r="U59" s="28">
        <f t="shared" si="10"/>
        <v>0</v>
      </c>
    </row>
    <row r="60" spans="1:21" ht="27" customHeight="1" x14ac:dyDescent="0.2">
      <c r="A60" s="13">
        <v>4.4000000000000004</v>
      </c>
      <c r="B60" s="2" t="s">
        <v>67</v>
      </c>
      <c r="C60" s="14">
        <v>1</v>
      </c>
      <c r="D60" s="15" t="s">
        <v>9</v>
      </c>
      <c r="E60" s="140">
        <f t="shared" si="0"/>
        <v>33613</v>
      </c>
      <c r="F60" s="141">
        <f t="shared" si="18"/>
        <v>6386</v>
      </c>
      <c r="G60" s="202">
        <f t="shared" si="2"/>
        <v>39999</v>
      </c>
      <c r="H60" s="7">
        <v>40000</v>
      </c>
      <c r="J60" s="172">
        <f>+ROUND(35613.4453781513,0)</f>
        <v>35613</v>
      </c>
      <c r="K60" s="134">
        <f t="shared" si="28"/>
        <v>6766</v>
      </c>
      <c r="L60" s="135">
        <f t="shared" si="25"/>
        <v>42379</v>
      </c>
      <c r="N60" s="178">
        <v>33613</v>
      </c>
      <c r="O60" s="129">
        <f t="shared" si="29"/>
        <v>6386</v>
      </c>
      <c r="P60" s="184">
        <f t="shared" si="26"/>
        <v>39999</v>
      </c>
      <c r="Q60" s="189">
        <f t="shared" si="27"/>
        <v>33613</v>
      </c>
      <c r="R60" s="144">
        <f t="shared" si="7"/>
        <v>6386</v>
      </c>
      <c r="S60" s="190">
        <f t="shared" si="8"/>
        <v>39999</v>
      </c>
      <c r="T60" s="28">
        <f t="shared" si="9"/>
        <v>39999</v>
      </c>
      <c r="U60" s="28">
        <f t="shared" si="10"/>
        <v>0</v>
      </c>
    </row>
    <row r="61" spans="1:21" ht="29.25" customHeight="1" x14ac:dyDescent="0.2">
      <c r="A61" s="13">
        <v>4.5</v>
      </c>
      <c r="B61" s="2" t="s">
        <v>68</v>
      </c>
      <c r="C61" s="14">
        <v>1</v>
      </c>
      <c r="D61" s="15" t="s">
        <v>9</v>
      </c>
      <c r="E61" s="140">
        <f t="shared" si="0"/>
        <v>42017</v>
      </c>
      <c r="F61" s="141">
        <f t="shared" si="18"/>
        <v>7983</v>
      </c>
      <c r="G61" s="202">
        <f t="shared" si="2"/>
        <v>50000</v>
      </c>
      <c r="H61" s="7">
        <v>50000</v>
      </c>
      <c r="J61" s="172">
        <f>+ROUND(44016.8067226891,0)</f>
        <v>44017</v>
      </c>
      <c r="K61" s="134">
        <f t="shared" si="28"/>
        <v>8363</v>
      </c>
      <c r="L61" s="135">
        <f t="shared" si="25"/>
        <v>52380</v>
      </c>
      <c r="N61" s="178">
        <v>42017</v>
      </c>
      <c r="O61" s="129">
        <f t="shared" si="29"/>
        <v>7983</v>
      </c>
      <c r="P61" s="184">
        <f t="shared" si="26"/>
        <v>50000</v>
      </c>
      <c r="Q61" s="189">
        <f t="shared" si="27"/>
        <v>42017</v>
      </c>
      <c r="R61" s="144">
        <f t="shared" si="7"/>
        <v>7983</v>
      </c>
      <c r="S61" s="190">
        <f t="shared" si="8"/>
        <v>50000</v>
      </c>
      <c r="T61" s="28">
        <f t="shared" si="9"/>
        <v>50000</v>
      </c>
      <c r="U61" s="28">
        <f t="shared" si="10"/>
        <v>0</v>
      </c>
    </row>
    <row r="62" spans="1:21" ht="30.75" customHeight="1" x14ac:dyDescent="0.2">
      <c r="A62" s="13">
        <v>4.5999999999999996</v>
      </c>
      <c r="B62" s="2" t="s">
        <v>69</v>
      </c>
      <c r="C62" s="14">
        <v>1</v>
      </c>
      <c r="D62" s="15" t="s">
        <v>9</v>
      </c>
      <c r="E62" s="140">
        <f t="shared" si="0"/>
        <v>126050</v>
      </c>
      <c r="F62" s="141">
        <f t="shared" si="18"/>
        <v>23950</v>
      </c>
      <c r="G62" s="202">
        <f t="shared" si="2"/>
        <v>150000</v>
      </c>
      <c r="H62" s="7">
        <v>150000</v>
      </c>
      <c r="J62" s="172">
        <f>+ROUND(128050.420168067,0)</f>
        <v>128050</v>
      </c>
      <c r="K62" s="134">
        <f t="shared" si="28"/>
        <v>24330</v>
      </c>
      <c r="L62" s="135">
        <f t="shared" si="25"/>
        <v>152380</v>
      </c>
      <c r="N62" s="178">
        <v>200000</v>
      </c>
      <c r="O62" s="129">
        <f t="shared" si="29"/>
        <v>38000</v>
      </c>
      <c r="P62" s="184">
        <f t="shared" si="26"/>
        <v>238000</v>
      </c>
      <c r="Q62" s="189">
        <f t="shared" si="27"/>
        <v>126050</v>
      </c>
      <c r="R62" s="144">
        <f t="shared" si="7"/>
        <v>23950</v>
      </c>
      <c r="S62" s="190">
        <f t="shared" si="8"/>
        <v>150000</v>
      </c>
      <c r="T62" s="28">
        <f t="shared" si="9"/>
        <v>150000</v>
      </c>
      <c r="U62" s="28">
        <f t="shared" si="10"/>
        <v>0</v>
      </c>
    </row>
    <row r="63" spans="1:21" ht="36.75" customHeight="1" x14ac:dyDescent="0.2">
      <c r="A63" s="13">
        <v>4.7</v>
      </c>
      <c r="B63" s="2" t="s">
        <v>70</v>
      </c>
      <c r="C63" s="14">
        <v>1</v>
      </c>
      <c r="D63" s="15" t="s">
        <v>9</v>
      </c>
      <c r="E63" s="140">
        <f t="shared" si="0"/>
        <v>1050000</v>
      </c>
      <c r="F63" s="141">
        <f t="shared" si="18"/>
        <v>199500</v>
      </c>
      <c r="G63" s="202">
        <f t="shared" si="2"/>
        <v>1249500</v>
      </c>
      <c r="H63" s="7">
        <v>1249500</v>
      </c>
      <c r="J63" s="172">
        <v>1052000</v>
      </c>
      <c r="K63" s="134">
        <f t="shared" si="28"/>
        <v>199880</v>
      </c>
      <c r="L63" s="135">
        <f t="shared" si="25"/>
        <v>1251880</v>
      </c>
      <c r="N63" s="178">
        <v>1050000</v>
      </c>
      <c r="O63" s="129">
        <f t="shared" si="29"/>
        <v>199500</v>
      </c>
      <c r="P63" s="184">
        <f t="shared" si="26"/>
        <v>1249500</v>
      </c>
      <c r="Q63" s="189">
        <f t="shared" si="27"/>
        <v>1050000</v>
      </c>
      <c r="R63" s="144">
        <f t="shared" si="7"/>
        <v>199500</v>
      </c>
      <c r="S63" s="190">
        <f t="shared" si="8"/>
        <v>1249500</v>
      </c>
      <c r="T63" s="28">
        <f t="shared" si="9"/>
        <v>1249500</v>
      </c>
      <c r="U63" s="28">
        <f t="shared" si="10"/>
        <v>0</v>
      </c>
    </row>
    <row r="64" spans="1:21" s="194" customFormat="1" x14ac:dyDescent="0.2">
      <c r="A64" s="198">
        <v>5</v>
      </c>
      <c r="B64" s="308" t="s">
        <v>71</v>
      </c>
      <c r="C64" s="309"/>
      <c r="D64" s="309"/>
      <c r="E64" s="309"/>
      <c r="F64" s="309"/>
      <c r="G64" s="310"/>
      <c r="H64" s="193"/>
      <c r="J64" s="257" t="str">
        <f>+B64</f>
        <v>MAMPOSTERÍA EN CONCRETO</v>
      </c>
      <c r="K64" s="258"/>
      <c r="L64" s="259"/>
      <c r="N64" s="257" t="str">
        <f>+J64</f>
        <v>MAMPOSTERÍA EN CONCRETO</v>
      </c>
      <c r="O64" s="258"/>
      <c r="P64" s="260"/>
      <c r="Q64" s="287" t="str">
        <f>+N64</f>
        <v>MAMPOSTERÍA EN CONCRETO</v>
      </c>
      <c r="R64" s="288"/>
      <c r="S64" s="289"/>
      <c r="T64" s="28">
        <f t="shared" si="9"/>
        <v>0</v>
      </c>
      <c r="U64" s="28">
        <f t="shared" si="10"/>
        <v>0</v>
      </c>
    </row>
    <row r="65" spans="1:21" ht="22.5" x14ac:dyDescent="0.2">
      <c r="A65" s="13">
        <v>5.0999999999999996</v>
      </c>
      <c r="B65" s="2" t="s">
        <v>72</v>
      </c>
      <c r="C65" s="14">
        <v>1</v>
      </c>
      <c r="D65" s="15" t="s">
        <v>9</v>
      </c>
      <c r="E65" s="140">
        <f t="shared" si="0"/>
        <v>16643</v>
      </c>
      <c r="F65" s="141">
        <f t="shared" si="18"/>
        <v>3162</v>
      </c>
      <c r="G65" s="202">
        <f t="shared" si="2"/>
        <v>19805</v>
      </c>
      <c r="H65" s="7">
        <v>19805</v>
      </c>
      <c r="J65" s="170">
        <f>+ROUND(18642.8571428571,0)</f>
        <v>18643</v>
      </c>
      <c r="K65" s="134">
        <f>+ROUND(J65*0.19,0)</f>
        <v>3542</v>
      </c>
      <c r="L65" s="135">
        <f t="shared" ref="L65:L66" si="30">+K65+J65</f>
        <v>22185</v>
      </c>
      <c r="N65" s="177">
        <v>20000</v>
      </c>
      <c r="O65" s="129">
        <f t="shared" ref="O65:O66" si="31">+N65*0.19</f>
        <v>3800</v>
      </c>
      <c r="P65" s="184">
        <f t="shared" ref="P65:P66" si="32">+O65+N65</f>
        <v>23800</v>
      </c>
      <c r="Q65" s="189">
        <f>+E65</f>
        <v>16643</v>
      </c>
      <c r="R65" s="144">
        <f t="shared" si="7"/>
        <v>3162</v>
      </c>
      <c r="S65" s="190">
        <f t="shared" si="8"/>
        <v>19805</v>
      </c>
      <c r="T65" s="28">
        <f t="shared" si="9"/>
        <v>19805</v>
      </c>
      <c r="U65" s="28">
        <f t="shared" si="10"/>
        <v>0</v>
      </c>
    </row>
    <row r="66" spans="1:21" ht="22.5" x14ac:dyDescent="0.2">
      <c r="A66" s="13">
        <v>5.2</v>
      </c>
      <c r="B66" s="2" t="s">
        <v>73</v>
      </c>
      <c r="C66" s="14">
        <v>1</v>
      </c>
      <c r="D66" s="15" t="s">
        <v>9</v>
      </c>
      <c r="E66" s="140">
        <f>+ROUND((H66/1.19),0)</f>
        <v>15488</v>
      </c>
      <c r="F66" s="141">
        <f t="shared" si="18"/>
        <v>2943</v>
      </c>
      <c r="G66" s="202">
        <f t="shared" si="2"/>
        <v>18431</v>
      </c>
      <c r="H66" s="7">
        <v>18431</v>
      </c>
      <c r="J66" s="170">
        <f>+ROUND(17488.2352941176,0)</f>
        <v>17488</v>
      </c>
      <c r="K66" s="134">
        <f>+ROUND(J66*0.19,0)</f>
        <v>3323</v>
      </c>
      <c r="L66" s="135">
        <f t="shared" si="30"/>
        <v>20811</v>
      </c>
      <c r="N66" s="177">
        <v>20000</v>
      </c>
      <c r="O66" s="129">
        <f t="shared" si="31"/>
        <v>3800</v>
      </c>
      <c r="P66" s="184">
        <f t="shared" si="32"/>
        <v>23800</v>
      </c>
      <c r="Q66" s="189">
        <f>+E66</f>
        <v>15488</v>
      </c>
      <c r="R66" s="144">
        <f t="shared" si="7"/>
        <v>2943</v>
      </c>
      <c r="S66" s="190">
        <f t="shared" si="8"/>
        <v>18431</v>
      </c>
      <c r="T66" s="28">
        <f t="shared" si="9"/>
        <v>18431</v>
      </c>
      <c r="U66" s="28">
        <f t="shared" si="10"/>
        <v>0</v>
      </c>
    </row>
    <row r="67" spans="1:21" s="194" customFormat="1" x14ac:dyDescent="0.2">
      <c r="A67" s="198">
        <v>6</v>
      </c>
      <c r="B67" s="308" t="s">
        <v>74</v>
      </c>
      <c r="C67" s="309"/>
      <c r="D67" s="309"/>
      <c r="E67" s="309"/>
      <c r="F67" s="309"/>
      <c r="G67" s="310"/>
      <c r="H67" s="193"/>
      <c r="J67" s="257" t="str">
        <f>+N67</f>
        <v>MAMPOSTERÍA EN ARCILLA</v>
      </c>
      <c r="K67" s="258"/>
      <c r="L67" s="259"/>
      <c r="N67" s="257" t="str">
        <f>+B67</f>
        <v>MAMPOSTERÍA EN ARCILLA</v>
      </c>
      <c r="O67" s="258"/>
      <c r="P67" s="260"/>
      <c r="Q67" s="287" t="str">
        <f>+N67</f>
        <v>MAMPOSTERÍA EN ARCILLA</v>
      </c>
      <c r="R67" s="288"/>
      <c r="S67" s="289"/>
      <c r="T67" s="28">
        <f t="shared" si="9"/>
        <v>0</v>
      </c>
      <c r="U67" s="28">
        <f t="shared" si="10"/>
        <v>0</v>
      </c>
    </row>
    <row r="68" spans="1:21" ht="22.5" x14ac:dyDescent="0.2">
      <c r="A68" s="152">
        <v>6.1</v>
      </c>
      <c r="B68" s="153" t="s">
        <v>75</v>
      </c>
      <c r="C68" s="154">
        <v>1</v>
      </c>
      <c r="D68" s="155" t="s">
        <v>9</v>
      </c>
      <c r="E68" s="140">
        <f>+ROUND((H68/1.19),0)</f>
        <v>16643</v>
      </c>
      <c r="F68" s="156">
        <f t="shared" si="18"/>
        <v>3162</v>
      </c>
      <c r="G68" s="205">
        <f>+ROUND(F68+E68,0)</f>
        <v>19805</v>
      </c>
      <c r="H68" s="7">
        <v>19805</v>
      </c>
      <c r="J68" s="173">
        <f>+ROUND(18642.8571428571,0)</f>
        <v>18643</v>
      </c>
      <c r="K68" s="158">
        <f>+ROUND(J68*0.19,0)</f>
        <v>3542</v>
      </c>
      <c r="L68" s="159">
        <f t="shared" ref="L68:L69" si="33">+K68+J68</f>
        <v>22185</v>
      </c>
      <c r="N68" s="180">
        <v>20000</v>
      </c>
      <c r="O68" s="160">
        <f t="shared" ref="O68:O69" si="34">+N68*0.19</f>
        <v>3800</v>
      </c>
      <c r="P68" s="185">
        <f t="shared" ref="P68:P69" si="35">+O68+N68</f>
        <v>23800</v>
      </c>
      <c r="Q68" s="191">
        <f>+E68</f>
        <v>16643</v>
      </c>
      <c r="R68" s="161">
        <f t="shared" si="7"/>
        <v>3162</v>
      </c>
      <c r="S68" s="192">
        <f t="shared" si="8"/>
        <v>19805</v>
      </c>
      <c r="T68" s="28">
        <f t="shared" si="9"/>
        <v>19805</v>
      </c>
      <c r="U68" s="28">
        <f t="shared" si="10"/>
        <v>0</v>
      </c>
    </row>
    <row r="69" spans="1:21" ht="33.75" customHeight="1" x14ac:dyDescent="0.2">
      <c r="A69" s="13">
        <v>6.2</v>
      </c>
      <c r="B69" s="2" t="s">
        <v>76</v>
      </c>
      <c r="C69" s="14">
        <v>1</v>
      </c>
      <c r="D69" s="14" t="s">
        <v>9</v>
      </c>
      <c r="E69" s="140">
        <f>+ROUND((H69/1.19),0)</f>
        <v>13388</v>
      </c>
      <c r="F69" s="162">
        <f t="shared" si="18"/>
        <v>2544</v>
      </c>
      <c r="G69" s="202">
        <f>+ROUND(F69+E69,0)</f>
        <v>15932</v>
      </c>
      <c r="H69" s="165">
        <v>15932</v>
      </c>
      <c r="I69" s="168"/>
      <c r="J69" s="170">
        <f>+ROUND(15388.2352941176,0)</f>
        <v>15388</v>
      </c>
      <c r="K69" s="133">
        <f>+ROUND(J69*0.19,0)</f>
        <v>2924</v>
      </c>
      <c r="L69" s="135">
        <f t="shared" si="33"/>
        <v>18312</v>
      </c>
      <c r="M69" s="175"/>
      <c r="N69" s="177">
        <v>15000</v>
      </c>
      <c r="O69" s="128">
        <f t="shared" si="34"/>
        <v>2850</v>
      </c>
      <c r="P69" s="184">
        <f t="shared" si="35"/>
        <v>17850</v>
      </c>
      <c r="Q69" s="189">
        <f>+E69</f>
        <v>13388</v>
      </c>
      <c r="R69" s="144">
        <f t="shared" si="7"/>
        <v>2544</v>
      </c>
      <c r="S69" s="190">
        <f t="shared" si="8"/>
        <v>15932</v>
      </c>
      <c r="T69" s="28">
        <f t="shared" si="9"/>
        <v>15932</v>
      </c>
      <c r="U69" s="28">
        <f t="shared" si="10"/>
        <v>0</v>
      </c>
    </row>
    <row r="70" spans="1:21" s="194" customFormat="1" ht="15" customHeight="1" x14ac:dyDescent="0.2">
      <c r="A70" s="198">
        <v>7</v>
      </c>
      <c r="B70" s="308" t="s">
        <v>77</v>
      </c>
      <c r="C70" s="309"/>
      <c r="D70" s="309"/>
      <c r="E70" s="309"/>
      <c r="F70" s="309"/>
      <c r="G70" s="310"/>
      <c r="H70" s="199"/>
      <c r="I70" s="200"/>
      <c r="J70" s="257" t="str">
        <f>+B70</f>
        <v>OTROS</v>
      </c>
      <c r="K70" s="258"/>
      <c r="L70" s="259"/>
      <c r="M70" s="201"/>
      <c r="N70" s="257" t="str">
        <f>+B70</f>
        <v>OTROS</v>
      </c>
      <c r="O70" s="258"/>
      <c r="P70" s="260"/>
      <c r="Q70" s="311" t="str">
        <f>+N70</f>
        <v>OTROS</v>
      </c>
      <c r="R70" s="312"/>
      <c r="S70" s="313"/>
      <c r="T70" s="28">
        <f t="shared" ref="T70:T74" si="36">MIN(G70,L70,P70)</f>
        <v>0</v>
      </c>
      <c r="U70" s="28">
        <f t="shared" ref="U70:U77" si="37">+T70-S70</f>
        <v>0</v>
      </c>
    </row>
    <row r="71" spans="1:21" ht="39" customHeight="1" x14ac:dyDescent="0.2">
      <c r="A71" s="13">
        <v>7.1</v>
      </c>
      <c r="B71" s="2" t="s">
        <v>78</v>
      </c>
      <c r="C71" s="14">
        <v>1</v>
      </c>
      <c r="D71" s="14" t="s">
        <v>30</v>
      </c>
      <c r="E71" s="140">
        <v>779243</v>
      </c>
      <c r="F71" s="162">
        <f t="shared" si="18"/>
        <v>148056</v>
      </c>
      <c r="G71" s="202">
        <f t="shared" ref="G71:G74" si="38">+F71+E71</f>
        <v>927299</v>
      </c>
      <c r="H71" s="165"/>
      <c r="I71" s="168"/>
      <c r="J71" s="174">
        <v>980000</v>
      </c>
      <c r="K71" s="163">
        <f t="shared" ref="K71:K74" si="39">+J71*0.19</f>
        <v>186200</v>
      </c>
      <c r="L71" s="136">
        <f t="shared" ref="L71:L74" si="40">+K71+J71</f>
        <v>1166200</v>
      </c>
      <c r="M71" s="175"/>
      <c r="N71" s="181">
        <v>960000</v>
      </c>
      <c r="O71" s="164">
        <f t="shared" ref="O71:O73" si="41">+N71*0.19</f>
        <v>182400</v>
      </c>
      <c r="P71" s="186">
        <f t="shared" ref="P71:P74" si="42">+O71+N71</f>
        <v>1142400</v>
      </c>
      <c r="Q71" s="189">
        <f>+E71</f>
        <v>779243</v>
      </c>
      <c r="R71" s="144">
        <f t="shared" ref="R71:R74" si="43">ROUND(Q71*0.19,)</f>
        <v>148056</v>
      </c>
      <c r="S71" s="190">
        <f t="shared" ref="S71:S74" si="44">+R71+Q71</f>
        <v>927299</v>
      </c>
      <c r="T71" s="28">
        <f t="shared" si="36"/>
        <v>927299</v>
      </c>
      <c r="U71" s="28">
        <f t="shared" si="37"/>
        <v>0</v>
      </c>
    </row>
    <row r="72" spans="1:21" ht="45" customHeight="1" x14ac:dyDescent="0.2">
      <c r="A72" s="13">
        <v>7.2</v>
      </c>
      <c r="B72" s="2" t="s">
        <v>79</v>
      </c>
      <c r="C72" s="14">
        <v>1</v>
      </c>
      <c r="D72" s="14" t="s">
        <v>30</v>
      </c>
      <c r="E72" s="140">
        <v>486229</v>
      </c>
      <c r="F72" s="162">
        <f t="shared" si="18"/>
        <v>92384</v>
      </c>
      <c r="G72" s="202">
        <f t="shared" si="38"/>
        <v>578613</v>
      </c>
      <c r="H72" s="165"/>
      <c r="I72" s="168"/>
      <c r="J72" s="174">
        <v>510000</v>
      </c>
      <c r="K72" s="163">
        <f t="shared" si="39"/>
        <v>96900</v>
      </c>
      <c r="L72" s="136">
        <f t="shared" si="40"/>
        <v>606900</v>
      </c>
      <c r="M72" s="175"/>
      <c r="N72" s="181">
        <v>500000</v>
      </c>
      <c r="O72" s="164">
        <f t="shared" si="41"/>
        <v>95000</v>
      </c>
      <c r="P72" s="186">
        <f t="shared" si="42"/>
        <v>595000</v>
      </c>
      <c r="Q72" s="189">
        <f>+E72</f>
        <v>486229</v>
      </c>
      <c r="R72" s="144">
        <f t="shared" si="43"/>
        <v>92384</v>
      </c>
      <c r="S72" s="190">
        <f t="shared" si="44"/>
        <v>578613</v>
      </c>
      <c r="T72" s="28">
        <f t="shared" si="36"/>
        <v>578613</v>
      </c>
      <c r="U72" s="28">
        <f t="shared" si="37"/>
        <v>0</v>
      </c>
    </row>
    <row r="73" spans="1:21" ht="36.75" customHeight="1" x14ac:dyDescent="0.2">
      <c r="A73" s="13">
        <v>7.3</v>
      </c>
      <c r="B73" s="2" t="s">
        <v>80</v>
      </c>
      <c r="C73" s="14">
        <v>1</v>
      </c>
      <c r="D73" s="14" t="s">
        <v>81</v>
      </c>
      <c r="E73" s="140">
        <v>409455</v>
      </c>
      <c r="F73" s="162">
        <f t="shared" si="18"/>
        <v>77796</v>
      </c>
      <c r="G73" s="202">
        <f t="shared" si="38"/>
        <v>487251</v>
      </c>
      <c r="H73" s="165">
        <v>350000</v>
      </c>
      <c r="I73" s="168"/>
      <c r="J73" s="174">
        <v>450000</v>
      </c>
      <c r="K73" s="163">
        <f t="shared" si="39"/>
        <v>85500</v>
      </c>
      <c r="L73" s="136">
        <f t="shared" si="40"/>
        <v>535500</v>
      </c>
      <c r="M73" s="175"/>
      <c r="N73" s="181">
        <v>420000</v>
      </c>
      <c r="O73" s="164">
        <f t="shared" si="41"/>
        <v>79800</v>
      </c>
      <c r="P73" s="186">
        <f t="shared" si="42"/>
        <v>499800</v>
      </c>
      <c r="Q73" s="189">
        <f>+E73</f>
        <v>409455</v>
      </c>
      <c r="R73" s="144">
        <f t="shared" si="43"/>
        <v>77796</v>
      </c>
      <c r="S73" s="190">
        <f t="shared" si="44"/>
        <v>487251</v>
      </c>
      <c r="T73" s="28">
        <f t="shared" si="36"/>
        <v>487251</v>
      </c>
      <c r="U73" s="28">
        <f t="shared" si="37"/>
        <v>0</v>
      </c>
    </row>
    <row r="74" spans="1:21" ht="50.25" customHeight="1" x14ac:dyDescent="0.2">
      <c r="A74" s="13">
        <v>7.4</v>
      </c>
      <c r="B74" s="2" t="s">
        <v>106</v>
      </c>
      <c r="C74" s="14">
        <v>1</v>
      </c>
      <c r="D74" s="14" t="s">
        <v>81</v>
      </c>
      <c r="E74" s="140">
        <v>249900</v>
      </c>
      <c r="F74" s="162">
        <f t="shared" si="18"/>
        <v>47481</v>
      </c>
      <c r="G74" s="202">
        <f t="shared" si="38"/>
        <v>297381</v>
      </c>
      <c r="H74" s="165">
        <v>193673</v>
      </c>
      <c r="I74" s="168"/>
      <c r="J74" s="174">
        <v>300000</v>
      </c>
      <c r="K74" s="163">
        <f t="shared" si="39"/>
        <v>57000</v>
      </c>
      <c r="L74" s="136">
        <f t="shared" si="40"/>
        <v>357000</v>
      </c>
      <c r="M74" s="175"/>
      <c r="N74" s="181">
        <v>273974</v>
      </c>
      <c r="O74" s="164">
        <f>+ROUND(N74*0.19,0)</f>
        <v>52055</v>
      </c>
      <c r="P74" s="186">
        <f t="shared" si="42"/>
        <v>326029</v>
      </c>
      <c r="Q74" s="189">
        <f>+E74</f>
        <v>249900</v>
      </c>
      <c r="R74" s="144">
        <f t="shared" si="43"/>
        <v>47481</v>
      </c>
      <c r="S74" s="190">
        <f t="shared" si="44"/>
        <v>297381</v>
      </c>
      <c r="T74" s="28">
        <f t="shared" si="36"/>
        <v>297381</v>
      </c>
      <c r="U74" s="28">
        <f t="shared" si="37"/>
        <v>0</v>
      </c>
    </row>
    <row r="75" spans="1:21" ht="13.5" customHeight="1" x14ac:dyDescent="0.2">
      <c r="A75" s="272" t="str">
        <f>+J75</f>
        <v>VALOR TOTAL IVA INCLUIDO</v>
      </c>
      <c r="B75" s="273"/>
      <c r="C75" s="273"/>
      <c r="D75" s="273"/>
      <c r="E75" s="273"/>
      <c r="F75" s="274"/>
      <c r="G75" s="281">
        <f>SUM(G5:G74)</f>
        <v>11184867</v>
      </c>
      <c r="H75" s="165"/>
      <c r="I75" s="168"/>
      <c r="J75" s="296" t="str">
        <f>+Q75</f>
        <v>VALOR TOTAL IVA INCLUIDO</v>
      </c>
      <c r="K75" s="297"/>
      <c r="L75" s="305">
        <f>SUM(L5:L74)</f>
        <v>11938724</v>
      </c>
      <c r="M75" s="175"/>
      <c r="N75" s="296" t="str">
        <f>+J75</f>
        <v>VALOR TOTAL IVA INCLUIDO</v>
      </c>
      <c r="O75" s="297"/>
      <c r="P75" s="302">
        <f>SUM(P5:P74)</f>
        <v>12818138</v>
      </c>
      <c r="Q75" s="290" t="s">
        <v>105</v>
      </c>
      <c r="R75" s="291"/>
      <c r="S75" s="294">
        <f>+SUM(S5:S74)</f>
        <v>11051350</v>
      </c>
      <c r="U75" s="28">
        <f t="shared" si="37"/>
        <v>-11051350</v>
      </c>
    </row>
    <row r="76" spans="1:21" ht="11.25" hidden="1" customHeight="1" x14ac:dyDescent="0.2">
      <c r="A76" s="275"/>
      <c r="B76" s="276"/>
      <c r="C76" s="276"/>
      <c r="D76" s="276"/>
      <c r="E76" s="276"/>
      <c r="F76" s="277"/>
      <c r="G76" s="255"/>
      <c r="H76" s="165"/>
      <c r="I76" s="168"/>
      <c r="J76" s="298"/>
      <c r="K76" s="299"/>
      <c r="L76" s="306"/>
      <c r="M76" s="175"/>
      <c r="N76" s="298"/>
      <c r="O76" s="299"/>
      <c r="P76" s="303"/>
      <c r="Q76" s="290"/>
      <c r="R76" s="291"/>
      <c r="S76" s="294"/>
      <c r="U76" s="28">
        <f t="shared" si="37"/>
        <v>0</v>
      </c>
    </row>
    <row r="77" spans="1:21" ht="12" thickBot="1" x14ac:dyDescent="0.25">
      <c r="A77" s="278"/>
      <c r="B77" s="279"/>
      <c r="C77" s="279"/>
      <c r="D77" s="279"/>
      <c r="E77" s="279"/>
      <c r="F77" s="280"/>
      <c r="G77" s="256"/>
      <c r="H77" s="165"/>
      <c r="I77" s="168"/>
      <c r="J77" s="300"/>
      <c r="K77" s="301"/>
      <c r="L77" s="307"/>
      <c r="M77" s="175"/>
      <c r="N77" s="300"/>
      <c r="O77" s="301"/>
      <c r="P77" s="304"/>
      <c r="Q77" s="292"/>
      <c r="R77" s="293"/>
      <c r="S77" s="295"/>
      <c r="U77" s="28">
        <f t="shared" si="37"/>
        <v>0</v>
      </c>
    </row>
    <row r="78" spans="1:21" s="146" customFormat="1" x14ac:dyDescent="0.2">
      <c r="A78" s="145"/>
      <c r="E78" s="147"/>
      <c r="F78" s="147"/>
      <c r="G78" s="147"/>
      <c r="H78" s="148"/>
      <c r="J78" s="149"/>
      <c r="K78" s="149"/>
      <c r="L78" s="149"/>
      <c r="N78" s="150"/>
      <c r="O78" s="150"/>
      <c r="P78" s="150"/>
      <c r="Q78" s="151"/>
      <c r="R78" s="151"/>
      <c r="S78" s="151"/>
    </row>
    <row r="79" spans="1:21" s="146" customFormat="1" x14ac:dyDescent="0.2">
      <c r="A79" s="145"/>
      <c r="E79" s="254">
        <f>SUM(E5:E74)</f>
        <v>9399053</v>
      </c>
      <c r="F79" s="147"/>
      <c r="G79" s="147"/>
      <c r="H79" s="148"/>
      <c r="J79" s="254">
        <f>SUM(J5:J74)</f>
        <v>10032545</v>
      </c>
      <c r="K79" s="149"/>
      <c r="L79" s="149"/>
      <c r="N79" s="150"/>
      <c r="O79" s="150"/>
      <c r="P79" s="150"/>
      <c r="Q79" s="151"/>
      <c r="R79" s="151"/>
      <c r="S79" s="151"/>
    </row>
    <row r="80" spans="1:21" s="146" customFormat="1" x14ac:dyDescent="0.2">
      <c r="A80" s="145"/>
      <c r="E80" s="255"/>
      <c r="F80" s="147"/>
      <c r="G80" s="147"/>
      <c r="H80" s="148"/>
      <c r="J80" s="255"/>
      <c r="K80" s="149"/>
      <c r="L80" s="149"/>
      <c r="N80" s="254">
        <f>SUM(N5:N74)</f>
        <v>10771546</v>
      </c>
      <c r="O80" s="150"/>
      <c r="P80" s="150"/>
      <c r="Q80" s="254">
        <f>SUM(Q5:Q74)</f>
        <v>9286854</v>
      </c>
      <c r="R80" s="151"/>
      <c r="S80" s="151"/>
    </row>
    <row r="81" spans="1:19" s="146" customFormat="1" ht="12" thickBot="1" x14ac:dyDescent="0.25">
      <c r="A81" s="145"/>
      <c r="E81" s="256"/>
      <c r="F81" s="147"/>
      <c r="G81" s="147"/>
      <c r="H81" s="148"/>
      <c r="J81" s="256"/>
      <c r="K81" s="149"/>
      <c r="L81" s="149"/>
      <c r="N81" s="255"/>
      <c r="O81" s="150"/>
      <c r="P81" s="150"/>
      <c r="Q81" s="255"/>
      <c r="R81" s="151"/>
      <c r="S81" s="151"/>
    </row>
    <row r="82" spans="1:19" s="146" customFormat="1" ht="12" thickBot="1" x14ac:dyDescent="0.25">
      <c r="A82" s="145"/>
      <c r="E82" s="147"/>
      <c r="F82" s="147"/>
      <c r="G82" s="206">
        <f>+G75-S75</f>
        <v>133517</v>
      </c>
      <c r="H82" s="148"/>
      <c r="J82" s="149"/>
      <c r="K82" s="149"/>
      <c r="L82" s="149"/>
      <c r="N82" s="256"/>
      <c r="O82" s="150"/>
      <c r="P82" s="150"/>
      <c r="Q82" s="256"/>
      <c r="R82" s="151"/>
      <c r="S82" s="151"/>
    </row>
    <row r="83" spans="1:19" s="146" customFormat="1" x14ac:dyDescent="0.2">
      <c r="A83" s="145"/>
      <c r="E83" s="147"/>
      <c r="F83" s="147"/>
      <c r="G83" s="147"/>
      <c r="H83" s="148"/>
      <c r="J83" s="149"/>
      <c r="K83" s="149"/>
      <c r="L83" s="149"/>
      <c r="N83" s="150"/>
      <c r="O83" s="150"/>
      <c r="P83" s="150"/>
      <c r="Q83" s="151"/>
      <c r="R83" s="151"/>
      <c r="S83" s="151"/>
    </row>
    <row r="84" spans="1:19" s="146" customFormat="1" x14ac:dyDescent="0.2">
      <c r="A84" s="145"/>
      <c r="E84" s="147"/>
      <c r="F84" s="147"/>
      <c r="G84" s="147"/>
      <c r="H84" s="148"/>
      <c r="J84" s="149"/>
      <c r="K84" s="149"/>
      <c r="L84" s="149"/>
      <c r="N84" s="150"/>
      <c r="O84" s="150"/>
      <c r="P84" s="150"/>
      <c r="Q84" s="151"/>
      <c r="R84" s="151"/>
      <c r="S84" s="151"/>
    </row>
    <row r="85" spans="1:19" s="146" customFormat="1" x14ac:dyDescent="0.2">
      <c r="A85" s="145"/>
      <c r="E85" s="147"/>
      <c r="F85" s="147"/>
      <c r="G85" s="147"/>
      <c r="H85" s="148"/>
      <c r="J85" s="149"/>
      <c r="K85" s="149"/>
      <c r="L85" s="149"/>
      <c r="N85" s="150"/>
      <c r="O85" s="150"/>
      <c r="P85" s="150"/>
      <c r="Q85" s="151"/>
      <c r="R85" s="151"/>
      <c r="S85" s="151"/>
    </row>
    <row r="86" spans="1:19" s="146" customFormat="1" x14ac:dyDescent="0.2">
      <c r="A86" s="145"/>
      <c r="E86" s="147"/>
      <c r="F86" s="147"/>
      <c r="G86" s="147"/>
      <c r="H86" s="148"/>
      <c r="J86" s="149"/>
      <c r="K86" s="149"/>
      <c r="L86" s="149"/>
      <c r="N86" s="150"/>
      <c r="O86" s="150"/>
      <c r="P86" s="150"/>
      <c r="Q86" s="151"/>
      <c r="R86" s="151"/>
      <c r="S86" s="151"/>
    </row>
    <row r="87" spans="1:19" s="146" customFormat="1" x14ac:dyDescent="0.2">
      <c r="A87" s="145"/>
      <c r="E87" s="147"/>
      <c r="F87" s="147"/>
      <c r="G87" s="147"/>
      <c r="H87" s="148"/>
      <c r="J87" s="149"/>
      <c r="K87" s="149"/>
      <c r="L87" s="149"/>
      <c r="N87" s="150"/>
      <c r="O87" s="150"/>
      <c r="P87" s="150"/>
      <c r="Q87" s="151"/>
      <c r="R87" s="151"/>
      <c r="S87" s="151"/>
    </row>
    <row r="88" spans="1:19" s="146" customFormat="1" x14ac:dyDescent="0.2">
      <c r="A88" s="145"/>
      <c r="E88" s="147"/>
      <c r="F88" s="147"/>
      <c r="G88" s="147"/>
      <c r="H88" s="148"/>
      <c r="J88" s="149"/>
      <c r="K88" s="149"/>
      <c r="L88" s="149"/>
      <c r="N88" s="150"/>
      <c r="O88" s="150"/>
      <c r="P88" s="150"/>
      <c r="Q88" s="151"/>
      <c r="R88" s="151"/>
      <c r="S88" s="151"/>
    </row>
    <row r="89" spans="1:19" s="146" customFormat="1" x14ac:dyDescent="0.2">
      <c r="A89" s="145"/>
      <c r="E89" s="147"/>
      <c r="F89" s="147"/>
      <c r="G89" s="147"/>
      <c r="H89" s="148"/>
      <c r="J89" s="149"/>
      <c r="K89" s="149"/>
      <c r="L89" s="149"/>
      <c r="N89" s="150"/>
      <c r="O89" s="150"/>
      <c r="P89" s="150"/>
      <c r="Q89" s="151"/>
      <c r="R89" s="151"/>
      <c r="S89" s="151"/>
    </row>
    <row r="90" spans="1:19" s="146" customFormat="1" x14ac:dyDescent="0.2">
      <c r="A90" s="145"/>
      <c r="E90" s="147"/>
      <c r="F90" s="147"/>
      <c r="G90" s="147"/>
      <c r="H90" s="148"/>
      <c r="J90" s="149"/>
      <c r="K90" s="149"/>
      <c r="L90" s="149"/>
      <c r="N90" s="150"/>
      <c r="O90" s="150"/>
      <c r="P90" s="150"/>
      <c r="Q90" s="151"/>
      <c r="R90" s="151"/>
      <c r="S90" s="151"/>
    </row>
    <row r="91" spans="1:19" s="146" customFormat="1" x14ac:dyDescent="0.2">
      <c r="A91" s="145"/>
      <c r="E91" s="147"/>
      <c r="F91" s="147"/>
      <c r="G91" s="147"/>
      <c r="H91" s="148"/>
      <c r="J91" s="149"/>
      <c r="K91" s="149"/>
      <c r="L91" s="149"/>
      <c r="N91" s="150"/>
      <c r="O91" s="150"/>
      <c r="P91" s="150"/>
      <c r="Q91" s="151"/>
      <c r="R91" s="151"/>
      <c r="S91" s="151"/>
    </row>
    <row r="92" spans="1:19" s="146" customFormat="1" x14ac:dyDescent="0.2">
      <c r="A92" s="145"/>
      <c r="E92" s="147"/>
      <c r="F92" s="147"/>
      <c r="G92" s="147"/>
      <c r="H92" s="148"/>
      <c r="J92" s="149"/>
      <c r="K92" s="149"/>
      <c r="L92" s="149"/>
      <c r="N92" s="150"/>
      <c r="O92" s="150"/>
      <c r="P92" s="150"/>
      <c r="Q92" s="151"/>
      <c r="R92" s="151"/>
      <c r="S92" s="151"/>
    </row>
    <row r="93" spans="1:19" s="146" customFormat="1" x14ac:dyDescent="0.2">
      <c r="A93" s="145"/>
      <c r="E93" s="147"/>
      <c r="F93" s="147"/>
      <c r="G93" s="147"/>
      <c r="H93" s="148"/>
      <c r="J93" s="149"/>
      <c r="K93" s="149"/>
      <c r="L93" s="149"/>
      <c r="N93" s="150"/>
      <c r="O93" s="150"/>
      <c r="P93" s="150"/>
      <c r="Q93" s="151"/>
      <c r="R93" s="151"/>
      <c r="S93" s="151"/>
    </row>
    <row r="94" spans="1:19" s="146" customFormat="1" x14ac:dyDescent="0.2">
      <c r="A94" s="145"/>
      <c r="E94" s="147"/>
      <c r="F94" s="147"/>
      <c r="G94" s="147"/>
      <c r="H94" s="148"/>
      <c r="J94" s="149"/>
      <c r="K94" s="149"/>
      <c r="L94" s="149"/>
      <c r="N94" s="150"/>
      <c r="O94" s="150"/>
      <c r="P94" s="150"/>
      <c r="Q94" s="151"/>
      <c r="R94" s="151"/>
      <c r="S94" s="151"/>
    </row>
    <row r="95" spans="1:19" s="146" customFormat="1" x14ac:dyDescent="0.2">
      <c r="A95" s="145"/>
      <c r="E95" s="147"/>
      <c r="F95" s="147"/>
      <c r="G95" s="147"/>
      <c r="H95" s="148"/>
      <c r="J95" s="149"/>
      <c r="K95" s="149"/>
      <c r="L95" s="149"/>
      <c r="N95" s="150"/>
      <c r="O95" s="150"/>
      <c r="P95" s="150"/>
      <c r="Q95" s="151"/>
      <c r="R95" s="151"/>
      <c r="S95" s="151"/>
    </row>
    <row r="96" spans="1:19" s="146" customFormat="1" x14ac:dyDescent="0.2">
      <c r="A96" s="145"/>
      <c r="E96" s="147"/>
      <c r="F96" s="147"/>
      <c r="G96" s="147"/>
      <c r="H96" s="148"/>
      <c r="J96" s="149"/>
      <c r="K96" s="149"/>
      <c r="L96" s="149"/>
      <c r="N96" s="150"/>
      <c r="O96" s="150"/>
      <c r="P96" s="150"/>
      <c r="Q96" s="151"/>
      <c r="R96" s="151"/>
      <c r="S96" s="151"/>
    </row>
    <row r="97" spans="1:19" s="146" customFormat="1" x14ac:dyDescent="0.2">
      <c r="A97" s="145"/>
      <c r="E97" s="147"/>
      <c r="F97" s="147"/>
      <c r="G97" s="147"/>
      <c r="H97" s="148"/>
      <c r="J97" s="149"/>
      <c r="K97" s="149"/>
      <c r="L97" s="149"/>
      <c r="N97" s="150"/>
      <c r="O97" s="150"/>
      <c r="P97" s="150"/>
      <c r="Q97" s="151"/>
      <c r="R97" s="151"/>
      <c r="S97" s="151"/>
    </row>
    <row r="98" spans="1:19" s="146" customFormat="1" x14ac:dyDescent="0.2">
      <c r="A98" s="145"/>
      <c r="E98" s="147"/>
      <c r="F98" s="147"/>
      <c r="G98" s="147"/>
      <c r="H98" s="148"/>
      <c r="J98" s="149"/>
      <c r="K98" s="149"/>
      <c r="L98" s="149"/>
      <c r="N98" s="150"/>
      <c r="O98" s="150"/>
      <c r="P98" s="150"/>
      <c r="Q98" s="151"/>
      <c r="R98" s="151"/>
      <c r="S98" s="151"/>
    </row>
    <row r="99" spans="1:19" s="146" customFormat="1" x14ac:dyDescent="0.2">
      <c r="A99" s="145"/>
      <c r="E99" s="147"/>
      <c r="F99" s="147"/>
      <c r="G99" s="147"/>
      <c r="H99" s="148"/>
      <c r="J99" s="149"/>
      <c r="K99" s="149"/>
      <c r="L99" s="149"/>
      <c r="N99" s="150"/>
      <c r="O99" s="150"/>
      <c r="P99" s="150"/>
      <c r="Q99" s="151"/>
      <c r="R99" s="151"/>
      <c r="S99" s="151"/>
    </row>
    <row r="100" spans="1:19" s="146" customFormat="1" x14ac:dyDescent="0.2">
      <c r="A100" s="145"/>
      <c r="E100" s="147"/>
      <c r="F100" s="147"/>
      <c r="G100" s="147"/>
      <c r="H100" s="148"/>
      <c r="J100" s="149"/>
      <c r="K100" s="149"/>
      <c r="L100" s="149"/>
      <c r="N100" s="150"/>
      <c r="O100" s="150"/>
      <c r="P100" s="150"/>
      <c r="Q100" s="151"/>
      <c r="R100" s="151"/>
      <c r="S100" s="151"/>
    </row>
    <row r="101" spans="1:19" s="146" customFormat="1" x14ac:dyDescent="0.2">
      <c r="A101" s="145"/>
      <c r="E101" s="147"/>
      <c r="F101" s="147"/>
      <c r="G101" s="147"/>
      <c r="H101" s="148"/>
      <c r="J101" s="149"/>
      <c r="K101" s="149"/>
      <c r="L101" s="149"/>
      <c r="N101" s="150"/>
      <c r="O101" s="150"/>
      <c r="P101" s="150"/>
      <c r="Q101" s="151"/>
      <c r="R101" s="151"/>
      <c r="S101" s="151"/>
    </row>
    <row r="102" spans="1:19" s="146" customFormat="1" x14ac:dyDescent="0.2">
      <c r="A102" s="145"/>
      <c r="E102" s="147"/>
      <c r="F102" s="147"/>
      <c r="G102" s="147"/>
      <c r="H102" s="148"/>
      <c r="J102" s="149"/>
      <c r="K102" s="149"/>
      <c r="L102" s="149"/>
      <c r="N102" s="150"/>
      <c r="O102" s="150"/>
      <c r="P102" s="150"/>
      <c r="Q102" s="151"/>
      <c r="R102" s="151"/>
      <c r="S102" s="151"/>
    </row>
    <row r="103" spans="1:19" s="146" customFormat="1" x14ac:dyDescent="0.2">
      <c r="A103" s="145"/>
      <c r="E103" s="147"/>
      <c r="F103" s="147"/>
      <c r="G103" s="147"/>
      <c r="H103" s="148"/>
      <c r="J103" s="149"/>
      <c r="K103" s="149"/>
      <c r="L103" s="149"/>
      <c r="N103" s="150"/>
      <c r="O103" s="150"/>
      <c r="P103" s="150"/>
      <c r="Q103" s="151"/>
      <c r="R103" s="151"/>
      <c r="S103" s="151"/>
    </row>
    <row r="104" spans="1:19" s="146" customFormat="1" x14ac:dyDescent="0.2">
      <c r="A104" s="145"/>
      <c r="E104" s="147"/>
      <c r="F104" s="147"/>
      <c r="G104" s="147"/>
      <c r="H104" s="148"/>
      <c r="J104" s="149"/>
      <c r="K104" s="149"/>
      <c r="L104" s="149"/>
      <c r="N104" s="150"/>
      <c r="O104" s="150"/>
      <c r="P104" s="150"/>
      <c r="Q104" s="151"/>
      <c r="R104" s="151"/>
      <c r="S104" s="151"/>
    </row>
    <row r="105" spans="1:19" s="146" customFormat="1" x14ac:dyDescent="0.2">
      <c r="A105" s="145"/>
      <c r="E105" s="147"/>
      <c r="F105" s="147"/>
      <c r="G105" s="147"/>
      <c r="H105" s="148"/>
      <c r="J105" s="149"/>
      <c r="K105" s="149"/>
      <c r="L105" s="149"/>
      <c r="N105" s="150"/>
      <c r="O105" s="150"/>
      <c r="P105" s="150"/>
      <c r="Q105" s="151"/>
      <c r="R105" s="151"/>
      <c r="S105" s="151"/>
    </row>
    <row r="106" spans="1:19" s="146" customFormat="1" x14ac:dyDescent="0.2">
      <c r="A106" s="145"/>
      <c r="E106" s="147"/>
      <c r="F106" s="147"/>
      <c r="G106" s="147"/>
      <c r="H106" s="148"/>
      <c r="J106" s="149"/>
      <c r="K106" s="149"/>
      <c r="L106" s="149"/>
      <c r="N106" s="150"/>
      <c r="O106" s="150"/>
      <c r="P106" s="150"/>
      <c r="Q106" s="151"/>
      <c r="R106" s="151"/>
      <c r="S106" s="151"/>
    </row>
    <row r="107" spans="1:19" s="146" customFormat="1" x14ac:dyDescent="0.2">
      <c r="A107" s="145"/>
      <c r="E107" s="147"/>
      <c r="F107" s="147"/>
      <c r="G107" s="147"/>
      <c r="H107" s="148"/>
      <c r="J107" s="149"/>
      <c r="K107" s="149"/>
      <c r="L107" s="149"/>
      <c r="N107" s="150"/>
      <c r="O107" s="150"/>
      <c r="P107" s="150"/>
      <c r="Q107" s="151"/>
      <c r="R107" s="151"/>
      <c r="S107" s="151"/>
    </row>
    <row r="108" spans="1:19" s="146" customFormat="1" x14ac:dyDescent="0.2">
      <c r="A108" s="145"/>
      <c r="E108" s="147"/>
      <c r="F108" s="147"/>
      <c r="G108" s="147"/>
      <c r="H108" s="148"/>
      <c r="J108" s="149"/>
      <c r="K108" s="149"/>
      <c r="L108" s="149"/>
      <c r="N108" s="150"/>
      <c r="O108" s="150"/>
      <c r="P108" s="150"/>
      <c r="Q108" s="151"/>
      <c r="R108" s="151"/>
      <c r="S108" s="151"/>
    </row>
  </sheetData>
  <mergeCells count="44">
    <mergeCell ref="B56:G56"/>
    <mergeCell ref="B64:G64"/>
    <mergeCell ref="B67:G67"/>
    <mergeCell ref="B70:G70"/>
    <mergeCell ref="Q56:S56"/>
    <mergeCell ref="Q64:S64"/>
    <mergeCell ref="Q67:S67"/>
    <mergeCell ref="Q70:S70"/>
    <mergeCell ref="J56:L56"/>
    <mergeCell ref="N56:P56"/>
    <mergeCell ref="J64:L64"/>
    <mergeCell ref="N64:P64"/>
    <mergeCell ref="Q75:R77"/>
    <mergeCell ref="S75:S77"/>
    <mergeCell ref="J75:K77"/>
    <mergeCell ref="N75:O77"/>
    <mergeCell ref="P75:P77"/>
    <mergeCell ref="L75:L77"/>
    <mergeCell ref="Q1:S1"/>
    <mergeCell ref="Q2:S2"/>
    <mergeCell ref="Q4:S4"/>
    <mergeCell ref="Q29:S29"/>
    <mergeCell ref="Q41:S41"/>
    <mergeCell ref="G75:G77"/>
    <mergeCell ref="J67:L67"/>
    <mergeCell ref="N67:P67"/>
    <mergeCell ref="J70:L70"/>
    <mergeCell ref="N70:P70"/>
    <mergeCell ref="A1:P1"/>
    <mergeCell ref="E79:E81"/>
    <mergeCell ref="J79:J81"/>
    <mergeCell ref="N80:N82"/>
    <mergeCell ref="Q80:Q82"/>
    <mergeCell ref="J29:L29"/>
    <mergeCell ref="N29:P29"/>
    <mergeCell ref="J41:L41"/>
    <mergeCell ref="N41:P41"/>
    <mergeCell ref="E2:G2"/>
    <mergeCell ref="J2:L2"/>
    <mergeCell ref="N2:P2"/>
    <mergeCell ref="B4:G4"/>
    <mergeCell ref="J4:L4"/>
    <mergeCell ref="N4:P4"/>
    <mergeCell ref="A75:F77"/>
  </mergeCells>
  <pageMargins left="0.7" right="0.7" top="0.75" bottom="0.75" header="0.3" footer="0.3"/>
  <pageSetup paperSize="9" scale="33" orientation="portrait" r:id="rId1"/>
  <rowBreaks count="1" manualBreakCount="1">
    <brk id="63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AB1D6-FF2A-4884-A07B-D3C25FF0E052}">
  <dimension ref="A1:S108"/>
  <sheetViews>
    <sheetView view="pageBreakPreview" topLeftCell="A71" zoomScaleNormal="100" zoomScaleSheetLayoutView="100" workbookViewId="0">
      <selection activeCell="S75" sqref="S75:S77"/>
    </sheetView>
  </sheetViews>
  <sheetFormatPr baseColWidth="10" defaultColWidth="11.42578125" defaultRowHeight="11.25" x14ac:dyDescent="0.2"/>
  <cols>
    <col min="1" max="1" width="8.28515625" style="6" customWidth="1"/>
    <col min="2" max="2" width="34.42578125" style="5" customWidth="1"/>
    <col min="3" max="3" width="11.28515625" style="5" customWidth="1"/>
    <col min="4" max="4" width="11" style="5" customWidth="1"/>
    <col min="5" max="6" width="12.28515625" style="143" hidden="1" customWidth="1"/>
    <col min="7" max="7" width="12" style="143" hidden="1" customWidth="1"/>
    <col min="8" max="8" width="12" style="7" hidden="1" customWidth="1"/>
    <col min="9" max="9" width="12" style="5" hidden="1" customWidth="1"/>
    <col min="10" max="10" width="12" style="137" hidden="1" customWidth="1"/>
    <col min="11" max="12" width="12.28515625" style="137" hidden="1" customWidth="1"/>
    <col min="13" max="13" width="12.28515625" style="5" hidden="1" customWidth="1"/>
    <col min="14" max="15" width="12.28515625" style="130" hidden="1" customWidth="1"/>
    <col min="16" max="16" width="14.5703125" style="130" hidden="1" customWidth="1"/>
    <col min="17" max="17" width="14.5703125" style="125" customWidth="1"/>
    <col min="18" max="18" width="11.42578125" style="125"/>
    <col min="19" max="19" width="12.5703125" style="125" bestFit="1" customWidth="1"/>
    <col min="20" max="16384" width="11.42578125" style="5"/>
  </cols>
  <sheetData>
    <row r="1" spans="1:19" ht="30" customHeight="1" thickBot="1" x14ac:dyDescent="0.3">
      <c r="A1" s="314" t="s">
        <v>101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5"/>
    </row>
    <row r="2" spans="1:19" ht="15.75" customHeight="1" thickBot="1" x14ac:dyDescent="0.25">
      <c r="A2" s="166"/>
      <c r="B2" s="167"/>
      <c r="C2" s="167"/>
      <c r="D2" s="167"/>
      <c r="E2" s="261" t="s">
        <v>84</v>
      </c>
      <c r="F2" s="262"/>
      <c r="G2" s="263"/>
      <c r="J2" s="264" t="s">
        <v>85</v>
      </c>
      <c r="K2" s="265"/>
      <c r="L2" s="266"/>
      <c r="N2" s="267" t="s">
        <v>86</v>
      </c>
      <c r="O2" s="268"/>
      <c r="P2" s="268"/>
      <c r="Q2" s="285" t="s">
        <v>88</v>
      </c>
      <c r="R2" s="216"/>
      <c r="S2" s="286"/>
    </row>
    <row r="3" spans="1:19" ht="34.5" thickBot="1" x14ac:dyDescent="0.25">
      <c r="A3" s="9" t="s">
        <v>0</v>
      </c>
      <c r="B3" s="1" t="s">
        <v>1</v>
      </c>
      <c r="C3" s="1" t="s">
        <v>2</v>
      </c>
      <c r="D3" s="1" t="s">
        <v>3</v>
      </c>
      <c r="E3" s="138" t="s">
        <v>4</v>
      </c>
      <c r="F3" s="138" t="s">
        <v>5</v>
      </c>
      <c r="G3" s="139" t="s">
        <v>6</v>
      </c>
      <c r="J3" s="169" t="str">
        <f>+E3</f>
        <v>VALOR UNITARIO SIN IVA</v>
      </c>
      <c r="K3" s="131" t="str">
        <f>+F3</f>
        <v xml:space="preserve"> IVA 19% </v>
      </c>
      <c r="L3" s="132" t="str">
        <f>+G3</f>
        <v>VALOR TOTAL</v>
      </c>
      <c r="N3" s="176" t="str">
        <f>+J3</f>
        <v>VALOR UNITARIO SIN IVA</v>
      </c>
      <c r="O3" s="127" t="str">
        <f>+J3</f>
        <v>VALOR UNITARIO SIN IVA</v>
      </c>
      <c r="P3" s="182" t="str">
        <f>+K3</f>
        <v xml:space="preserve"> IVA 19% </v>
      </c>
      <c r="Q3" s="187" t="str">
        <f>+J3</f>
        <v>VALOR UNITARIO SIN IVA</v>
      </c>
      <c r="R3" s="126" t="s">
        <v>102</v>
      </c>
      <c r="S3" s="188" t="s">
        <v>103</v>
      </c>
    </row>
    <row r="4" spans="1:19" x14ac:dyDescent="0.2">
      <c r="A4" s="12"/>
      <c r="B4" s="269" t="s">
        <v>7</v>
      </c>
      <c r="C4" s="270"/>
      <c r="D4" s="270"/>
      <c r="E4" s="270"/>
      <c r="F4" s="270"/>
      <c r="G4" s="271"/>
      <c r="H4" s="193"/>
      <c r="I4" s="194"/>
      <c r="J4" s="257" t="str">
        <f>+B4</f>
        <v>ENSAYOS EN SUELO</v>
      </c>
      <c r="K4" s="258"/>
      <c r="L4" s="259"/>
      <c r="M4" s="194"/>
      <c r="N4" s="257" t="str">
        <f>+J4</f>
        <v>ENSAYOS EN SUELO</v>
      </c>
      <c r="O4" s="258"/>
      <c r="P4" s="260"/>
      <c r="Q4" s="257" t="str">
        <f>+N4</f>
        <v>ENSAYOS EN SUELO</v>
      </c>
      <c r="R4" s="258"/>
      <c r="S4" s="259"/>
    </row>
    <row r="5" spans="1:19" x14ac:dyDescent="0.2">
      <c r="A5" s="13">
        <v>1</v>
      </c>
      <c r="B5" s="2" t="s">
        <v>8</v>
      </c>
      <c r="C5" s="14">
        <v>1</v>
      </c>
      <c r="D5" s="15" t="s">
        <v>9</v>
      </c>
      <c r="E5" s="140">
        <f>+ROUND((H5/1.19),0)</f>
        <v>8697</v>
      </c>
      <c r="F5" s="141">
        <f>+ROUND(E5*0.19,0)</f>
        <v>1652</v>
      </c>
      <c r="G5" s="142">
        <f>+F5+E5</f>
        <v>10349</v>
      </c>
      <c r="H5" s="7">
        <v>10350</v>
      </c>
      <c r="J5" s="170">
        <v>12000</v>
      </c>
      <c r="K5" s="133">
        <f>ROUND(+J5*0.19,0)</f>
        <v>2280</v>
      </c>
      <c r="L5" s="171">
        <f>+K5+J5</f>
        <v>14280</v>
      </c>
      <c r="N5" s="177">
        <v>12500</v>
      </c>
      <c r="O5" s="128">
        <f>+ROUND(N5*0.19,0)</f>
        <v>2375</v>
      </c>
      <c r="P5" s="183">
        <f>+O5+N5</f>
        <v>14875</v>
      </c>
      <c r="Q5" s="189">
        <f>+E5</f>
        <v>8697</v>
      </c>
      <c r="R5" s="144">
        <f>ROUND(Q5*0.19,)</f>
        <v>1652</v>
      </c>
      <c r="S5" s="190">
        <f>+R5+Q5</f>
        <v>10349</v>
      </c>
    </row>
    <row r="6" spans="1:19" ht="24.75" customHeight="1" x14ac:dyDescent="0.2">
      <c r="A6" s="13">
        <f>+A5+1</f>
        <v>2</v>
      </c>
      <c r="B6" s="2" t="s">
        <v>10</v>
      </c>
      <c r="C6" s="14">
        <v>1</v>
      </c>
      <c r="D6" s="15" t="s">
        <v>9</v>
      </c>
      <c r="E6" s="140">
        <f t="shared" ref="E6:E65" si="0">+ROUND((H6/1.19),0)</f>
        <v>36881</v>
      </c>
      <c r="F6" s="141">
        <f t="shared" ref="F6:F28" si="1">+ROUND(E6*0.19,0)</f>
        <v>7007</v>
      </c>
      <c r="G6" s="142">
        <f t="shared" ref="G6:G66" si="2">+F6+E6</f>
        <v>43888</v>
      </c>
      <c r="H6" s="7">
        <v>43888</v>
      </c>
      <c r="J6" s="170">
        <v>45000</v>
      </c>
      <c r="K6" s="133">
        <f t="shared" ref="K6:K28" si="3">ROUND(+J6*0.19,0)</f>
        <v>8550</v>
      </c>
      <c r="L6" s="171">
        <f t="shared" ref="L6:L55" si="4">+K6+J6</f>
        <v>53550</v>
      </c>
      <c r="N6" s="177">
        <v>45000</v>
      </c>
      <c r="O6" s="128">
        <f t="shared" ref="O6:O28" si="5">+ROUND(N6*0.19,0)</f>
        <v>8550</v>
      </c>
      <c r="P6" s="183">
        <f t="shared" ref="P6:P28" si="6">+O6+N6</f>
        <v>53550</v>
      </c>
      <c r="Q6" s="189">
        <f>+E6</f>
        <v>36881</v>
      </c>
      <c r="R6" s="144">
        <f t="shared" ref="R6:R69" si="7">ROUND(Q6*0.19,)</f>
        <v>7007</v>
      </c>
      <c r="S6" s="190">
        <f t="shared" ref="S6:S69" si="8">+R6+Q6</f>
        <v>43888</v>
      </c>
    </row>
    <row r="7" spans="1:19" ht="33" customHeight="1" x14ac:dyDescent="0.2">
      <c r="A7" s="13">
        <f t="shared" ref="A7:A28" si="9">+A6+1</f>
        <v>3</v>
      </c>
      <c r="B7" s="2" t="s">
        <v>11</v>
      </c>
      <c r="C7" s="14">
        <v>1</v>
      </c>
      <c r="D7" s="15" t="s">
        <v>9</v>
      </c>
      <c r="E7" s="140">
        <f t="shared" si="0"/>
        <v>40031</v>
      </c>
      <c r="F7" s="141">
        <f t="shared" si="1"/>
        <v>7606</v>
      </c>
      <c r="G7" s="142">
        <f t="shared" si="2"/>
        <v>47637</v>
      </c>
      <c r="H7" s="7">
        <v>47637</v>
      </c>
      <c r="J7" s="170">
        <v>40000</v>
      </c>
      <c r="K7" s="133">
        <f t="shared" si="3"/>
        <v>7600</v>
      </c>
      <c r="L7" s="171">
        <f t="shared" si="4"/>
        <v>47600</v>
      </c>
      <c r="N7" s="177">
        <v>40031</v>
      </c>
      <c r="O7" s="128">
        <f t="shared" si="5"/>
        <v>7606</v>
      </c>
      <c r="P7" s="183">
        <f t="shared" si="6"/>
        <v>47637</v>
      </c>
      <c r="Q7" s="189">
        <f>+J7</f>
        <v>40000</v>
      </c>
      <c r="R7" s="144">
        <f t="shared" si="7"/>
        <v>7600</v>
      </c>
      <c r="S7" s="190">
        <f t="shared" si="8"/>
        <v>47600</v>
      </c>
    </row>
    <row r="8" spans="1:19" ht="24" customHeight="1" x14ac:dyDescent="0.2">
      <c r="A8" s="13">
        <f t="shared" si="9"/>
        <v>4</v>
      </c>
      <c r="B8" s="2" t="s">
        <v>12</v>
      </c>
      <c r="C8" s="14">
        <v>1</v>
      </c>
      <c r="D8" s="15" t="s">
        <v>9</v>
      </c>
      <c r="E8" s="140">
        <f t="shared" si="0"/>
        <v>35385</v>
      </c>
      <c r="F8" s="141">
        <f t="shared" si="1"/>
        <v>6723</v>
      </c>
      <c r="G8" s="142">
        <f t="shared" si="2"/>
        <v>42108</v>
      </c>
      <c r="H8" s="7">
        <v>42108</v>
      </c>
      <c r="J8" s="170">
        <v>38000</v>
      </c>
      <c r="K8" s="133">
        <f t="shared" si="3"/>
        <v>7220</v>
      </c>
      <c r="L8" s="171">
        <f t="shared" si="4"/>
        <v>45220</v>
      </c>
      <c r="N8" s="177">
        <v>40000</v>
      </c>
      <c r="O8" s="128">
        <f t="shared" si="5"/>
        <v>7600</v>
      </c>
      <c r="P8" s="183">
        <f t="shared" si="6"/>
        <v>47600</v>
      </c>
      <c r="Q8" s="189">
        <f t="shared" ref="Q8:Q23" si="10">+E8</f>
        <v>35385</v>
      </c>
      <c r="R8" s="144">
        <f t="shared" si="7"/>
        <v>6723</v>
      </c>
      <c r="S8" s="190">
        <f t="shared" si="8"/>
        <v>42108</v>
      </c>
    </row>
    <row r="9" spans="1:19" ht="28.5" customHeight="1" x14ac:dyDescent="0.2">
      <c r="A9" s="13">
        <f t="shared" si="9"/>
        <v>5</v>
      </c>
      <c r="B9" s="2" t="s">
        <v>13</v>
      </c>
      <c r="C9" s="14">
        <v>1</v>
      </c>
      <c r="D9" s="15" t="s">
        <v>9</v>
      </c>
      <c r="E9" s="140">
        <f t="shared" si="0"/>
        <v>45465</v>
      </c>
      <c r="F9" s="141">
        <f t="shared" si="1"/>
        <v>8638</v>
      </c>
      <c r="G9" s="142">
        <f t="shared" si="2"/>
        <v>54103</v>
      </c>
      <c r="H9" s="7">
        <v>54103</v>
      </c>
      <c r="J9" s="170">
        <v>52000</v>
      </c>
      <c r="K9" s="133">
        <f t="shared" si="3"/>
        <v>9880</v>
      </c>
      <c r="L9" s="171">
        <f t="shared" si="4"/>
        <v>61880</v>
      </c>
      <c r="N9" s="177">
        <v>55000</v>
      </c>
      <c r="O9" s="128">
        <f t="shared" si="5"/>
        <v>10450</v>
      </c>
      <c r="P9" s="183">
        <f t="shared" si="6"/>
        <v>65450</v>
      </c>
      <c r="Q9" s="189">
        <f t="shared" si="10"/>
        <v>45465</v>
      </c>
      <c r="R9" s="144">
        <f t="shared" si="7"/>
        <v>8638</v>
      </c>
      <c r="S9" s="190">
        <f t="shared" si="8"/>
        <v>54103</v>
      </c>
    </row>
    <row r="10" spans="1:19" ht="42" customHeight="1" x14ac:dyDescent="0.2">
      <c r="A10" s="13">
        <f t="shared" si="9"/>
        <v>6</v>
      </c>
      <c r="B10" s="2" t="s">
        <v>14</v>
      </c>
      <c r="C10" s="14">
        <v>1</v>
      </c>
      <c r="D10" s="15" t="s">
        <v>9</v>
      </c>
      <c r="E10" s="140">
        <f t="shared" si="0"/>
        <v>39218</v>
      </c>
      <c r="F10" s="141">
        <f t="shared" si="1"/>
        <v>7451</v>
      </c>
      <c r="G10" s="142">
        <f t="shared" si="2"/>
        <v>46669</v>
      </c>
      <c r="H10" s="7">
        <v>46669</v>
      </c>
      <c r="J10" s="170">
        <v>45000</v>
      </c>
      <c r="K10" s="133">
        <f t="shared" si="3"/>
        <v>8550</v>
      </c>
      <c r="L10" s="171">
        <f t="shared" si="4"/>
        <v>53550</v>
      </c>
      <c r="N10" s="177">
        <v>48000</v>
      </c>
      <c r="O10" s="128">
        <f t="shared" si="5"/>
        <v>9120</v>
      </c>
      <c r="P10" s="183">
        <f t="shared" si="6"/>
        <v>57120</v>
      </c>
      <c r="Q10" s="189">
        <f t="shared" si="10"/>
        <v>39218</v>
      </c>
      <c r="R10" s="144">
        <f t="shared" si="7"/>
        <v>7451</v>
      </c>
      <c r="S10" s="190">
        <f t="shared" si="8"/>
        <v>46669</v>
      </c>
    </row>
    <row r="11" spans="1:19" ht="34.5" customHeight="1" x14ac:dyDescent="0.2">
      <c r="A11" s="13">
        <f t="shared" si="9"/>
        <v>7</v>
      </c>
      <c r="B11" s="2" t="s">
        <v>15</v>
      </c>
      <c r="C11" s="14">
        <v>1</v>
      </c>
      <c r="D11" s="15" t="s">
        <v>9</v>
      </c>
      <c r="E11" s="140">
        <f t="shared" si="0"/>
        <v>65021</v>
      </c>
      <c r="F11" s="141">
        <f t="shared" si="1"/>
        <v>12354</v>
      </c>
      <c r="G11" s="142">
        <f t="shared" si="2"/>
        <v>77375</v>
      </c>
      <c r="H11" s="7">
        <v>77375</v>
      </c>
      <c r="J11" s="170">
        <v>70000</v>
      </c>
      <c r="K11" s="133">
        <f t="shared" si="3"/>
        <v>13300</v>
      </c>
      <c r="L11" s="171">
        <f t="shared" si="4"/>
        <v>83300</v>
      </c>
      <c r="N11" s="177">
        <v>72000</v>
      </c>
      <c r="O11" s="128">
        <f t="shared" si="5"/>
        <v>13680</v>
      </c>
      <c r="P11" s="183">
        <f t="shared" si="6"/>
        <v>85680</v>
      </c>
      <c r="Q11" s="189">
        <f t="shared" si="10"/>
        <v>65021</v>
      </c>
      <c r="R11" s="144">
        <f t="shared" si="7"/>
        <v>12354</v>
      </c>
      <c r="S11" s="190">
        <f t="shared" si="8"/>
        <v>77375</v>
      </c>
    </row>
    <row r="12" spans="1:19" ht="44.25" customHeight="1" x14ac:dyDescent="0.2">
      <c r="A12" s="13">
        <f t="shared" si="9"/>
        <v>8</v>
      </c>
      <c r="B12" s="2" t="s">
        <v>16</v>
      </c>
      <c r="C12" s="14">
        <v>1</v>
      </c>
      <c r="D12" s="15" t="s">
        <v>9</v>
      </c>
      <c r="E12" s="140">
        <f>+ROUND((H12/1.19),0)</f>
        <v>87606</v>
      </c>
      <c r="F12" s="141">
        <f t="shared" si="1"/>
        <v>16645</v>
      </c>
      <c r="G12" s="142">
        <f t="shared" si="2"/>
        <v>104251</v>
      </c>
      <c r="H12" s="7">
        <v>104251</v>
      </c>
      <c r="J12" s="170">
        <v>100000</v>
      </c>
      <c r="K12" s="133">
        <f t="shared" si="3"/>
        <v>19000</v>
      </c>
      <c r="L12" s="171">
        <f t="shared" si="4"/>
        <v>119000</v>
      </c>
      <c r="N12" s="177">
        <v>96000</v>
      </c>
      <c r="O12" s="128">
        <f t="shared" si="5"/>
        <v>18240</v>
      </c>
      <c r="P12" s="183">
        <f t="shared" si="6"/>
        <v>114240</v>
      </c>
      <c r="Q12" s="189">
        <f t="shared" si="10"/>
        <v>87606</v>
      </c>
      <c r="R12" s="144">
        <f t="shared" si="7"/>
        <v>16645</v>
      </c>
      <c r="S12" s="190">
        <f t="shared" si="8"/>
        <v>104251</v>
      </c>
    </row>
    <row r="13" spans="1:19" ht="35.25" customHeight="1" x14ac:dyDescent="0.2">
      <c r="A13" s="13">
        <f t="shared" si="9"/>
        <v>9</v>
      </c>
      <c r="B13" s="2" t="s">
        <v>17</v>
      </c>
      <c r="C13" s="14">
        <v>1</v>
      </c>
      <c r="D13" s="15" t="s">
        <v>9</v>
      </c>
      <c r="E13" s="140">
        <f t="shared" si="0"/>
        <v>104423</v>
      </c>
      <c r="F13" s="141">
        <f t="shared" si="1"/>
        <v>19840</v>
      </c>
      <c r="G13" s="142">
        <f t="shared" si="2"/>
        <v>124263</v>
      </c>
      <c r="H13" s="7">
        <v>124263</v>
      </c>
      <c r="J13" s="170">
        <v>110000</v>
      </c>
      <c r="K13" s="133">
        <f t="shared" si="3"/>
        <v>20900</v>
      </c>
      <c r="L13" s="171">
        <f t="shared" si="4"/>
        <v>130900</v>
      </c>
      <c r="N13" s="177">
        <v>110000</v>
      </c>
      <c r="O13" s="128">
        <f t="shared" si="5"/>
        <v>20900</v>
      </c>
      <c r="P13" s="183">
        <f t="shared" si="6"/>
        <v>130900</v>
      </c>
      <c r="Q13" s="189">
        <f t="shared" si="10"/>
        <v>104423</v>
      </c>
      <c r="R13" s="144">
        <f t="shared" si="7"/>
        <v>19840</v>
      </c>
      <c r="S13" s="190">
        <f t="shared" si="8"/>
        <v>124263</v>
      </c>
    </row>
    <row r="14" spans="1:19" ht="30.75" customHeight="1" x14ac:dyDescent="0.2">
      <c r="A14" s="13">
        <f t="shared" si="9"/>
        <v>10</v>
      </c>
      <c r="B14" s="2" t="s">
        <v>18</v>
      </c>
      <c r="C14" s="14">
        <v>1</v>
      </c>
      <c r="D14" s="15" t="s">
        <v>9</v>
      </c>
      <c r="E14" s="140">
        <f t="shared" si="0"/>
        <v>44258</v>
      </c>
      <c r="F14" s="141">
        <f t="shared" si="1"/>
        <v>8409</v>
      </c>
      <c r="G14" s="142">
        <f t="shared" si="2"/>
        <v>52667</v>
      </c>
      <c r="H14" s="7">
        <v>52667</v>
      </c>
      <c r="J14" s="170">
        <v>50000</v>
      </c>
      <c r="K14" s="133">
        <f t="shared" si="3"/>
        <v>9500</v>
      </c>
      <c r="L14" s="171">
        <f t="shared" si="4"/>
        <v>59500</v>
      </c>
      <c r="N14" s="177">
        <v>50000</v>
      </c>
      <c r="O14" s="128">
        <f t="shared" si="5"/>
        <v>9500</v>
      </c>
      <c r="P14" s="183">
        <f t="shared" si="6"/>
        <v>59500</v>
      </c>
      <c r="Q14" s="189">
        <f t="shared" si="10"/>
        <v>44258</v>
      </c>
      <c r="R14" s="144">
        <f t="shared" si="7"/>
        <v>8409</v>
      </c>
      <c r="S14" s="190">
        <f t="shared" si="8"/>
        <v>52667</v>
      </c>
    </row>
    <row r="15" spans="1:19" ht="42.75" customHeight="1" x14ac:dyDescent="0.2">
      <c r="A15" s="13">
        <f t="shared" si="9"/>
        <v>11</v>
      </c>
      <c r="B15" s="2" t="s">
        <v>19</v>
      </c>
      <c r="C15" s="14">
        <v>1</v>
      </c>
      <c r="D15" s="15" t="s">
        <v>9</v>
      </c>
      <c r="E15" s="140">
        <f t="shared" si="0"/>
        <v>300851</v>
      </c>
      <c r="F15" s="141">
        <f>+ROUND(E15*0.19,0)</f>
        <v>57162</v>
      </c>
      <c r="G15" s="142">
        <f t="shared" si="2"/>
        <v>358013</v>
      </c>
      <c r="H15" s="7">
        <v>358013</v>
      </c>
      <c r="J15" s="170">
        <v>350000</v>
      </c>
      <c r="K15" s="133">
        <f t="shared" si="3"/>
        <v>66500</v>
      </c>
      <c r="L15" s="171">
        <f t="shared" si="4"/>
        <v>416500</v>
      </c>
      <c r="N15" s="177">
        <v>350000</v>
      </c>
      <c r="O15" s="128">
        <f t="shared" si="5"/>
        <v>66500</v>
      </c>
      <c r="P15" s="183">
        <f t="shared" si="6"/>
        <v>416500</v>
      </c>
      <c r="Q15" s="189">
        <f t="shared" si="10"/>
        <v>300851</v>
      </c>
      <c r="R15" s="144">
        <f t="shared" si="7"/>
        <v>57162</v>
      </c>
      <c r="S15" s="190">
        <f t="shared" si="8"/>
        <v>358013</v>
      </c>
    </row>
    <row r="16" spans="1:19" ht="36" customHeight="1" x14ac:dyDescent="0.2">
      <c r="A16" s="13">
        <f t="shared" si="9"/>
        <v>12</v>
      </c>
      <c r="B16" s="2" t="s">
        <v>20</v>
      </c>
      <c r="C16" s="14">
        <v>1</v>
      </c>
      <c r="D16" s="15" t="s">
        <v>9</v>
      </c>
      <c r="E16" s="140">
        <f t="shared" si="0"/>
        <v>429791</v>
      </c>
      <c r="F16" s="141">
        <f t="shared" si="1"/>
        <v>81660</v>
      </c>
      <c r="G16" s="142">
        <f t="shared" si="2"/>
        <v>511451</v>
      </c>
      <c r="H16" s="7">
        <v>511451</v>
      </c>
      <c r="J16" s="170">
        <f>+ROUND(431790.756,0)</f>
        <v>431791</v>
      </c>
      <c r="K16" s="133">
        <f t="shared" si="3"/>
        <v>82040</v>
      </c>
      <c r="L16" s="171">
        <f t="shared" si="4"/>
        <v>513831</v>
      </c>
      <c r="N16" s="177">
        <v>500000</v>
      </c>
      <c r="O16" s="128">
        <f t="shared" si="5"/>
        <v>95000</v>
      </c>
      <c r="P16" s="183">
        <f t="shared" si="6"/>
        <v>595000</v>
      </c>
      <c r="Q16" s="189">
        <f t="shared" si="10"/>
        <v>429791</v>
      </c>
      <c r="R16" s="144">
        <f t="shared" si="7"/>
        <v>81660</v>
      </c>
      <c r="S16" s="190">
        <f t="shared" si="8"/>
        <v>511451</v>
      </c>
    </row>
    <row r="17" spans="1:19" ht="39.75" customHeight="1" x14ac:dyDescent="0.2">
      <c r="A17" s="13">
        <f t="shared" si="9"/>
        <v>13</v>
      </c>
      <c r="B17" s="2" t="s">
        <v>21</v>
      </c>
      <c r="C17" s="14">
        <v>1</v>
      </c>
      <c r="D17" s="15" t="s">
        <v>9</v>
      </c>
      <c r="E17" s="140">
        <f>+ROUND((H17/1.19),0)</f>
        <v>91455</v>
      </c>
      <c r="F17" s="141">
        <f t="shared" si="1"/>
        <v>17376</v>
      </c>
      <c r="G17" s="142">
        <f t="shared" si="2"/>
        <v>108831</v>
      </c>
      <c r="H17" s="7">
        <v>108831</v>
      </c>
      <c r="J17" s="170">
        <f>+ROUND(93454.6218487395,0)</f>
        <v>93455</v>
      </c>
      <c r="K17" s="133">
        <f>ROUND(+J17*0.19,0)</f>
        <v>17756</v>
      </c>
      <c r="L17" s="171">
        <f t="shared" si="4"/>
        <v>111211</v>
      </c>
      <c r="N17" s="177">
        <v>145000</v>
      </c>
      <c r="O17" s="128">
        <f t="shared" si="5"/>
        <v>27550</v>
      </c>
      <c r="P17" s="183">
        <f t="shared" si="6"/>
        <v>172550</v>
      </c>
      <c r="Q17" s="189">
        <f t="shared" si="10"/>
        <v>91455</v>
      </c>
      <c r="R17" s="144">
        <f t="shared" si="7"/>
        <v>17376</v>
      </c>
      <c r="S17" s="190">
        <f t="shared" si="8"/>
        <v>108831</v>
      </c>
    </row>
    <row r="18" spans="1:19" ht="31.5" customHeight="1" x14ac:dyDescent="0.2">
      <c r="A18" s="13">
        <f t="shared" si="9"/>
        <v>14</v>
      </c>
      <c r="B18" s="2" t="s">
        <v>22</v>
      </c>
      <c r="C18" s="14">
        <v>1</v>
      </c>
      <c r="D18" s="15" t="s">
        <v>9</v>
      </c>
      <c r="E18" s="140">
        <f t="shared" si="0"/>
        <v>33613</v>
      </c>
      <c r="F18" s="141">
        <f t="shared" si="1"/>
        <v>6386</v>
      </c>
      <c r="G18" s="142">
        <f t="shared" si="2"/>
        <v>39999</v>
      </c>
      <c r="H18" s="7">
        <v>40000</v>
      </c>
      <c r="J18" s="170">
        <f>+ROUND(35613.4453781513,0)</f>
        <v>35613</v>
      </c>
      <c r="K18" s="133">
        <f t="shared" si="3"/>
        <v>6766</v>
      </c>
      <c r="L18" s="171">
        <f t="shared" si="4"/>
        <v>42379</v>
      </c>
      <c r="N18" s="177">
        <v>33613</v>
      </c>
      <c r="O18" s="128">
        <f t="shared" si="5"/>
        <v>6386</v>
      </c>
      <c r="P18" s="183">
        <f t="shared" si="6"/>
        <v>39999</v>
      </c>
      <c r="Q18" s="189">
        <f t="shared" si="10"/>
        <v>33613</v>
      </c>
      <c r="R18" s="144">
        <f t="shared" si="7"/>
        <v>6386</v>
      </c>
      <c r="S18" s="190">
        <f t="shared" si="8"/>
        <v>39999</v>
      </c>
    </row>
    <row r="19" spans="1:19" ht="31.5" customHeight="1" x14ac:dyDescent="0.2">
      <c r="A19" s="13">
        <f t="shared" si="9"/>
        <v>15</v>
      </c>
      <c r="B19" s="2" t="s">
        <v>23</v>
      </c>
      <c r="C19" s="14">
        <v>1</v>
      </c>
      <c r="D19" s="15" t="s">
        <v>9</v>
      </c>
      <c r="E19" s="140">
        <f t="shared" si="0"/>
        <v>50420</v>
      </c>
      <c r="F19" s="141">
        <f t="shared" si="1"/>
        <v>9580</v>
      </c>
      <c r="G19" s="142">
        <f t="shared" si="2"/>
        <v>60000</v>
      </c>
      <c r="H19" s="7">
        <v>60000</v>
      </c>
      <c r="J19" s="170">
        <f>+ROUND(52420.1680672269,0)</f>
        <v>52420</v>
      </c>
      <c r="K19" s="133">
        <f t="shared" si="3"/>
        <v>9960</v>
      </c>
      <c r="L19" s="171">
        <f t="shared" si="4"/>
        <v>62380</v>
      </c>
      <c r="N19" s="177">
        <v>100000</v>
      </c>
      <c r="O19" s="128">
        <f t="shared" si="5"/>
        <v>19000</v>
      </c>
      <c r="P19" s="183">
        <f t="shared" si="6"/>
        <v>119000</v>
      </c>
      <c r="Q19" s="189">
        <f t="shared" si="10"/>
        <v>50420</v>
      </c>
      <c r="R19" s="144">
        <f t="shared" si="7"/>
        <v>9580</v>
      </c>
      <c r="S19" s="190">
        <f t="shared" si="8"/>
        <v>60000</v>
      </c>
    </row>
    <row r="20" spans="1:19" ht="16.5" customHeight="1" x14ac:dyDescent="0.2">
      <c r="A20" s="13">
        <f t="shared" si="9"/>
        <v>16</v>
      </c>
      <c r="B20" s="2" t="s">
        <v>24</v>
      </c>
      <c r="C20" s="14">
        <v>1</v>
      </c>
      <c r="D20" s="15" t="s">
        <v>25</v>
      </c>
      <c r="E20" s="140">
        <f t="shared" si="0"/>
        <v>168067</v>
      </c>
      <c r="F20" s="141">
        <f t="shared" si="1"/>
        <v>31933</v>
      </c>
      <c r="G20" s="142">
        <f t="shared" si="2"/>
        <v>200000</v>
      </c>
      <c r="H20" s="7">
        <v>200000</v>
      </c>
      <c r="J20" s="170">
        <v>280000</v>
      </c>
      <c r="K20" s="133">
        <f t="shared" si="3"/>
        <v>53200</v>
      </c>
      <c r="L20" s="171">
        <f t="shared" si="4"/>
        <v>333200</v>
      </c>
      <c r="N20" s="177">
        <v>210000</v>
      </c>
      <c r="O20" s="128">
        <f t="shared" si="5"/>
        <v>39900</v>
      </c>
      <c r="P20" s="183">
        <f t="shared" si="6"/>
        <v>249900</v>
      </c>
      <c r="Q20" s="189">
        <f t="shared" si="10"/>
        <v>168067</v>
      </c>
      <c r="R20" s="144">
        <f t="shared" si="7"/>
        <v>31933</v>
      </c>
      <c r="S20" s="190">
        <f t="shared" si="8"/>
        <v>200000</v>
      </c>
    </row>
    <row r="21" spans="1:19" ht="27" customHeight="1" x14ac:dyDescent="0.2">
      <c r="A21" s="13">
        <f t="shared" si="9"/>
        <v>17</v>
      </c>
      <c r="B21" s="2" t="s">
        <v>26</v>
      </c>
      <c r="C21" s="14">
        <v>1</v>
      </c>
      <c r="D21" s="15" t="s">
        <v>25</v>
      </c>
      <c r="E21" s="140">
        <f t="shared" si="0"/>
        <v>241500</v>
      </c>
      <c r="F21" s="141">
        <f>+ROUND(E21*0.19,0)</f>
        <v>45885</v>
      </c>
      <c r="G21" s="142">
        <f t="shared" si="2"/>
        <v>287385</v>
      </c>
      <c r="H21" s="7">
        <v>287385</v>
      </c>
      <c r="J21" s="170">
        <v>310000</v>
      </c>
      <c r="K21" s="133">
        <f t="shared" si="3"/>
        <v>58900</v>
      </c>
      <c r="L21" s="171">
        <f t="shared" si="4"/>
        <v>368900</v>
      </c>
      <c r="N21" s="177">
        <v>300000</v>
      </c>
      <c r="O21" s="128">
        <f t="shared" si="5"/>
        <v>57000</v>
      </c>
      <c r="P21" s="183">
        <f t="shared" si="6"/>
        <v>357000</v>
      </c>
      <c r="Q21" s="189">
        <f t="shared" si="10"/>
        <v>241500</v>
      </c>
      <c r="R21" s="144">
        <f t="shared" si="7"/>
        <v>45885</v>
      </c>
      <c r="S21" s="190">
        <f t="shared" si="8"/>
        <v>287385</v>
      </c>
    </row>
    <row r="22" spans="1:19" ht="25.5" customHeight="1" x14ac:dyDescent="0.2">
      <c r="A22" s="13">
        <f t="shared" si="9"/>
        <v>18</v>
      </c>
      <c r="B22" s="2" t="s">
        <v>27</v>
      </c>
      <c r="C22" s="14">
        <v>1</v>
      </c>
      <c r="D22" s="15" t="s">
        <v>9</v>
      </c>
      <c r="E22" s="140">
        <f t="shared" si="0"/>
        <v>109244</v>
      </c>
      <c r="F22" s="141">
        <f t="shared" si="1"/>
        <v>20756</v>
      </c>
      <c r="G22" s="142">
        <f t="shared" si="2"/>
        <v>130000</v>
      </c>
      <c r="H22" s="7">
        <v>130000</v>
      </c>
      <c r="J22" s="170">
        <f>+ROUND(111243.697478992,0)</f>
        <v>111244</v>
      </c>
      <c r="K22" s="133">
        <f t="shared" si="3"/>
        <v>21136</v>
      </c>
      <c r="L22" s="171">
        <f t="shared" si="4"/>
        <v>132380</v>
      </c>
      <c r="N22" s="177">
        <v>109244</v>
      </c>
      <c r="O22" s="128">
        <f t="shared" si="5"/>
        <v>20756</v>
      </c>
      <c r="P22" s="183">
        <f t="shared" si="6"/>
        <v>130000</v>
      </c>
      <c r="Q22" s="189">
        <f t="shared" si="10"/>
        <v>109244</v>
      </c>
      <c r="R22" s="144">
        <f t="shared" si="7"/>
        <v>20756</v>
      </c>
      <c r="S22" s="190">
        <f t="shared" si="8"/>
        <v>130000</v>
      </c>
    </row>
    <row r="23" spans="1:19" ht="32.25" customHeight="1" x14ac:dyDescent="0.2">
      <c r="A23" s="13">
        <f t="shared" si="9"/>
        <v>19</v>
      </c>
      <c r="B23" s="2" t="s">
        <v>28</v>
      </c>
      <c r="C23" s="14">
        <v>1</v>
      </c>
      <c r="D23" s="15" t="s">
        <v>9</v>
      </c>
      <c r="E23" s="140">
        <f t="shared" si="0"/>
        <v>84034</v>
      </c>
      <c r="F23" s="141">
        <f t="shared" si="1"/>
        <v>15966</v>
      </c>
      <c r="G23" s="142">
        <f t="shared" si="2"/>
        <v>100000</v>
      </c>
      <c r="H23" s="7">
        <v>100000</v>
      </c>
      <c r="J23" s="170">
        <f>+ROUND(86033.6134453782,0)</f>
        <v>86034</v>
      </c>
      <c r="K23" s="133">
        <f t="shared" si="3"/>
        <v>16346</v>
      </c>
      <c r="L23" s="171">
        <f t="shared" si="4"/>
        <v>102380</v>
      </c>
      <c r="N23" s="177">
        <v>84034</v>
      </c>
      <c r="O23" s="128">
        <f t="shared" si="5"/>
        <v>15966</v>
      </c>
      <c r="P23" s="183">
        <f t="shared" si="6"/>
        <v>100000</v>
      </c>
      <c r="Q23" s="189">
        <f t="shared" si="10"/>
        <v>84034</v>
      </c>
      <c r="R23" s="144">
        <f t="shared" si="7"/>
        <v>15966</v>
      </c>
      <c r="S23" s="190">
        <f t="shared" si="8"/>
        <v>100000</v>
      </c>
    </row>
    <row r="24" spans="1:19" s="34" customFormat="1" ht="24.75" customHeight="1" x14ac:dyDescent="0.2">
      <c r="A24" s="29">
        <f t="shared" si="9"/>
        <v>20</v>
      </c>
      <c r="B24" s="3" t="s">
        <v>29</v>
      </c>
      <c r="C24" s="30">
        <v>1</v>
      </c>
      <c r="D24" s="31" t="s">
        <v>30</v>
      </c>
      <c r="E24" s="140">
        <f>+ROUND((H24/1.19),0)</f>
        <v>420168</v>
      </c>
      <c r="F24" s="141">
        <f t="shared" si="1"/>
        <v>79832</v>
      </c>
      <c r="G24" s="142">
        <f t="shared" si="2"/>
        <v>500000</v>
      </c>
      <c r="H24" s="33">
        <v>500000</v>
      </c>
      <c r="J24" s="170">
        <v>310000</v>
      </c>
      <c r="K24" s="133">
        <f t="shared" si="3"/>
        <v>58900</v>
      </c>
      <c r="L24" s="171">
        <f t="shared" si="4"/>
        <v>368900</v>
      </c>
      <c r="N24" s="177">
        <v>308000</v>
      </c>
      <c r="O24" s="128">
        <f t="shared" si="5"/>
        <v>58520</v>
      </c>
      <c r="P24" s="183">
        <f t="shared" si="6"/>
        <v>366520</v>
      </c>
      <c r="Q24" s="189">
        <f>+N24</f>
        <v>308000</v>
      </c>
      <c r="R24" s="144">
        <f t="shared" si="7"/>
        <v>58520</v>
      </c>
      <c r="S24" s="190">
        <f t="shared" si="8"/>
        <v>366520</v>
      </c>
    </row>
    <row r="25" spans="1:19" ht="26.25" customHeight="1" x14ac:dyDescent="0.2">
      <c r="A25" s="13">
        <f t="shared" si="9"/>
        <v>21</v>
      </c>
      <c r="B25" s="2" t="s">
        <v>31</v>
      </c>
      <c r="C25" s="14">
        <v>1</v>
      </c>
      <c r="D25" s="15" t="s">
        <v>9</v>
      </c>
      <c r="E25" s="140">
        <f t="shared" si="0"/>
        <v>483193</v>
      </c>
      <c r="F25" s="141">
        <f t="shared" si="1"/>
        <v>91807</v>
      </c>
      <c r="G25" s="142">
        <f t="shared" si="2"/>
        <v>575000</v>
      </c>
      <c r="H25" s="7">
        <v>575000</v>
      </c>
      <c r="J25" s="170">
        <f>+ROUND(485193.277310924,0)</f>
        <v>485193</v>
      </c>
      <c r="K25" s="133">
        <f t="shared" si="3"/>
        <v>92187</v>
      </c>
      <c r="L25" s="171">
        <f t="shared" si="4"/>
        <v>577380</v>
      </c>
      <c r="N25" s="177">
        <v>720000</v>
      </c>
      <c r="O25" s="128">
        <f t="shared" si="5"/>
        <v>136800</v>
      </c>
      <c r="P25" s="183">
        <f t="shared" si="6"/>
        <v>856800</v>
      </c>
      <c r="Q25" s="189">
        <f>+E25</f>
        <v>483193</v>
      </c>
      <c r="R25" s="144">
        <f t="shared" si="7"/>
        <v>91807</v>
      </c>
      <c r="S25" s="190">
        <f t="shared" si="8"/>
        <v>575000</v>
      </c>
    </row>
    <row r="26" spans="1:19" ht="26.25" customHeight="1" x14ac:dyDescent="0.2">
      <c r="A26" s="13">
        <f t="shared" si="9"/>
        <v>22</v>
      </c>
      <c r="B26" s="2" t="s">
        <v>32</v>
      </c>
      <c r="C26" s="14">
        <v>1</v>
      </c>
      <c r="D26" s="15" t="s">
        <v>9</v>
      </c>
      <c r="E26" s="140">
        <f>+ROUND((H26/1.19),0)</f>
        <v>603750</v>
      </c>
      <c r="F26" s="141">
        <f t="shared" si="1"/>
        <v>114713</v>
      </c>
      <c r="G26" s="142">
        <f t="shared" si="2"/>
        <v>718463</v>
      </c>
      <c r="H26" s="7">
        <v>718463</v>
      </c>
      <c r="J26" s="170">
        <f>+ROUND(605750.420168067,0)</f>
        <v>605750</v>
      </c>
      <c r="K26" s="133">
        <f t="shared" si="3"/>
        <v>115093</v>
      </c>
      <c r="L26" s="171">
        <f t="shared" si="4"/>
        <v>720843</v>
      </c>
      <c r="N26" s="177">
        <v>603750</v>
      </c>
      <c r="O26" s="128">
        <f t="shared" si="5"/>
        <v>114713</v>
      </c>
      <c r="P26" s="183">
        <f t="shared" si="6"/>
        <v>718463</v>
      </c>
      <c r="Q26" s="189">
        <f>+E26</f>
        <v>603750</v>
      </c>
      <c r="R26" s="144">
        <f t="shared" si="7"/>
        <v>114713</v>
      </c>
      <c r="S26" s="190">
        <f t="shared" si="8"/>
        <v>718463</v>
      </c>
    </row>
    <row r="27" spans="1:19" ht="25.5" customHeight="1" x14ac:dyDescent="0.2">
      <c r="A27" s="13">
        <f t="shared" si="9"/>
        <v>23</v>
      </c>
      <c r="B27" s="2" t="s">
        <v>33</v>
      </c>
      <c r="C27" s="14">
        <v>1</v>
      </c>
      <c r="D27" s="15" t="s">
        <v>30</v>
      </c>
      <c r="E27" s="140">
        <f t="shared" si="0"/>
        <v>125950</v>
      </c>
      <c r="F27" s="141">
        <f t="shared" si="1"/>
        <v>23931</v>
      </c>
      <c r="G27" s="142">
        <f t="shared" si="2"/>
        <v>149881</v>
      </c>
      <c r="H27" s="7">
        <v>149881</v>
      </c>
      <c r="J27" s="172">
        <v>175000</v>
      </c>
      <c r="K27" s="133">
        <f t="shared" si="3"/>
        <v>33250</v>
      </c>
      <c r="L27" s="171">
        <f t="shared" si="4"/>
        <v>208250</v>
      </c>
      <c r="N27" s="178">
        <v>170000</v>
      </c>
      <c r="O27" s="128">
        <f t="shared" si="5"/>
        <v>32300</v>
      </c>
      <c r="P27" s="183">
        <f t="shared" si="6"/>
        <v>202300</v>
      </c>
      <c r="Q27" s="189">
        <f>+E27</f>
        <v>125950</v>
      </c>
      <c r="R27" s="144">
        <f t="shared" si="7"/>
        <v>23931</v>
      </c>
      <c r="S27" s="190">
        <f t="shared" si="8"/>
        <v>149881</v>
      </c>
    </row>
    <row r="28" spans="1:19" ht="36.75" customHeight="1" x14ac:dyDescent="0.2">
      <c r="A28" s="13">
        <f t="shared" si="9"/>
        <v>24</v>
      </c>
      <c r="B28" s="2" t="s">
        <v>34</v>
      </c>
      <c r="C28" s="14">
        <v>1</v>
      </c>
      <c r="D28" s="15" t="s">
        <v>30</v>
      </c>
      <c r="E28" s="140">
        <f t="shared" si="0"/>
        <v>204160</v>
      </c>
      <c r="F28" s="141">
        <f t="shared" si="1"/>
        <v>38790</v>
      </c>
      <c r="G28" s="142">
        <f t="shared" si="2"/>
        <v>242950</v>
      </c>
      <c r="H28" s="7">
        <v>242950</v>
      </c>
      <c r="J28" s="172">
        <v>211000</v>
      </c>
      <c r="K28" s="133">
        <f t="shared" si="3"/>
        <v>40090</v>
      </c>
      <c r="L28" s="171">
        <f t="shared" si="4"/>
        <v>251090</v>
      </c>
      <c r="N28" s="178">
        <v>210000</v>
      </c>
      <c r="O28" s="128">
        <f t="shared" si="5"/>
        <v>39900</v>
      </c>
      <c r="P28" s="183">
        <f t="shared" si="6"/>
        <v>249900</v>
      </c>
      <c r="Q28" s="189">
        <f>+E28</f>
        <v>204160</v>
      </c>
      <c r="R28" s="144">
        <f t="shared" si="7"/>
        <v>38790</v>
      </c>
      <c r="S28" s="190">
        <f t="shared" si="8"/>
        <v>242950</v>
      </c>
    </row>
    <row r="29" spans="1:19" x14ac:dyDescent="0.2">
      <c r="A29" s="13">
        <v>2</v>
      </c>
      <c r="B29" s="195" t="s">
        <v>35</v>
      </c>
      <c r="C29" s="196"/>
      <c r="D29" s="196"/>
      <c r="E29" s="196"/>
      <c r="F29" s="196"/>
      <c r="G29" s="197"/>
      <c r="H29" s="193"/>
      <c r="I29" s="194"/>
      <c r="J29" s="257" t="str">
        <f>+B29</f>
        <v>AGREGADOS</v>
      </c>
      <c r="K29" s="258"/>
      <c r="L29" s="259"/>
      <c r="M29" s="194"/>
      <c r="N29" s="257" t="str">
        <f>+J29</f>
        <v>AGREGADOS</v>
      </c>
      <c r="O29" s="258"/>
      <c r="P29" s="260"/>
      <c r="Q29" s="287" t="str">
        <f>+N29</f>
        <v>AGREGADOS</v>
      </c>
      <c r="R29" s="288"/>
      <c r="S29" s="289"/>
    </row>
    <row r="30" spans="1:19" ht="40.5" customHeight="1" x14ac:dyDescent="0.2">
      <c r="A30" s="13">
        <v>2.1</v>
      </c>
      <c r="B30" s="2" t="s">
        <v>36</v>
      </c>
      <c r="C30" s="14">
        <v>1</v>
      </c>
      <c r="D30" s="15" t="s">
        <v>9</v>
      </c>
      <c r="E30" s="140">
        <f t="shared" si="0"/>
        <v>45465</v>
      </c>
      <c r="F30" s="141">
        <f>+ROUND(E30*0.19,0)</f>
        <v>8638</v>
      </c>
      <c r="G30" s="142">
        <f t="shared" si="2"/>
        <v>54103</v>
      </c>
      <c r="H30" s="7">
        <v>54103</v>
      </c>
      <c r="J30" s="170">
        <f>+ROUND(47464.7058823529,0)</f>
        <v>47465</v>
      </c>
      <c r="K30" s="134">
        <f>+ROUND(J30*0.19,0)</f>
        <v>9018</v>
      </c>
      <c r="L30" s="171">
        <f t="shared" si="4"/>
        <v>56483</v>
      </c>
      <c r="N30" s="179">
        <v>60000</v>
      </c>
      <c r="O30" s="129">
        <f t="shared" ref="O30:O37" si="11">+N30*0.19</f>
        <v>11400</v>
      </c>
      <c r="P30" s="183">
        <f t="shared" ref="P30:P40" si="12">+O30+N30</f>
        <v>71400</v>
      </c>
      <c r="Q30" s="189">
        <f t="shared" ref="Q30:Q40" si="13">+E30</f>
        <v>45465</v>
      </c>
      <c r="R30" s="144">
        <f t="shared" si="7"/>
        <v>8638</v>
      </c>
      <c r="S30" s="190">
        <f t="shared" si="8"/>
        <v>54103</v>
      </c>
    </row>
    <row r="31" spans="1:19" ht="34.5" customHeight="1" x14ac:dyDescent="0.2">
      <c r="A31" s="13">
        <v>2.2000000000000002</v>
      </c>
      <c r="B31" s="2" t="s">
        <v>37</v>
      </c>
      <c r="C31" s="14">
        <v>1</v>
      </c>
      <c r="D31" s="15" t="s">
        <v>9</v>
      </c>
      <c r="E31" s="140">
        <f t="shared" si="0"/>
        <v>45465</v>
      </c>
      <c r="F31" s="141">
        <f t="shared" ref="F31:F33" si="14">+ROUND(E31*0.19,0)</f>
        <v>8638</v>
      </c>
      <c r="G31" s="142">
        <f t="shared" si="2"/>
        <v>54103</v>
      </c>
      <c r="H31" s="7">
        <v>54103</v>
      </c>
      <c r="J31" s="170">
        <f>+ROUND(47464.7058823529,0)</f>
        <v>47465</v>
      </c>
      <c r="K31" s="134">
        <f t="shared" ref="K31:K39" si="15">+ROUND(J31*0.19,0)</f>
        <v>9018</v>
      </c>
      <c r="L31" s="171">
        <f t="shared" si="4"/>
        <v>56483</v>
      </c>
      <c r="N31" s="179">
        <v>55000</v>
      </c>
      <c r="O31" s="129">
        <f t="shared" si="11"/>
        <v>10450</v>
      </c>
      <c r="P31" s="183">
        <f t="shared" si="12"/>
        <v>65450</v>
      </c>
      <c r="Q31" s="189">
        <f t="shared" si="13"/>
        <v>45465</v>
      </c>
      <c r="R31" s="144">
        <f t="shared" si="7"/>
        <v>8638</v>
      </c>
      <c r="S31" s="190">
        <f t="shared" si="8"/>
        <v>54103</v>
      </c>
    </row>
    <row r="32" spans="1:19" ht="33" customHeight="1" x14ac:dyDescent="0.2">
      <c r="A32" s="13">
        <v>2.2999999999999998</v>
      </c>
      <c r="B32" s="2" t="s">
        <v>38</v>
      </c>
      <c r="C32" s="14">
        <v>1</v>
      </c>
      <c r="D32" s="15" t="s">
        <v>9</v>
      </c>
      <c r="E32" s="140">
        <f t="shared" si="0"/>
        <v>34388</v>
      </c>
      <c r="F32" s="141">
        <f t="shared" si="14"/>
        <v>6534</v>
      </c>
      <c r="G32" s="142">
        <f t="shared" si="2"/>
        <v>40922</v>
      </c>
      <c r="H32" s="7">
        <v>40922</v>
      </c>
      <c r="J32" s="170">
        <f>+ROUND(36388.2352941177,0)</f>
        <v>36388</v>
      </c>
      <c r="K32" s="134">
        <f t="shared" si="15"/>
        <v>6914</v>
      </c>
      <c r="L32" s="171">
        <f t="shared" si="4"/>
        <v>43302</v>
      </c>
      <c r="N32" s="179">
        <v>35000</v>
      </c>
      <c r="O32" s="129">
        <f t="shared" si="11"/>
        <v>6650</v>
      </c>
      <c r="P32" s="183">
        <f t="shared" si="12"/>
        <v>41650</v>
      </c>
      <c r="Q32" s="189">
        <f t="shared" si="13"/>
        <v>34388</v>
      </c>
      <c r="R32" s="144">
        <f t="shared" si="7"/>
        <v>6534</v>
      </c>
      <c r="S32" s="190">
        <f t="shared" si="8"/>
        <v>40922</v>
      </c>
    </row>
    <row r="33" spans="1:19" ht="29.25" customHeight="1" x14ac:dyDescent="0.2">
      <c r="A33" s="13">
        <v>2.4</v>
      </c>
      <c r="B33" s="2" t="s">
        <v>39</v>
      </c>
      <c r="C33" s="14">
        <v>1</v>
      </c>
      <c r="D33" s="15" t="s">
        <v>9</v>
      </c>
      <c r="E33" s="140">
        <f t="shared" si="0"/>
        <v>39218</v>
      </c>
      <c r="F33" s="141">
        <f t="shared" si="14"/>
        <v>7451</v>
      </c>
      <c r="G33" s="142">
        <f t="shared" si="2"/>
        <v>46669</v>
      </c>
      <c r="H33" s="7">
        <v>46669</v>
      </c>
      <c r="J33" s="170">
        <f>+ROUND(41217.6470588235,0)</f>
        <v>41218</v>
      </c>
      <c r="K33" s="134">
        <f t="shared" si="15"/>
        <v>7831</v>
      </c>
      <c r="L33" s="171">
        <f t="shared" si="4"/>
        <v>49049</v>
      </c>
      <c r="N33" s="179">
        <v>45000</v>
      </c>
      <c r="O33" s="129">
        <f t="shared" si="11"/>
        <v>8550</v>
      </c>
      <c r="P33" s="183">
        <f t="shared" si="12"/>
        <v>53550</v>
      </c>
      <c r="Q33" s="189">
        <f t="shared" si="13"/>
        <v>39218</v>
      </c>
      <c r="R33" s="144">
        <f t="shared" si="7"/>
        <v>7451</v>
      </c>
      <c r="S33" s="190">
        <f t="shared" si="8"/>
        <v>46669</v>
      </c>
    </row>
    <row r="34" spans="1:19" ht="25.5" customHeight="1" x14ac:dyDescent="0.2">
      <c r="A34" s="13">
        <v>2.5</v>
      </c>
      <c r="B34" s="2" t="s">
        <v>40</v>
      </c>
      <c r="C34" s="14">
        <v>1</v>
      </c>
      <c r="D34" s="15" t="s">
        <v>9</v>
      </c>
      <c r="E34" s="140">
        <f t="shared" si="0"/>
        <v>33613</v>
      </c>
      <c r="F34" s="141">
        <f>+ROUND(E34*0.19,0)</f>
        <v>6386</v>
      </c>
      <c r="G34" s="142">
        <f t="shared" si="2"/>
        <v>39999</v>
      </c>
      <c r="H34" s="7">
        <v>40000</v>
      </c>
      <c r="J34" s="170">
        <f>+ROUND(35613.4453781513,0)</f>
        <v>35613</v>
      </c>
      <c r="K34" s="134">
        <f t="shared" si="15"/>
        <v>6766</v>
      </c>
      <c r="L34" s="171">
        <f t="shared" si="4"/>
        <v>42379</v>
      </c>
      <c r="N34" s="179">
        <v>45000</v>
      </c>
      <c r="O34" s="129">
        <f t="shared" si="11"/>
        <v>8550</v>
      </c>
      <c r="P34" s="183">
        <f t="shared" si="12"/>
        <v>53550</v>
      </c>
      <c r="Q34" s="189">
        <f t="shared" si="13"/>
        <v>33613</v>
      </c>
      <c r="R34" s="144">
        <f t="shared" si="7"/>
        <v>6386</v>
      </c>
      <c r="S34" s="190">
        <f t="shared" si="8"/>
        <v>39999</v>
      </c>
    </row>
    <row r="35" spans="1:19" ht="27" customHeight="1" x14ac:dyDescent="0.2">
      <c r="A35" s="13">
        <v>2.6</v>
      </c>
      <c r="B35" s="2" t="s">
        <v>41</v>
      </c>
      <c r="C35" s="14">
        <v>1</v>
      </c>
      <c r="D35" s="15" t="s">
        <v>9</v>
      </c>
      <c r="E35" s="140">
        <f t="shared" si="0"/>
        <v>33613</v>
      </c>
      <c r="F35" s="141">
        <f t="shared" ref="F35:F74" si="16">+ROUND(E35*0.19,0)</f>
        <v>6386</v>
      </c>
      <c r="G35" s="142">
        <f t="shared" si="2"/>
        <v>39999</v>
      </c>
      <c r="H35" s="7">
        <v>40000</v>
      </c>
      <c r="J35" s="170">
        <f>+ROUND(35613.4453781513,0)</f>
        <v>35613</v>
      </c>
      <c r="K35" s="134">
        <f t="shared" si="15"/>
        <v>6766</v>
      </c>
      <c r="L35" s="171">
        <f t="shared" si="4"/>
        <v>42379</v>
      </c>
      <c r="N35" s="179">
        <v>45000</v>
      </c>
      <c r="O35" s="129">
        <f t="shared" si="11"/>
        <v>8550</v>
      </c>
      <c r="P35" s="183">
        <f t="shared" si="12"/>
        <v>53550</v>
      </c>
      <c r="Q35" s="189">
        <f t="shared" si="13"/>
        <v>33613</v>
      </c>
      <c r="R35" s="144">
        <f t="shared" si="7"/>
        <v>6386</v>
      </c>
      <c r="S35" s="190">
        <f t="shared" si="8"/>
        <v>39999</v>
      </c>
    </row>
    <row r="36" spans="1:19" ht="26.25" customHeight="1" x14ac:dyDescent="0.2">
      <c r="A36" s="13">
        <v>2.7</v>
      </c>
      <c r="B36" s="2" t="s">
        <v>42</v>
      </c>
      <c r="C36" s="14">
        <v>1</v>
      </c>
      <c r="D36" s="15" t="s">
        <v>9</v>
      </c>
      <c r="E36" s="140">
        <f t="shared" si="0"/>
        <v>35595</v>
      </c>
      <c r="F36" s="141">
        <f t="shared" si="16"/>
        <v>6763</v>
      </c>
      <c r="G36" s="142">
        <f t="shared" si="2"/>
        <v>42358</v>
      </c>
      <c r="H36" s="7">
        <v>42358</v>
      </c>
      <c r="J36" s="170">
        <f>+ROUND(37594.9579831933,0)</f>
        <v>37595</v>
      </c>
      <c r="K36" s="134">
        <f t="shared" si="15"/>
        <v>7143</v>
      </c>
      <c r="L36" s="171">
        <f t="shared" si="4"/>
        <v>44738</v>
      </c>
      <c r="N36" s="179">
        <v>40000</v>
      </c>
      <c r="O36" s="129">
        <f t="shared" si="11"/>
        <v>7600</v>
      </c>
      <c r="P36" s="183">
        <f t="shared" si="12"/>
        <v>47600</v>
      </c>
      <c r="Q36" s="189">
        <f t="shared" si="13"/>
        <v>35595</v>
      </c>
      <c r="R36" s="144">
        <f t="shared" si="7"/>
        <v>6763</v>
      </c>
      <c r="S36" s="190">
        <f t="shared" si="8"/>
        <v>42358</v>
      </c>
    </row>
    <row r="37" spans="1:19" ht="31.5" customHeight="1" x14ac:dyDescent="0.2">
      <c r="A37" s="13">
        <v>2.8</v>
      </c>
      <c r="B37" s="2" t="s">
        <v>43</v>
      </c>
      <c r="C37" s="14">
        <v>1</v>
      </c>
      <c r="D37" s="15" t="s">
        <v>9</v>
      </c>
      <c r="E37" s="140">
        <f t="shared" si="0"/>
        <v>35595</v>
      </c>
      <c r="F37" s="141">
        <f t="shared" si="16"/>
        <v>6763</v>
      </c>
      <c r="G37" s="142">
        <f t="shared" si="2"/>
        <v>42358</v>
      </c>
      <c r="H37" s="7">
        <v>42358</v>
      </c>
      <c r="J37" s="170">
        <f>+ROUND(37594.9579831933,0)</f>
        <v>37595</v>
      </c>
      <c r="K37" s="134">
        <f t="shared" si="15"/>
        <v>7143</v>
      </c>
      <c r="L37" s="171">
        <f t="shared" si="4"/>
        <v>44738</v>
      </c>
      <c r="N37" s="179">
        <v>40000</v>
      </c>
      <c r="O37" s="129">
        <f t="shared" si="11"/>
        <v>7600</v>
      </c>
      <c r="P37" s="183">
        <f t="shared" si="12"/>
        <v>47600</v>
      </c>
      <c r="Q37" s="189">
        <f t="shared" si="13"/>
        <v>35595</v>
      </c>
      <c r="R37" s="144">
        <f t="shared" si="7"/>
        <v>6763</v>
      </c>
      <c r="S37" s="190">
        <f t="shared" si="8"/>
        <v>42358</v>
      </c>
    </row>
    <row r="38" spans="1:19" ht="39.75" customHeight="1" x14ac:dyDescent="0.2">
      <c r="A38" s="13">
        <v>2.9</v>
      </c>
      <c r="B38" s="2" t="s">
        <v>44</v>
      </c>
      <c r="C38" s="14">
        <v>1</v>
      </c>
      <c r="D38" s="15" t="s">
        <v>9</v>
      </c>
      <c r="E38" s="140">
        <f t="shared" si="0"/>
        <v>84034</v>
      </c>
      <c r="F38" s="141">
        <f t="shared" si="16"/>
        <v>15966</v>
      </c>
      <c r="G38" s="142">
        <f t="shared" si="2"/>
        <v>100000</v>
      </c>
      <c r="H38" s="7">
        <v>100000</v>
      </c>
      <c r="J38" s="170">
        <f>+ROUND(86033.6134453782,0)</f>
        <v>86034</v>
      </c>
      <c r="K38" s="134">
        <f t="shared" si="15"/>
        <v>16346</v>
      </c>
      <c r="L38" s="171">
        <f t="shared" si="4"/>
        <v>102380</v>
      </c>
      <c r="N38" s="179">
        <v>100000</v>
      </c>
      <c r="O38" s="129">
        <f>+ROUND(N38*0.19,0)</f>
        <v>19000</v>
      </c>
      <c r="P38" s="183">
        <f t="shared" si="12"/>
        <v>119000</v>
      </c>
      <c r="Q38" s="189">
        <f t="shared" si="13"/>
        <v>84034</v>
      </c>
      <c r="R38" s="144">
        <f t="shared" si="7"/>
        <v>15966</v>
      </c>
      <c r="S38" s="190">
        <f t="shared" si="8"/>
        <v>100000</v>
      </c>
    </row>
    <row r="39" spans="1:19" ht="38.25" customHeight="1" x14ac:dyDescent="0.2">
      <c r="A39" s="13">
        <v>2.1</v>
      </c>
      <c r="B39" s="2" t="s">
        <v>45</v>
      </c>
      <c r="C39" s="14">
        <v>1</v>
      </c>
      <c r="D39" s="15" t="s">
        <v>9</v>
      </c>
      <c r="E39" s="140">
        <f t="shared" si="0"/>
        <v>226891</v>
      </c>
      <c r="F39" s="141">
        <f t="shared" si="16"/>
        <v>43109</v>
      </c>
      <c r="G39" s="142">
        <f t="shared" si="2"/>
        <v>270000</v>
      </c>
      <c r="H39" s="7">
        <v>270000</v>
      </c>
      <c r="J39" s="170">
        <f>+ROUND(228890.756302521,0)</f>
        <v>228891</v>
      </c>
      <c r="K39" s="134">
        <f t="shared" si="15"/>
        <v>43489</v>
      </c>
      <c r="L39" s="171">
        <f t="shared" si="4"/>
        <v>272380</v>
      </c>
      <c r="N39" s="179">
        <v>226891</v>
      </c>
      <c r="O39" s="129">
        <f t="shared" ref="O39:O40" si="17">+ROUND(N39*0.19,0)</f>
        <v>43109</v>
      </c>
      <c r="P39" s="183">
        <f t="shared" si="12"/>
        <v>270000</v>
      </c>
      <c r="Q39" s="189">
        <f t="shared" si="13"/>
        <v>226891</v>
      </c>
      <c r="R39" s="144">
        <f t="shared" si="7"/>
        <v>43109</v>
      </c>
      <c r="S39" s="190">
        <f t="shared" si="8"/>
        <v>270000</v>
      </c>
    </row>
    <row r="40" spans="1:19" ht="47.25" customHeight="1" x14ac:dyDescent="0.2">
      <c r="A40" s="13">
        <v>2.11</v>
      </c>
      <c r="B40" s="2" t="s">
        <v>46</v>
      </c>
      <c r="C40" s="14">
        <v>1</v>
      </c>
      <c r="D40" s="15" t="s">
        <v>9</v>
      </c>
      <c r="E40" s="140">
        <f t="shared" si="0"/>
        <v>41843</v>
      </c>
      <c r="F40" s="141">
        <f t="shared" si="16"/>
        <v>7950</v>
      </c>
      <c r="G40" s="142">
        <f t="shared" si="2"/>
        <v>49793</v>
      </c>
      <c r="H40" s="7">
        <v>49793</v>
      </c>
      <c r="J40" s="170">
        <f>+ROUND(43842.8571428571,0)</f>
        <v>43843</v>
      </c>
      <c r="K40" s="134">
        <f>+ROUND(J40*0.19,0)</f>
        <v>8330</v>
      </c>
      <c r="L40" s="171">
        <f t="shared" si="4"/>
        <v>52173</v>
      </c>
      <c r="N40" s="179">
        <v>70000</v>
      </c>
      <c r="O40" s="129">
        <f t="shared" si="17"/>
        <v>13300</v>
      </c>
      <c r="P40" s="183">
        <f t="shared" si="12"/>
        <v>83300</v>
      </c>
      <c r="Q40" s="189">
        <f t="shared" si="13"/>
        <v>41843</v>
      </c>
      <c r="R40" s="144">
        <f t="shared" si="7"/>
        <v>7950</v>
      </c>
      <c r="S40" s="190">
        <f t="shared" si="8"/>
        <v>49793</v>
      </c>
    </row>
    <row r="41" spans="1:19" x14ac:dyDescent="0.2">
      <c r="A41" s="198">
        <v>3</v>
      </c>
      <c r="B41" s="195" t="s">
        <v>47</v>
      </c>
      <c r="C41" s="196"/>
      <c r="D41" s="196"/>
      <c r="E41" s="196"/>
      <c r="F41" s="196"/>
      <c r="G41" s="197"/>
      <c r="H41" s="193"/>
      <c r="I41" s="194"/>
      <c r="J41" s="257" t="str">
        <f>+B41</f>
        <v>CONCRETOS</v>
      </c>
      <c r="K41" s="258"/>
      <c r="L41" s="259"/>
      <c r="M41" s="194"/>
      <c r="N41" s="257" t="str">
        <f>+J41</f>
        <v>CONCRETOS</v>
      </c>
      <c r="O41" s="258"/>
      <c r="P41" s="260"/>
      <c r="Q41" s="287" t="str">
        <f>+N41</f>
        <v>CONCRETOS</v>
      </c>
      <c r="R41" s="288"/>
      <c r="S41" s="289"/>
    </row>
    <row r="42" spans="1:19" ht="36" customHeight="1" x14ac:dyDescent="0.2">
      <c r="A42" s="13">
        <v>3.1</v>
      </c>
      <c r="B42" s="2" t="s">
        <v>48</v>
      </c>
      <c r="C42" s="14">
        <v>1</v>
      </c>
      <c r="D42" s="15" t="s">
        <v>9</v>
      </c>
      <c r="E42" s="140">
        <f t="shared" si="0"/>
        <v>414671</v>
      </c>
      <c r="F42" s="141">
        <f t="shared" si="16"/>
        <v>78787</v>
      </c>
      <c r="G42" s="142">
        <f t="shared" si="2"/>
        <v>493458</v>
      </c>
      <c r="H42" s="7">
        <v>493458</v>
      </c>
      <c r="J42" s="170">
        <f>+ROUND(416670.588235294,0)</f>
        <v>416671</v>
      </c>
      <c r="K42" s="134">
        <f>+ROUND(J42*0.19,0)</f>
        <v>79167</v>
      </c>
      <c r="L42" s="171">
        <f t="shared" si="4"/>
        <v>495838</v>
      </c>
      <c r="N42" s="177">
        <v>650000</v>
      </c>
      <c r="O42" s="129">
        <f t="shared" ref="O42" si="18">+N42*0.19</f>
        <v>123500</v>
      </c>
      <c r="P42" s="183">
        <f t="shared" ref="P42:P55" si="19">+O42+N42</f>
        <v>773500</v>
      </c>
      <c r="Q42" s="189">
        <f t="shared" ref="Q42:Q55" si="20">+E42</f>
        <v>414671</v>
      </c>
      <c r="R42" s="144">
        <f t="shared" si="7"/>
        <v>78787</v>
      </c>
      <c r="S42" s="190">
        <f t="shared" si="8"/>
        <v>493458</v>
      </c>
    </row>
    <row r="43" spans="1:19" ht="30.75" customHeight="1" x14ac:dyDescent="0.2">
      <c r="A43" s="13">
        <v>3.2</v>
      </c>
      <c r="B43" s="2" t="s">
        <v>49</v>
      </c>
      <c r="C43" s="14">
        <v>1</v>
      </c>
      <c r="D43" s="15" t="s">
        <v>9</v>
      </c>
      <c r="E43" s="140">
        <f t="shared" si="0"/>
        <v>194211</v>
      </c>
      <c r="F43" s="141">
        <f t="shared" si="16"/>
        <v>36900</v>
      </c>
      <c r="G43" s="142">
        <f t="shared" si="2"/>
        <v>231111</v>
      </c>
      <c r="H43" s="7">
        <v>231111</v>
      </c>
      <c r="J43" s="170">
        <f>+ROUND(196210.924369748,0)</f>
        <v>196211</v>
      </c>
      <c r="K43" s="134">
        <f t="shared" ref="K43:K55" si="21">+ROUND(J43*0.19,0)</f>
        <v>37280</v>
      </c>
      <c r="L43" s="171">
        <f t="shared" si="4"/>
        <v>233491</v>
      </c>
      <c r="N43" s="177">
        <v>194211</v>
      </c>
      <c r="O43" s="129">
        <f>+ROUND(N43*0.19,0)</f>
        <v>36900</v>
      </c>
      <c r="P43" s="183">
        <f t="shared" si="19"/>
        <v>231111</v>
      </c>
      <c r="Q43" s="189">
        <f t="shared" si="20"/>
        <v>194211</v>
      </c>
      <c r="R43" s="144">
        <f t="shared" si="7"/>
        <v>36900</v>
      </c>
      <c r="S43" s="190">
        <f t="shared" si="8"/>
        <v>231111</v>
      </c>
    </row>
    <row r="44" spans="1:19" ht="27.75" customHeight="1" x14ac:dyDescent="0.2">
      <c r="A44" s="13">
        <v>3.3</v>
      </c>
      <c r="B44" s="2" t="s">
        <v>50</v>
      </c>
      <c r="C44" s="14">
        <v>1</v>
      </c>
      <c r="D44" s="15" t="s">
        <v>9</v>
      </c>
      <c r="E44" s="140">
        <f t="shared" si="0"/>
        <v>9188</v>
      </c>
      <c r="F44" s="141">
        <f t="shared" si="16"/>
        <v>1746</v>
      </c>
      <c r="G44" s="142">
        <f t="shared" si="2"/>
        <v>10934</v>
      </c>
      <c r="H44" s="7">
        <v>10934</v>
      </c>
      <c r="J44" s="170">
        <f>+ROUND(11188.2352941176,0)</f>
        <v>11188</v>
      </c>
      <c r="K44" s="134">
        <f t="shared" si="21"/>
        <v>2126</v>
      </c>
      <c r="L44" s="171">
        <f t="shared" si="4"/>
        <v>13314</v>
      </c>
      <c r="N44" s="177">
        <v>9350</v>
      </c>
      <c r="O44" s="129">
        <f t="shared" ref="O44:O55" si="22">+ROUND(N44*0.19,0)</f>
        <v>1777</v>
      </c>
      <c r="P44" s="183">
        <f t="shared" si="19"/>
        <v>11127</v>
      </c>
      <c r="Q44" s="189">
        <f t="shared" si="20"/>
        <v>9188</v>
      </c>
      <c r="R44" s="144">
        <f t="shared" si="7"/>
        <v>1746</v>
      </c>
      <c r="S44" s="190">
        <f t="shared" si="8"/>
        <v>10934</v>
      </c>
    </row>
    <row r="45" spans="1:19" ht="42.75" customHeight="1" x14ac:dyDescent="0.2">
      <c r="A45" s="13">
        <v>3.4</v>
      </c>
      <c r="B45" s="2" t="s">
        <v>51</v>
      </c>
      <c r="C45" s="14">
        <v>1</v>
      </c>
      <c r="D45" s="15" t="s">
        <v>9</v>
      </c>
      <c r="E45" s="140">
        <f t="shared" si="0"/>
        <v>12101</v>
      </c>
      <c r="F45" s="141">
        <f t="shared" si="16"/>
        <v>2299</v>
      </c>
      <c r="G45" s="142">
        <f t="shared" si="2"/>
        <v>14400</v>
      </c>
      <c r="H45" s="7">
        <v>14400</v>
      </c>
      <c r="J45" s="170">
        <f>+ROUND(14100.8403361345,0)</f>
        <v>14101</v>
      </c>
      <c r="K45" s="134">
        <f t="shared" si="21"/>
        <v>2679</v>
      </c>
      <c r="L45" s="171">
        <f t="shared" si="4"/>
        <v>16780</v>
      </c>
      <c r="N45" s="177">
        <v>15000</v>
      </c>
      <c r="O45" s="129">
        <f t="shared" si="22"/>
        <v>2850</v>
      </c>
      <c r="P45" s="183">
        <f t="shared" si="19"/>
        <v>17850</v>
      </c>
      <c r="Q45" s="189">
        <f t="shared" si="20"/>
        <v>12101</v>
      </c>
      <c r="R45" s="144">
        <f t="shared" si="7"/>
        <v>2299</v>
      </c>
      <c r="S45" s="190">
        <f t="shared" si="8"/>
        <v>14400</v>
      </c>
    </row>
    <row r="46" spans="1:19" ht="44.25" customHeight="1" x14ac:dyDescent="0.2">
      <c r="A46" s="13">
        <v>3.5</v>
      </c>
      <c r="B46" s="2" t="s">
        <v>52</v>
      </c>
      <c r="C46" s="14">
        <v>1</v>
      </c>
      <c r="D46" s="15" t="s">
        <v>9</v>
      </c>
      <c r="E46" s="140">
        <f t="shared" si="0"/>
        <v>20475</v>
      </c>
      <c r="F46" s="141">
        <f t="shared" si="16"/>
        <v>3890</v>
      </c>
      <c r="G46" s="142">
        <f t="shared" si="2"/>
        <v>24365</v>
      </c>
      <c r="H46" s="7">
        <v>24365</v>
      </c>
      <c r="J46" s="170">
        <f>+ROUND(22474.7899159664,0)</f>
        <v>22475</v>
      </c>
      <c r="K46" s="134">
        <f t="shared" si="21"/>
        <v>4270</v>
      </c>
      <c r="L46" s="171">
        <f t="shared" si="4"/>
        <v>26745</v>
      </c>
      <c r="N46" s="177">
        <v>20475</v>
      </c>
      <c r="O46" s="129">
        <f t="shared" si="22"/>
        <v>3890</v>
      </c>
      <c r="P46" s="183">
        <f t="shared" si="19"/>
        <v>24365</v>
      </c>
      <c r="Q46" s="189">
        <f t="shared" si="20"/>
        <v>20475</v>
      </c>
      <c r="R46" s="144">
        <f t="shared" si="7"/>
        <v>3890</v>
      </c>
      <c r="S46" s="190">
        <f t="shared" si="8"/>
        <v>24365</v>
      </c>
    </row>
    <row r="47" spans="1:19" ht="45.75" customHeight="1" x14ac:dyDescent="0.2">
      <c r="A47" s="13">
        <v>3.6</v>
      </c>
      <c r="B47" s="2" t="s">
        <v>53</v>
      </c>
      <c r="C47" s="14">
        <v>1</v>
      </c>
      <c r="D47" s="15" t="s">
        <v>9</v>
      </c>
      <c r="E47" s="140">
        <f t="shared" si="0"/>
        <v>136500</v>
      </c>
      <c r="F47" s="141">
        <f t="shared" si="16"/>
        <v>25935</v>
      </c>
      <c r="G47" s="142">
        <f t="shared" si="2"/>
        <v>162435</v>
      </c>
      <c r="H47" s="7">
        <v>162435</v>
      </c>
      <c r="J47" s="170">
        <v>138500</v>
      </c>
      <c r="K47" s="134">
        <f t="shared" si="21"/>
        <v>26315</v>
      </c>
      <c r="L47" s="171">
        <f t="shared" si="4"/>
        <v>164815</v>
      </c>
      <c r="N47" s="177">
        <v>150000</v>
      </c>
      <c r="O47" s="129">
        <f t="shared" si="22"/>
        <v>28500</v>
      </c>
      <c r="P47" s="183">
        <f t="shared" si="19"/>
        <v>178500</v>
      </c>
      <c r="Q47" s="189">
        <f t="shared" si="20"/>
        <v>136500</v>
      </c>
      <c r="R47" s="144">
        <f t="shared" si="7"/>
        <v>25935</v>
      </c>
      <c r="S47" s="190">
        <f t="shared" si="8"/>
        <v>162435</v>
      </c>
    </row>
    <row r="48" spans="1:19" ht="44.25" customHeight="1" x14ac:dyDescent="0.2">
      <c r="A48" s="13">
        <v>3.7</v>
      </c>
      <c r="B48" s="2" t="s">
        <v>54</v>
      </c>
      <c r="C48" s="14">
        <v>1</v>
      </c>
      <c r="D48" s="15" t="s">
        <v>9</v>
      </c>
      <c r="E48" s="140">
        <f t="shared" si="0"/>
        <v>232496</v>
      </c>
      <c r="F48" s="141">
        <f t="shared" si="16"/>
        <v>44174</v>
      </c>
      <c r="G48" s="142">
        <f t="shared" si="2"/>
        <v>276670</v>
      </c>
      <c r="H48" s="7">
        <v>276670</v>
      </c>
      <c r="J48" s="170">
        <f>+ROUND(234495.798319328,0)</f>
        <v>234496</v>
      </c>
      <c r="K48" s="134">
        <f t="shared" si="21"/>
        <v>44554</v>
      </c>
      <c r="L48" s="171">
        <f t="shared" si="4"/>
        <v>279050</v>
      </c>
      <c r="N48" s="177">
        <v>232496</v>
      </c>
      <c r="O48" s="129">
        <f t="shared" si="22"/>
        <v>44174</v>
      </c>
      <c r="P48" s="183">
        <f t="shared" si="19"/>
        <v>276670</v>
      </c>
      <c r="Q48" s="189">
        <f t="shared" si="20"/>
        <v>232496</v>
      </c>
      <c r="R48" s="144">
        <f t="shared" si="7"/>
        <v>44174</v>
      </c>
      <c r="S48" s="190">
        <f t="shared" si="8"/>
        <v>276670</v>
      </c>
    </row>
    <row r="49" spans="1:19" ht="26.25" customHeight="1" x14ac:dyDescent="0.2">
      <c r="A49" s="13">
        <v>3.8</v>
      </c>
      <c r="B49" s="2" t="s">
        <v>55</v>
      </c>
      <c r="C49" s="14">
        <v>1</v>
      </c>
      <c r="D49" s="15" t="s">
        <v>9</v>
      </c>
      <c r="E49" s="140">
        <f t="shared" si="0"/>
        <v>16538</v>
      </c>
      <c r="F49" s="141">
        <f t="shared" si="16"/>
        <v>3142</v>
      </c>
      <c r="G49" s="142">
        <f t="shared" si="2"/>
        <v>19680</v>
      </c>
      <c r="H49" s="7">
        <v>19680</v>
      </c>
      <c r="J49" s="170">
        <f>+ROUND(18537.8151260504,0)</f>
        <v>18538</v>
      </c>
      <c r="K49" s="134">
        <f t="shared" si="21"/>
        <v>3522</v>
      </c>
      <c r="L49" s="171">
        <f t="shared" si="4"/>
        <v>22060</v>
      </c>
      <c r="N49" s="177">
        <v>16538</v>
      </c>
      <c r="O49" s="129">
        <f t="shared" si="22"/>
        <v>3142</v>
      </c>
      <c r="P49" s="183">
        <f t="shared" si="19"/>
        <v>19680</v>
      </c>
      <c r="Q49" s="189">
        <f t="shared" si="20"/>
        <v>16538</v>
      </c>
      <c r="R49" s="144">
        <f t="shared" si="7"/>
        <v>3142</v>
      </c>
      <c r="S49" s="190">
        <f t="shared" si="8"/>
        <v>19680</v>
      </c>
    </row>
    <row r="50" spans="1:19" ht="36" customHeight="1" x14ac:dyDescent="0.2">
      <c r="A50" s="13">
        <v>3.9</v>
      </c>
      <c r="B50" s="2" t="s">
        <v>56</v>
      </c>
      <c r="C50" s="14">
        <v>1</v>
      </c>
      <c r="D50" s="15" t="s">
        <v>9</v>
      </c>
      <c r="E50" s="140">
        <f t="shared" si="0"/>
        <v>20213</v>
      </c>
      <c r="F50" s="141">
        <f t="shared" si="16"/>
        <v>3840</v>
      </c>
      <c r="G50" s="142">
        <f t="shared" si="2"/>
        <v>24053</v>
      </c>
      <c r="H50" s="7">
        <v>24053</v>
      </c>
      <c r="J50" s="170">
        <f>+ROUND(22212.6050420168,0)</f>
        <v>22213</v>
      </c>
      <c r="K50" s="134">
        <f t="shared" si="21"/>
        <v>4220</v>
      </c>
      <c r="L50" s="171">
        <f t="shared" si="4"/>
        <v>26433</v>
      </c>
      <c r="N50" s="177">
        <v>30000</v>
      </c>
      <c r="O50" s="129">
        <f t="shared" si="22"/>
        <v>5700</v>
      </c>
      <c r="P50" s="183">
        <f t="shared" si="19"/>
        <v>35700</v>
      </c>
      <c r="Q50" s="189">
        <f t="shared" si="20"/>
        <v>20213</v>
      </c>
      <c r="R50" s="144">
        <f t="shared" si="7"/>
        <v>3840</v>
      </c>
      <c r="S50" s="190">
        <f t="shared" si="8"/>
        <v>24053</v>
      </c>
    </row>
    <row r="51" spans="1:19" ht="43.5" customHeight="1" x14ac:dyDescent="0.2">
      <c r="A51" s="13">
        <v>3.1</v>
      </c>
      <c r="B51" s="2" t="s">
        <v>57</v>
      </c>
      <c r="C51" s="14">
        <v>1</v>
      </c>
      <c r="D51" s="15" t="s">
        <v>58</v>
      </c>
      <c r="E51" s="140">
        <f t="shared" si="0"/>
        <v>1261</v>
      </c>
      <c r="F51" s="141">
        <f t="shared" si="16"/>
        <v>240</v>
      </c>
      <c r="G51" s="142">
        <f t="shared" si="2"/>
        <v>1501</v>
      </c>
      <c r="H51" s="7">
        <v>1500</v>
      </c>
      <c r="J51" s="170">
        <f>+ROUND(3260.50420168067,0)</f>
        <v>3261</v>
      </c>
      <c r="K51" s="134">
        <f t="shared" si="21"/>
        <v>620</v>
      </c>
      <c r="L51" s="171">
        <f t="shared" si="4"/>
        <v>3881</v>
      </c>
      <c r="N51" s="177">
        <v>2500</v>
      </c>
      <c r="O51" s="129">
        <f t="shared" si="22"/>
        <v>475</v>
      </c>
      <c r="P51" s="183">
        <f t="shared" si="19"/>
        <v>2975</v>
      </c>
      <c r="Q51" s="189">
        <f t="shared" si="20"/>
        <v>1261</v>
      </c>
      <c r="R51" s="144">
        <f t="shared" si="7"/>
        <v>240</v>
      </c>
      <c r="S51" s="190">
        <f t="shared" si="8"/>
        <v>1501</v>
      </c>
    </row>
    <row r="52" spans="1:19" ht="39" customHeight="1" x14ac:dyDescent="0.2">
      <c r="A52" s="13">
        <v>3.11</v>
      </c>
      <c r="B52" s="2" t="s">
        <v>59</v>
      </c>
      <c r="C52" s="14">
        <v>1</v>
      </c>
      <c r="D52" s="15" t="s">
        <v>9</v>
      </c>
      <c r="E52" s="140">
        <f t="shared" si="0"/>
        <v>11288</v>
      </c>
      <c r="F52" s="141">
        <f t="shared" si="16"/>
        <v>2145</v>
      </c>
      <c r="G52" s="142">
        <f t="shared" si="2"/>
        <v>13433</v>
      </c>
      <c r="H52" s="7">
        <v>13433</v>
      </c>
      <c r="J52" s="170">
        <f>+ROUND(13288.2352941176,0)</f>
        <v>13288</v>
      </c>
      <c r="K52" s="134">
        <f t="shared" si="21"/>
        <v>2525</v>
      </c>
      <c r="L52" s="171">
        <f t="shared" si="4"/>
        <v>15813</v>
      </c>
      <c r="N52" s="177">
        <v>14000</v>
      </c>
      <c r="O52" s="129">
        <f t="shared" si="22"/>
        <v>2660</v>
      </c>
      <c r="P52" s="183">
        <f t="shared" si="19"/>
        <v>16660</v>
      </c>
      <c r="Q52" s="189">
        <f t="shared" si="20"/>
        <v>11288</v>
      </c>
      <c r="R52" s="144">
        <f t="shared" si="7"/>
        <v>2145</v>
      </c>
      <c r="S52" s="190">
        <f t="shared" si="8"/>
        <v>13433</v>
      </c>
    </row>
    <row r="53" spans="1:19" ht="28.5" customHeight="1" x14ac:dyDescent="0.2">
      <c r="A53" s="13">
        <v>3.12</v>
      </c>
      <c r="B53" s="2" t="s">
        <v>60</v>
      </c>
      <c r="C53" s="14">
        <v>1</v>
      </c>
      <c r="D53" s="15" t="s">
        <v>9</v>
      </c>
      <c r="E53" s="140">
        <f t="shared" si="0"/>
        <v>391388</v>
      </c>
      <c r="F53" s="141">
        <f t="shared" si="16"/>
        <v>74364</v>
      </c>
      <c r="G53" s="142">
        <f t="shared" si="2"/>
        <v>465752</v>
      </c>
      <c r="H53" s="7">
        <v>465752</v>
      </c>
      <c r="J53" s="170">
        <f>+ROUND(393388.235294118,0)</f>
        <v>393388</v>
      </c>
      <c r="K53" s="134">
        <f t="shared" si="21"/>
        <v>74744</v>
      </c>
      <c r="L53" s="171">
        <f t="shared" si="4"/>
        <v>468132</v>
      </c>
      <c r="N53" s="177">
        <v>500000</v>
      </c>
      <c r="O53" s="129">
        <f t="shared" si="22"/>
        <v>95000</v>
      </c>
      <c r="P53" s="183">
        <f t="shared" si="19"/>
        <v>595000</v>
      </c>
      <c r="Q53" s="189">
        <f t="shared" si="20"/>
        <v>391388</v>
      </c>
      <c r="R53" s="144">
        <f t="shared" si="7"/>
        <v>74364</v>
      </c>
      <c r="S53" s="190">
        <f t="shared" si="8"/>
        <v>465752</v>
      </c>
    </row>
    <row r="54" spans="1:19" ht="23.25" customHeight="1" x14ac:dyDescent="0.2">
      <c r="A54" s="13">
        <v>3.13</v>
      </c>
      <c r="B54" s="2" t="s">
        <v>61</v>
      </c>
      <c r="C54" s="14">
        <v>1</v>
      </c>
      <c r="D54" s="15" t="s">
        <v>9</v>
      </c>
      <c r="E54" s="140">
        <f t="shared" si="0"/>
        <v>11288</v>
      </c>
      <c r="F54" s="141">
        <f t="shared" si="16"/>
        <v>2145</v>
      </c>
      <c r="G54" s="142">
        <f t="shared" si="2"/>
        <v>13433</v>
      </c>
      <c r="H54" s="7">
        <v>13433</v>
      </c>
      <c r="J54" s="170">
        <f>+ROUND(13288.2352941176,0)</f>
        <v>13288</v>
      </c>
      <c r="K54" s="134">
        <f t="shared" si="21"/>
        <v>2525</v>
      </c>
      <c r="L54" s="171">
        <f t="shared" si="4"/>
        <v>15813</v>
      </c>
      <c r="N54" s="177">
        <v>15000</v>
      </c>
      <c r="O54" s="129">
        <f t="shared" si="22"/>
        <v>2850</v>
      </c>
      <c r="P54" s="183">
        <f t="shared" si="19"/>
        <v>17850</v>
      </c>
      <c r="Q54" s="189">
        <f t="shared" si="20"/>
        <v>11288</v>
      </c>
      <c r="R54" s="144">
        <f t="shared" si="7"/>
        <v>2145</v>
      </c>
      <c r="S54" s="190">
        <f t="shared" si="8"/>
        <v>13433</v>
      </c>
    </row>
    <row r="55" spans="1:19" ht="24" customHeight="1" x14ac:dyDescent="0.2">
      <c r="A55" s="13">
        <v>3.14</v>
      </c>
      <c r="B55" s="2" t="s">
        <v>62</v>
      </c>
      <c r="C55" s="14">
        <v>1</v>
      </c>
      <c r="D55" s="15" t="s">
        <v>9</v>
      </c>
      <c r="E55" s="140">
        <f t="shared" si="0"/>
        <v>76309</v>
      </c>
      <c r="F55" s="141">
        <f t="shared" si="16"/>
        <v>14499</v>
      </c>
      <c r="G55" s="142">
        <f t="shared" si="2"/>
        <v>90808</v>
      </c>
      <c r="H55" s="7">
        <v>90808</v>
      </c>
      <c r="J55" s="170">
        <f>+ROUND(78309.243697479,0)</f>
        <v>78309</v>
      </c>
      <c r="K55" s="134">
        <f t="shared" si="21"/>
        <v>14879</v>
      </c>
      <c r="L55" s="171">
        <f t="shared" si="4"/>
        <v>93188</v>
      </c>
      <c r="N55" s="177">
        <v>76309</v>
      </c>
      <c r="O55" s="129">
        <f t="shared" si="22"/>
        <v>14499</v>
      </c>
      <c r="P55" s="183">
        <f t="shared" si="19"/>
        <v>90808</v>
      </c>
      <c r="Q55" s="189">
        <f t="shared" si="20"/>
        <v>76309</v>
      </c>
      <c r="R55" s="144">
        <f t="shared" si="7"/>
        <v>14499</v>
      </c>
      <c r="S55" s="190">
        <f t="shared" si="8"/>
        <v>90808</v>
      </c>
    </row>
    <row r="56" spans="1:19" ht="15" customHeight="1" x14ac:dyDescent="0.2">
      <c r="A56" s="198">
        <v>4</v>
      </c>
      <c r="B56" s="308" t="s">
        <v>63</v>
      </c>
      <c r="C56" s="309"/>
      <c r="D56" s="309"/>
      <c r="E56" s="309"/>
      <c r="F56" s="309"/>
      <c r="G56" s="310"/>
      <c r="H56" s="193"/>
      <c r="I56" s="194"/>
      <c r="J56" s="257" t="str">
        <f>+B56</f>
        <v>ASFALTOS</v>
      </c>
      <c r="K56" s="258"/>
      <c r="L56" s="259"/>
      <c r="M56" s="194"/>
      <c r="N56" s="257" t="str">
        <f>+J56</f>
        <v>ASFALTOS</v>
      </c>
      <c r="O56" s="258"/>
      <c r="P56" s="260"/>
      <c r="Q56" s="287" t="str">
        <f>+N56</f>
        <v>ASFALTOS</v>
      </c>
      <c r="R56" s="288"/>
      <c r="S56" s="289"/>
    </row>
    <row r="57" spans="1:19" x14ac:dyDescent="0.2">
      <c r="A57" s="13">
        <v>4.0999999999999996</v>
      </c>
      <c r="B57" s="2" t="s">
        <v>64</v>
      </c>
      <c r="C57" s="14">
        <v>1</v>
      </c>
      <c r="D57" s="15" t="s">
        <v>9</v>
      </c>
      <c r="E57" s="140">
        <f t="shared" si="0"/>
        <v>47696</v>
      </c>
      <c r="F57" s="141">
        <f t="shared" si="16"/>
        <v>9062</v>
      </c>
      <c r="G57" s="142">
        <f t="shared" si="2"/>
        <v>56758</v>
      </c>
      <c r="H57" s="7">
        <v>56758</v>
      </c>
      <c r="J57" s="172">
        <f>+ROUND(49695.7983193277,0)</f>
        <v>49696</v>
      </c>
      <c r="K57" s="134">
        <f>+ROUND(J57*0.19,0)</f>
        <v>9442</v>
      </c>
      <c r="L57" s="135">
        <f t="shared" ref="L57:L63" si="23">+K57+J57</f>
        <v>59138</v>
      </c>
      <c r="N57" s="178">
        <v>50000</v>
      </c>
      <c r="O57" s="129">
        <f>+ROUND(N57*0.19,0)</f>
        <v>9500</v>
      </c>
      <c r="P57" s="184">
        <f t="shared" ref="P57:P63" si="24">+O57+N57</f>
        <v>59500</v>
      </c>
      <c r="Q57" s="189">
        <f t="shared" ref="Q57:Q63" si="25">+E57</f>
        <v>47696</v>
      </c>
      <c r="R57" s="144">
        <f t="shared" si="7"/>
        <v>9062</v>
      </c>
      <c r="S57" s="190">
        <f t="shared" si="8"/>
        <v>56758</v>
      </c>
    </row>
    <row r="58" spans="1:19" ht="21.75" customHeight="1" x14ac:dyDescent="0.2">
      <c r="A58" s="13">
        <v>4.2</v>
      </c>
      <c r="B58" s="2" t="s">
        <v>65</v>
      </c>
      <c r="C58" s="14">
        <v>1</v>
      </c>
      <c r="D58" s="15" t="s">
        <v>9</v>
      </c>
      <c r="E58" s="140">
        <f t="shared" si="0"/>
        <v>45465</v>
      </c>
      <c r="F58" s="141">
        <f t="shared" si="16"/>
        <v>8638</v>
      </c>
      <c r="G58" s="142">
        <f t="shared" si="2"/>
        <v>54103</v>
      </c>
      <c r="H58" s="7">
        <v>54103</v>
      </c>
      <c r="J58" s="172">
        <f>+ROUND(47464.7058823529,0)</f>
        <v>47465</v>
      </c>
      <c r="K58" s="134">
        <f t="shared" ref="K58:K63" si="26">+ROUND(J58*0.19,0)</f>
        <v>9018</v>
      </c>
      <c r="L58" s="135">
        <f t="shared" si="23"/>
        <v>56483</v>
      </c>
      <c r="N58" s="178">
        <v>55000</v>
      </c>
      <c r="O58" s="129">
        <f t="shared" ref="O58:O63" si="27">+ROUND(N58*0.19,0)</f>
        <v>10450</v>
      </c>
      <c r="P58" s="184">
        <f t="shared" si="24"/>
        <v>65450</v>
      </c>
      <c r="Q58" s="189">
        <f t="shared" si="25"/>
        <v>45465</v>
      </c>
      <c r="R58" s="144">
        <f t="shared" si="7"/>
        <v>8638</v>
      </c>
      <c r="S58" s="190">
        <f t="shared" si="8"/>
        <v>54103</v>
      </c>
    </row>
    <row r="59" spans="1:19" ht="21" customHeight="1" x14ac:dyDescent="0.2">
      <c r="A59" s="13">
        <v>4.3</v>
      </c>
      <c r="B59" s="2" t="s">
        <v>66</v>
      </c>
      <c r="C59" s="14">
        <v>1</v>
      </c>
      <c r="D59" s="15" t="s">
        <v>9</v>
      </c>
      <c r="E59" s="140">
        <f t="shared" si="0"/>
        <v>10395</v>
      </c>
      <c r="F59" s="141">
        <f t="shared" si="16"/>
        <v>1975</v>
      </c>
      <c r="G59" s="142">
        <f t="shared" si="2"/>
        <v>12370</v>
      </c>
      <c r="H59" s="7">
        <v>12370</v>
      </c>
      <c r="J59" s="172">
        <f>+ROUND(12394.9579831933,0)</f>
        <v>12395</v>
      </c>
      <c r="K59" s="134">
        <f t="shared" si="26"/>
        <v>2355</v>
      </c>
      <c r="L59" s="135">
        <f t="shared" si="23"/>
        <v>14750</v>
      </c>
      <c r="N59" s="178">
        <v>12000</v>
      </c>
      <c r="O59" s="129">
        <f t="shared" si="27"/>
        <v>2280</v>
      </c>
      <c r="P59" s="184">
        <f t="shared" si="24"/>
        <v>14280</v>
      </c>
      <c r="Q59" s="189">
        <f t="shared" si="25"/>
        <v>10395</v>
      </c>
      <c r="R59" s="144">
        <f t="shared" si="7"/>
        <v>1975</v>
      </c>
      <c r="S59" s="190">
        <f t="shared" si="8"/>
        <v>12370</v>
      </c>
    </row>
    <row r="60" spans="1:19" ht="27" customHeight="1" x14ac:dyDescent="0.2">
      <c r="A60" s="13">
        <v>4.4000000000000004</v>
      </c>
      <c r="B60" s="2" t="s">
        <v>67</v>
      </c>
      <c r="C60" s="14">
        <v>1</v>
      </c>
      <c r="D60" s="15" t="s">
        <v>9</v>
      </c>
      <c r="E60" s="140">
        <f t="shared" si="0"/>
        <v>33613</v>
      </c>
      <c r="F60" s="141">
        <f t="shared" si="16"/>
        <v>6386</v>
      </c>
      <c r="G60" s="142">
        <f t="shared" si="2"/>
        <v>39999</v>
      </c>
      <c r="H60" s="7">
        <v>40000</v>
      </c>
      <c r="J60" s="172">
        <f>+ROUND(35613.4453781513,0)</f>
        <v>35613</v>
      </c>
      <c r="K60" s="134">
        <f t="shared" si="26"/>
        <v>6766</v>
      </c>
      <c r="L60" s="135">
        <f t="shared" si="23"/>
        <v>42379</v>
      </c>
      <c r="N60" s="178">
        <v>33613</v>
      </c>
      <c r="O60" s="129">
        <f t="shared" si="27"/>
        <v>6386</v>
      </c>
      <c r="P60" s="184">
        <f t="shared" si="24"/>
        <v>39999</v>
      </c>
      <c r="Q60" s="189">
        <f t="shared" si="25"/>
        <v>33613</v>
      </c>
      <c r="R60" s="144">
        <f t="shared" si="7"/>
        <v>6386</v>
      </c>
      <c r="S60" s="190">
        <f t="shared" si="8"/>
        <v>39999</v>
      </c>
    </row>
    <row r="61" spans="1:19" ht="29.25" customHeight="1" x14ac:dyDescent="0.2">
      <c r="A61" s="13">
        <v>4.5</v>
      </c>
      <c r="B61" s="2" t="s">
        <v>68</v>
      </c>
      <c r="C61" s="14">
        <v>1</v>
      </c>
      <c r="D61" s="15" t="s">
        <v>9</v>
      </c>
      <c r="E61" s="140">
        <f t="shared" si="0"/>
        <v>42017</v>
      </c>
      <c r="F61" s="141">
        <f t="shared" si="16"/>
        <v>7983</v>
      </c>
      <c r="G61" s="142">
        <f t="shared" si="2"/>
        <v>50000</v>
      </c>
      <c r="H61" s="7">
        <v>50000</v>
      </c>
      <c r="J61" s="172">
        <f>+ROUND(44016.8067226891,0)</f>
        <v>44017</v>
      </c>
      <c r="K61" s="134">
        <f t="shared" si="26"/>
        <v>8363</v>
      </c>
      <c r="L61" s="135">
        <f t="shared" si="23"/>
        <v>52380</v>
      </c>
      <c r="N61" s="178">
        <v>42017</v>
      </c>
      <c r="O61" s="129">
        <f t="shared" si="27"/>
        <v>7983</v>
      </c>
      <c r="P61" s="184">
        <f t="shared" si="24"/>
        <v>50000</v>
      </c>
      <c r="Q61" s="189">
        <f t="shared" si="25"/>
        <v>42017</v>
      </c>
      <c r="R61" s="144">
        <f t="shared" si="7"/>
        <v>7983</v>
      </c>
      <c r="S61" s="190">
        <f t="shared" si="8"/>
        <v>50000</v>
      </c>
    </row>
    <row r="62" spans="1:19" ht="30.75" customHeight="1" x14ac:dyDescent="0.2">
      <c r="A62" s="13">
        <v>4.5999999999999996</v>
      </c>
      <c r="B62" s="2" t="s">
        <v>69</v>
      </c>
      <c r="C62" s="14">
        <v>1</v>
      </c>
      <c r="D62" s="15" t="s">
        <v>9</v>
      </c>
      <c r="E62" s="140">
        <f t="shared" si="0"/>
        <v>126050</v>
      </c>
      <c r="F62" s="141">
        <f t="shared" si="16"/>
        <v>23950</v>
      </c>
      <c r="G62" s="142">
        <f t="shared" si="2"/>
        <v>150000</v>
      </c>
      <c r="H62" s="7">
        <v>150000</v>
      </c>
      <c r="J62" s="172">
        <f>+ROUND(128050.420168067,0)</f>
        <v>128050</v>
      </c>
      <c r="K62" s="134">
        <f t="shared" si="26"/>
        <v>24330</v>
      </c>
      <c r="L62" s="135">
        <f t="shared" si="23"/>
        <v>152380</v>
      </c>
      <c r="N62" s="178">
        <v>200000</v>
      </c>
      <c r="O62" s="129">
        <f t="shared" si="27"/>
        <v>38000</v>
      </c>
      <c r="P62" s="184">
        <f t="shared" si="24"/>
        <v>238000</v>
      </c>
      <c r="Q62" s="189">
        <f t="shared" si="25"/>
        <v>126050</v>
      </c>
      <c r="R62" s="144">
        <f t="shared" si="7"/>
        <v>23950</v>
      </c>
      <c r="S62" s="190">
        <f t="shared" si="8"/>
        <v>150000</v>
      </c>
    </row>
    <row r="63" spans="1:19" ht="36.75" customHeight="1" x14ac:dyDescent="0.2">
      <c r="A63" s="13">
        <v>4.7</v>
      </c>
      <c r="B63" s="2" t="s">
        <v>70</v>
      </c>
      <c r="C63" s="14">
        <v>1</v>
      </c>
      <c r="D63" s="15" t="s">
        <v>9</v>
      </c>
      <c r="E63" s="140">
        <f t="shared" si="0"/>
        <v>1050000</v>
      </c>
      <c r="F63" s="141">
        <f t="shared" si="16"/>
        <v>199500</v>
      </c>
      <c r="G63" s="142">
        <f t="shared" si="2"/>
        <v>1249500</v>
      </c>
      <c r="H63" s="7">
        <v>1249500</v>
      </c>
      <c r="J63" s="172">
        <v>1052000</v>
      </c>
      <c r="K63" s="134">
        <f t="shared" si="26"/>
        <v>199880</v>
      </c>
      <c r="L63" s="135">
        <f t="shared" si="23"/>
        <v>1251880</v>
      </c>
      <c r="N63" s="178">
        <v>1050000</v>
      </c>
      <c r="O63" s="129">
        <f t="shared" si="27"/>
        <v>199500</v>
      </c>
      <c r="P63" s="184">
        <f t="shared" si="24"/>
        <v>1249500</v>
      </c>
      <c r="Q63" s="189">
        <f t="shared" si="25"/>
        <v>1050000</v>
      </c>
      <c r="R63" s="144">
        <f t="shared" si="7"/>
        <v>199500</v>
      </c>
      <c r="S63" s="190">
        <f t="shared" si="8"/>
        <v>1249500</v>
      </c>
    </row>
    <row r="64" spans="1:19" s="194" customFormat="1" x14ac:dyDescent="0.2">
      <c r="A64" s="198">
        <v>5</v>
      </c>
      <c r="B64" s="308" t="s">
        <v>71</v>
      </c>
      <c r="C64" s="309"/>
      <c r="D64" s="309"/>
      <c r="E64" s="309"/>
      <c r="F64" s="309"/>
      <c r="G64" s="310"/>
      <c r="H64" s="193"/>
      <c r="J64" s="257" t="str">
        <f>+B64</f>
        <v>MAMPOSTERÍA EN CONCRETO</v>
      </c>
      <c r="K64" s="258"/>
      <c r="L64" s="259"/>
      <c r="N64" s="257" t="str">
        <f>+J64</f>
        <v>MAMPOSTERÍA EN CONCRETO</v>
      </c>
      <c r="O64" s="258"/>
      <c r="P64" s="260"/>
      <c r="Q64" s="287" t="str">
        <f>+N64</f>
        <v>MAMPOSTERÍA EN CONCRETO</v>
      </c>
      <c r="R64" s="288"/>
      <c r="S64" s="289"/>
    </row>
    <row r="65" spans="1:19" ht="22.5" x14ac:dyDescent="0.2">
      <c r="A65" s="13">
        <v>5.0999999999999996</v>
      </c>
      <c r="B65" s="2" t="s">
        <v>72</v>
      </c>
      <c r="C65" s="14">
        <v>1</v>
      </c>
      <c r="D65" s="15" t="s">
        <v>9</v>
      </c>
      <c r="E65" s="140">
        <f t="shared" si="0"/>
        <v>16643</v>
      </c>
      <c r="F65" s="141">
        <f t="shared" si="16"/>
        <v>3162</v>
      </c>
      <c r="G65" s="142">
        <f t="shared" si="2"/>
        <v>19805</v>
      </c>
      <c r="H65" s="7">
        <v>19805</v>
      </c>
      <c r="J65" s="170">
        <f>+ROUND(18642.8571428571,0)</f>
        <v>18643</v>
      </c>
      <c r="K65" s="134">
        <f>+ROUND(J65*0.19,0)</f>
        <v>3542</v>
      </c>
      <c r="L65" s="135">
        <f t="shared" ref="L65:L66" si="28">+K65+J65</f>
        <v>22185</v>
      </c>
      <c r="N65" s="177">
        <v>20000</v>
      </c>
      <c r="O65" s="129">
        <f t="shared" ref="O65:O66" si="29">+N65*0.19</f>
        <v>3800</v>
      </c>
      <c r="P65" s="184">
        <f t="shared" ref="P65:P66" si="30">+O65+N65</f>
        <v>23800</v>
      </c>
      <c r="Q65" s="189">
        <f>+E65</f>
        <v>16643</v>
      </c>
      <c r="R65" s="144">
        <f t="shared" si="7"/>
        <v>3162</v>
      </c>
      <c r="S65" s="190">
        <f t="shared" si="8"/>
        <v>19805</v>
      </c>
    </row>
    <row r="66" spans="1:19" ht="22.5" x14ac:dyDescent="0.2">
      <c r="A66" s="13">
        <v>5.2</v>
      </c>
      <c r="B66" s="2" t="s">
        <v>73</v>
      </c>
      <c r="C66" s="14">
        <v>1</v>
      </c>
      <c r="D66" s="15" t="s">
        <v>9</v>
      </c>
      <c r="E66" s="140">
        <f>+ROUND((H66/1.19),0)</f>
        <v>15488</v>
      </c>
      <c r="F66" s="141">
        <f t="shared" si="16"/>
        <v>2943</v>
      </c>
      <c r="G66" s="142">
        <f t="shared" si="2"/>
        <v>18431</v>
      </c>
      <c r="H66" s="7">
        <v>18431</v>
      </c>
      <c r="J66" s="170">
        <f>+ROUND(17488.2352941176,0)</f>
        <v>17488</v>
      </c>
      <c r="K66" s="134">
        <f>+ROUND(J66*0.19,0)</f>
        <v>3323</v>
      </c>
      <c r="L66" s="135">
        <f t="shared" si="28"/>
        <v>20811</v>
      </c>
      <c r="N66" s="177">
        <v>20000</v>
      </c>
      <c r="O66" s="129">
        <f t="shared" si="29"/>
        <v>3800</v>
      </c>
      <c r="P66" s="184">
        <f t="shared" si="30"/>
        <v>23800</v>
      </c>
      <c r="Q66" s="189">
        <f>+E66</f>
        <v>15488</v>
      </c>
      <c r="R66" s="144">
        <f t="shared" si="7"/>
        <v>2943</v>
      </c>
      <c r="S66" s="190">
        <f t="shared" si="8"/>
        <v>18431</v>
      </c>
    </row>
    <row r="67" spans="1:19" s="194" customFormat="1" x14ac:dyDescent="0.2">
      <c r="A67" s="198">
        <v>6</v>
      </c>
      <c r="B67" s="308" t="s">
        <v>74</v>
      </c>
      <c r="C67" s="309"/>
      <c r="D67" s="309"/>
      <c r="E67" s="309"/>
      <c r="F67" s="309"/>
      <c r="G67" s="310"/>
      <c r="H67" s="193"/>
      <c r="J67" s="257" t="str">
        <f>+N67</f>
        <v>MAMPOSTERÍA EN ARCILLA</v>
      </c>
      <c r="K67" s="258"/>
      <c r="L67" s="259"/>
      <c r="N67" s="257" t="str">
        <f>+B67</f>
        <v>MAMPOSTERÍA EN ARCILLA</v>
      </c>
      <c r="O67" s="258"/>
      <c r="P67" s="260"/>
      <c r="Q67" s="287" t="str">
        <f>+N67</f>
        <v>MAMPOSTERÍA EN ARCILLA</v>
      </c>
      <c r="R67" s="288"/>
      <c r="S67" s="289"/>
    </row>
    <row r="68" spans="1:19" ht="22.5" x14ac:dyDescent="0.2">
      <c r="A68" s="152">
        <v>6.1</v>
      </c>
      <c r="B68" s="153" t="s">
        <v>75</v>
      </c>
      <c r="C68" s="154">
        <v>1</v>
      </c>
      <c r="D68" s="155" t="s">
        <v>9</v>
      </c>
      <c r="E68" s="140">
        <f>+ROUND((H68/1.19),0)</f>
        <v>16643</v>
      </c>
      <c r="F68" s="156">
        <f t="shared" si="16"/>
        <v>3162</v>
      </c>
      <c r="G68" s="157">
        <f>+ROUND(F68+E68,0)</f>
        <v>19805</v>
      </c>
      <c r="H68" s="7">
        <v>19805</v>
      </c>
      <c r="J68" s="173">
        <f>+ROUND(18642.8571428571,0)</f>
        <v>18643</v>
      </c>
      <c r="K68" s="158">
        <f>+ROUND(J68*0.19,0)</f>
        <v>3542</v>
      </c>
      <c r="L68" s="159">
        <f t="shared" ref="L68:L69" si="31">+K68+J68</f>
        <v>22185</v>
      </c>
      <c r="N68" s="180">
        <v>20000</v>
      </c>
      <c r="O68" s="160">
        <f t="shared" ref="O68:O69" si="32">+N68*0.19</f>
        <v>3800</v>
      </c>
      <c r="P68" s="185">
        <f t="shared" ref="P68:P69" si="33">+O68+N68</f>
        <v>23800</v>
      </c>
      <c r="Q68" s="191">
        <f>+E68</f>
        <v>16643</v>
      </c>
      <c r="R68" s="161">
        <f t="shared" si="7"/>
        <v>3162</v>
      </c>
      <c r="S68" s="192">
        <f t="shared" si="8"/>
        <v>19805</v>
      </c>
    </row>
    <row r="69" spans="1:19" ht="33.75" customHeight="1" x14ac:dyDescent="0.2">
      <c r="A69" s="13">
        <v>6.2</v>
      </c>
      <c r="B69" s="2" t="s">
        <v>76</v>
      </c>
      <c r="C69" s="14">
        <v>1</v>
      </c>
      <c r="D69" s="14" t="s">
        <v>9</v>
      </c>
      <c r="E69" s="140">
        <f>+ROUND((H69/1.19),0)</f>
        <v>13388</v>
      </c>
      <c r="F69" s="162">
        <f t="shared" si="16"/>
        <v>2544</v>
      </c>
      <c r="G69" s="142">
        <f>+ROUND(F69+E69,0)</f>
        <v>15932</v>
      </c>
      <c r="H69" s="165">
        <v>15932</v>
      </c>
      <c r="I69" s="168"/>
      <c r="J69" s="170">
        <f>+ROUND(15388.2352941176,0)</f>
        <v>15388</v>
      </c>
      <c r="K69" s="133">
        <f>+ROUND(J69*0.19,0)</f>
        <v>2924</v>
      </c>
      <c r="L69" s="135">
        <f t="shared" si="31"/>
        <v>18312</v>
      </c>
      <c r="M69" s="175"/>
      <c r="N69" s="177">
        <v>15000</v>
      </c>
      <c r="O69" s="128">
        <f t="shared" si="32"/>
        <v>2850</v>
      </c>
      <c r="P69" s="184">
        <f t="shared" si="33"/>
        <v>17850</v>
      </c>
      <c r="Q69" s="189">
        <f>+E69</f>
        <v>13388</v>
      </c>
      <c r="R69" s="144">
        <f t="shared" si="7"/>
        <v>2544</v>
      </c>
      <c r="S69" s="190">
        <f t="shared" si="8"/>
        <v>15932</v>
      </c>
    </row>
    <row r="70" spans="1:19" s="194" customFormat="1" ht="15" customHeight="1" x14ac:dyDescent="0.2">
      <c r="A70" s="198">
        <v>7</v>
      </c>
      <c r="B70" s="308" t="s">
        <v>77</v>
      </c>
      <c r="C70" s="309"/>
      <c r="D70" s="309"/>
      <c r="E70" s="309"/>
      <c r="F70" s="309"/>
      <c r="G70" s="310"/>
      <c r="H70" s="199"/>
      <c r="I70" s="200"/>
      <c r="J70" s="257" t="str">
        <f>+B70</f>
        <v>OTROS</v>
      </c>
      <c r="K70" s="258"/>
      <c r="L70" s="259"/>
      <c r="M70" s="201"/>
      <c r="N70" s="257" t="str">
        <f>+B70</f>
        <v>OTROS</v>
      </c>
      <c r="O70" s="258"/>
      <c r="P70" s="260"/>
      <c r="Q70" s="311" t="str">
        <f>+N70</f>
        <v>OTROS</v>
      </c>
      <c r="R70" s="312"/>
      <c r="S70" s="313"/>
    </row>
    <row r="71" spans="1:19" ht="39" customHeight="1" x14ac:dyDescent="0.2">
      <c r="A71" s="13">
        <v>7.1</v>
      </c>
      <c r="B71" s="2" t="s">
        <v>78</v>
      </c>
      <c r="C71" s="14">
        <v>1</v>
      </c>
      <c r="D71" s="14" t="s">
        <v>30</v>
      </c>
      <c r="E71" s="140">
        <v>779243</v>
      </c>
      <c r="F71" s="162">
        <f t="shared" si="16"/>
        <v>148056</v>
      </c>
      <c r="G71" s="142">
        <f t="shared" ref="G71:G74" si="34">+F71+E71</f>
        <v>927299</v>
      </c>
      <c r="H71" s="165"/>
      <c r="I71" s="168"/>
      <c r="J71" s="174">
        <v>980000</v>
      </c>
      <c r="K71" s="163">
        <f t="shared" ref="K71:K74" si="35">+J71*0.19</f>
        <v>186200</v>
      </c>
      <c r="L71" s="136">
        <f t="shared" ref="L71:L74" si="36">+K71+J71</f>
        <v>1166200</v>
      </c>
      <c r="M71" s="175"/>
      <c r="N71" s="181">
        <v>960000</v>
      </c>
      <c r="O71" s="164">
        <f t="shared" ref="O71:O73" si="37">+N71*0.19</f>
        <v>182400</v>
      </c>
      <c r="P71" s="186">
        <f t="shared" ref="P71:P74" si="38">+O71+N71</f>
        <v>1142400</v>
      </c>
      <c r="Q71" s="189">
        <f>+E71</f>
        <v>779243</v>
      </c>
      <c r="R71" s="144">
        <f t="shared" ref="R71:R74" si="39">ROUND(Q71*0.19,)</f>
        <v>148056</v>
      </c>
      <c r="S71" s="190">
        <f t="shared" ref="S71:S74" si="40">+R71+Q71</f>
        <v>927299</v>
      </c>
    </row>
    <row r="72" spans="1:19" ht="45" customHeight="1" x14ac:dyDescent="0.2">
      <c r="A72" s="13">
        <v>7.2</v>
      </c>
      <c r="B72" s="2" t="s">
        <v>79</v>
      </c>
      <c r="C72" s="14">
        <v>1</v>
      </c>
      <c r="D72" s="14" t="s">
        <v>30</v>
      </c>
      <c r="E72" s="140">
        <v>486229</v>
      </c>
      <c r="F72" s="162">
        <f t="shared" si="16"/>
        <v>92384</v>
      </c>
      <c r="G72" s="142">
        <f t="shared" si="34"/>
        <v>578613</v>
      </c>
      <c r="H72" s="165"/>
      <c r="I72" s="168"/>
      <c r="J72" s="174">
        <v>510000</v>
      </c>
      <c r="K72" s="163">
        <f t="shared" si="35"/>
        <v>96900</v>
      </c>
      <c r="L72" s="136">
        <f t="shared" si="36"/>
        <v>606900</v>
      </c>
      <c r="M72" s="175"/>
      <c r="N72" s="181">
        <v>500000</v>
      </c>
      <c r="O72" s="164">
        <f t="shared" si="37"/>
        <v>95000</v>
      </c>
      <c r="P72" s="186">
        <f t="shared" si="38"/>
        <v>595000</v>
      </c>
      <c r="Q72" s="189">
        <f>+E72</f>
        <v>486229</v>
      </c>
      <c r="R72" s="144">
        <f t="shared" si="39"/>
        <v>92384</v>
      </c>
      <c r="S72" s="190">
        <f t="shared" si="40"/>
        <v>578613</v>
      </c>
    </row>
    <row r="73" spans="1:19" ht="36.75" customHeight="1" x14ac:dyDescent="0.2">
      <c r="A73" s="13">
        <v>7.3</v>
      </c>
      <c r="B73" s="2" t="s">
        <v>80</v>
      </c>
      <c r="C73" s="14">
        <v>1</v>
      </c>
      <c r="D73" s="14" t="s">
        <v>81</v>
      </c>
      <c r="E73" s="140">
        <v>409455</v>
      </c>
      <c r="F73" s="162">
        <f t="shared" si="16"/>
        <v>77796</v>
      </c>
      <c r="G73" s="142">
        <f t="shared" si="34"/>
        <v>487251</v>
      </c>
      <c r="H73" s="165">
        <v>350000</v>
      </c>
      <c r="I73" s="168"/>
      <c r="J73" s="174">
        <v>450000</v>
      </c>
      <c r="K73" s="163">
        <f t="shared" si="35"/>
        <v>85500</v>
      </c>
      <c r="L73" s="136">
        <f t="shared" si="36"/>
        <v>535500</v>
      </c>
      <c r="M73" s="175"/>
      <c r="N73" s="181">
        <v>420000</v>
      </c>
      <c r="O73" s="164">
        <f t="shared" si="37"/>
        <v>79800</v>
      </c>
      <c r="P73" s="186">
        <f t="shared" si="38"/>
        <v>499800</v>
      </c>
      <c r="Q73" s="189">
        <f>+E73</f>
        <v>409455</v>
      </c>
      <c r="R73" s="144">
        <f t="shared" si="39"/>
        <v>77796</v>
      </c>
      <c r="S73" s="190">
        <f t="shared" si="40"/>
        <v>487251</v>
      </c>
    </row>
    <row r="74" spans="1:19" ht="50.25" customHeight="1" x14ac:dyDescent="0.2">
      <c r="A74" s="13">
        <v>7.4</v>
      </c>
      <c r="B74" s="2" t="s">
        <v>82</v>
      </c>
      <c r="C74" s="14">
        <v>1</v>
      </c>
      <c r="D74" s="14" t="s">
        <v>81</v>
      </c>
      <c r="E74" s="140">
        <v>249900</v>
      </c>
      <c r="F74" s="162">
        <f t="shared" si="16"/>
        <v>47481</v>
      </c>
      <c r="G74" s="142">
        <f t="shared" si="34"/>
        <v>297381</v>
      </c>
      <c r="H74" s="165">
        <v>193673</v>
      </c>
      <c r="I74" s="168"/>
      <c r="J74" s="174">
        <v>300000</v>
      </c>
      <c r="K74" s="163">
        <f t="shared" si="35"/>
        <v>57000</v>
      </c>
      <c r="L74" s="136">
        <f t="shared" si="36"/>
        <v>357000</v>
      </c>
      <c r="M74" s="175"/>
      <c r="N74" s="181">
        <v>273974</v>
      </c>
      <c r="O74" s="164">
        <f>+ROUND(N74*0.19,0)</f>
        <v>52055</v>
      </c>
      <c r="P74" s="186">
        <f t="shared" si="38"/>
        <v>326029</v>
      </c>
      <c r="Q74" s="189">
        <f>+E74</f>
        <v>249900</v>
      </c>
      <c r="R74" s="144">
        <f t="shared" si="39"/>
        <v>47481</v>
      </c>
      <c r="S74" s="190">
        <f t="shared" si="40"/>
        <v>297381</v>
      </c>
    </row>
    <row r="75" spans="1:19" ht="13.5" customHeight="1" x14ac:dyDescent="0.2">
      <c r="A75" s="272" t="str">
        <f>+J75</f>
        <v>VALOR TOTAL IVA INCLUIDO</v>
      </c>
      <c r="B75" s="273"/>
      <c r="C75" s="273"/>
      <c r="D75" s="273"/>
      <c r="E75" s="273"/>
      <c r="F75" s="274"/>
      <c r="G75" s="281">
        <f>SUM(G5:G74)</f>
        <v>11184867</v>
      </c>
      <c r="H75" s="165"/>
      <c r="I75" s="168"/>
      <c r="J75" s="296" t="str">
        <f>+Q75</f>
        <v>VALOR TOTAL IVA INCLUIDO</v>
      </c>
      <c r="K75" s="297"/>
      <c r="L75" s="305">
        <f>SUM(L5:L74)</f>
        <v>11938724</v>
      </c>
      <c r="M75" s="175"/>
      <c r="N75" s="296" t="str">
        <f>+J75</f>
        <v>VALOR TOTAL IVA INCLUIDO</v>
      </c>
      <c r="O75" s="297"/>
      <c r="P75" s="302">
        <f>SUM(P5:P74)</f>
        <v>12818138</v>
      </c>
      <c r="Q75" s="290" t="s">
        <v>105</v>
      </c>
      <c r="R75" s="291"/>
      <c r="S75" s="294">
        <f>+SUM(S5:S74)</f>
        <v>11051350</v>
      </c>
    </row>
    <row r="76" spans="1:19" ht="11.25" hidden="1" customHeight="1" x14ac:dyDescent="0.2">
      <c r="A76" s="275"/>
      <c r="B76" s="276"/>
      <c r="C76" s="276"/>
      <c r="D76" s="276"/>
      <c r="E76" s="276"/>
      <c r="F76" s="277"/>
      <c r="G76" s="255"/>
      <c r="H76" s="165"/>
      <c r="I76" s="168"/>
      <c r="J76" s="298"/>
      <c r="K76" s="299"/>
      <c r="L76" s="306"/>
      <c r="M76" s="175"/>
      <c r="N76" s="298"/>
      <c r="O76" s="299"/>
      <c r="P76" s="303"/>
      <c r="Q76" s="290"/>
      <c r="R76" s="291"/>
      <c r="S76" s="294"/>
    </row>
    <row r="77" spans="1:19" ht="12" thickBot="1" x14ac:dyDescent="0.25">
      <c r="A77" s="278"/>
      <c r="B77" s="279"/>
      <c r="C77" s="279"/>
      <c r="D77" s="279"/>
      <c r="E77" s="279"/>
      <c r="F77" s="280"/>
      <c r="G77" s="256"/>
      <c r="H77" s="165"/>
      <c r="I77" s="168"/>
      <c r="J77" s="300"/>
      <c r="K77" s="301"/>
      <c r="L77" s="307"/>
      <c r="M77" s="175"/>
      <c r="N77" s="300"/>
      <c r="O77" s="301"/>
      <c r="P77" s="304"/>
      <c r="Q77" s="292"/>
      <c r="R77" s="293"/>
      <c r="S77" s="295"/>
    </row>
    <row r="78" spans="1:19" s="146" customFormat="1" x14ac:dyDescent="0.2">
      <c r="A78" s="145"/>
      <c r="E78" s="147"/>
      <c r="F78" s="147"/>
      <c r="G78" s="147"/>
      <c r="H78" s="148"/>
      <c r="J78" s="149"/>
      <c r="K78" s="149"/>
      <c r="L78" s="149"/>
      <c r="N78" s="150"/>
      <c r="O78" s="150"/>
      <c r="P78" s="150"/>
      <c r="Q78" s="151"/>
      <c r="R78" s="151"/>
      <c r="S78" s="151"/>
    </row>
    <row r="79" spans="1:19" s="146" customFormat="1" x14ac:dyDescent="0.2">
      <c r="A79" s="145"/>
      <c r="E79" s="147"/>
      <c r="F79" s="147"/>
      <c r="G79" s="147"/>
      <c r="H79" s="148"/>
      <c r="J79" s="149"/>
      <c r="K79" s="149"/>
      <c r="L79" s="149"/>
      <c r="N79" s="150"/>
      <c r="O79" s="150"/>
      <c r="P79" s="150"/>
      <c r="Q79" s="151"/>
      <c r="R79" s="151"/>
      <c r="S79" s="151"/>
    </row>
    <row r="80" spans="1:19" s="146" customFormat="1" x14ac:dyDescent="0.2">
      <c r="A80" s="145"/>
      <c r="E80" s="147"/>
      <c r="F80" s="147"/>
      <c r="G80" s="147"/>
      <c r="H80" s="148"/>
      <c r="J80" s="149"/>
      <c r="K80" s="149"/>
      <c r="L80" s="149"/>
      <c r="N80" s="150"/>
      <c r="O80" s="150"/>
      <c r="P80" s="150"/>
      <c r="Q80" s="151"/>
      <c r="R80" s="151"/>
      <c r="S80" s="151"/>
    </row>
    <row r="81" spans="1:19" s="146" customFormat="1" x14ac:dyDescent="0.2">
      <c r="A81" s="145"/>
      <c r="E81" s="147"/>
      <c r="F81" s="147"/>
      <c r="G81" s="147"/>
      <c r="H81" s="148"/>
      <c r="J81" s="149"/>
      <c r="K81" s="149"/>
      <c r="L81" s="149"/>
      <c r="N81" s="150"/>
      <c r="O81" s="150"/>
      <c r="P81" s="150"/>
      <c r="Q81" s="151"/>
      <c r="R81" s="151"/>
      <c r="S81" s="151"/>
    </row>
    <row r="82" spans="1:19" s="146" customFormat="1" x14ac:dyDescent="0.2">
      <c r="A82" s="145"/>
      <c r="E82" s="147"/>
      <c r="F82" s="147"/>
      <c r="G82" s="147"/>
      <c r="H82" s="148"/>
      <c r="J82" s="149"/>
      <c r="K82" s="149"/>
      <c r="L82" s="149"/>
      <c r="N82" s="150"/>
      <c r="O82" s="150"/>
      <c r="P82" s="150"/>
      <c r="Q82" s="151"/>
      <c r="R82" s="151"/>
      <c r="S82" s="151"/>
    </row>
    <row r="83" spans="1:19" s="146" customFormat="1" x14ac:dyDescent="0.2">
      <c r="A83" s="145"/>
      <c r="E83" s="147"/>
      <c r="F83" s="147"/>
      <c r="G83" s="147"/>
      <c r="H83" s="148"/>
      <c r="J83" s="149"/>
      <c r="K83" s="149"/>
      <c r="L83" s="149"/>
      <c r="N83" s="150"/>
      <c r="O83" s="150"/>
      <c r="P83" s="150"/>
      <c r="Q83" s="151"/>
      <c r="R83" s="151"/>
      <c r="S83" s="151"/>
    </row>
    <row r="84" spans="1:19" s="146" customFormat="1" x14ac:dyDescent="0.2">
      <c r="A84" s="145"/>
      <c r="E84" s="147"/>
      <c r="F84" s="147"/>
      <c r="G84" s="147"/>
      <c r="H84" s="148"/>
      <c r="J84" s="149"/>
      <c r="K84" s="149"/>
      <c r="L84" s="149"/>
      <c r="N84" s="150"/>
      <c r="O84" s="150"/>
      <c r="P84" s="150"/>
      <c r="Q84" s="151"/>
      <c r="R84" s="151"/>
      <c r="S84" s="151"/>
    </row>
    <row r="85" spans="1:19" s="146" customFormat="1" x14ac:dyDescent="0.2">
      <c r="A85" s="145"/>
      <c r="E85" s="147"/>
      <c r="F85" s="147"/>
      <c r="G85" s="147"/>
      <c r="H85" s="148"/>
      <c r="J85" s="149"/>
      <c r="K85" s="149"/>
      <c r="L85" s="149"/>
      <c r="N85" s="150"/>
      <c r="O85" s="150"/>
      <c r="P85" s="150"/>
      <c r="Q85" s="151"/>
      <c r="R85" s="151"/>
      <c r="S85" s="151"/>
    </row>
    <row r="86" spans="1:19" s="146" customFormat="1" x14ac:dyDescent="0.2">
      <c r="A86" s="145"/>
      <c r="E86" s="147"/>
      <c r="F86" s="147"/>
      <c r="G86" s="147"/>
      <c r="H86" s="148"/>
      <c r="J86" s="149"/>
      <c r="K86" s="149"/>
      <c r="L86" s="149"/>
      <c r="N86" s="150"/>
      <c r="O86" s="150"/>
      <c r="P86" s="150"/>
      <c r="Q86" s="151"/>
      <c r="R86" s="151"/>
      <c r="S86" s="151"/>
    </row>
    <row r="87" spans="1:19" s="146" customFormat="1" x14ac:dyDescent="0.2">
      <c r="A87" s="145"/>
      <c r="E87" s="147"/>
      <c r="F87" s="147"/>
      <c r="G87" s="147"/>
      <c r="H87" s="148"/>
      <c r="J87" s="149"/>
      <c r="K87" s="149"/>
      <c r="L87" s="149"/>
      <c r="N87" s="150"/>
      <c r="O87" s="150"/>
      <c r="P87" s="150"/>
      <c r="Q87" s="151"/>
      <c r="R87" s="151"/>
      <c r="S87" s="151"/>
    </row>
    <row r="88" spans="1:19" s="146" customFormat="1" x14ac:dyDescent="0.2">
      <c r="A88" s="145"/>
      <c r="E88" s="147"/>
      <c r="F88" s="147"/>
      <c r="G88" s="147"/>
      <c r="H88" s="148"/>
      <c r="J88" s="149"/>
      <c r="K88" s="149"/>
      <c r="L88" s="149"/>
      <c r="N88" s="150"/>
      <c r="O88" s="150"/>
      <c r="P88" s="150"/>
      <c r="Q88" s="151"/>
      <c r="R88" s="151"/>
      <c r="S88" s="151"/>
    </row>
    <row r="89" spans="1:19" s="146" customFormat="1" x14ac:dyDescent="0.2">
      <c r="A89" s="145"/>
      <c r="E89" s="147"/>
      <c r="F89" s="147"/>
      <c r="G89" s="147"/>
      <c r="H89" s="148"/>
      <c r="J89" s="149"/>
      <c r="K89" s="149"/>
      <c r="L89" s="149"/>
      <c r="N89" s="150"/>
      <c r="O89" s="150"/>
      <c r="P89" s="150"/>
      <c r="Q89" s="151"/>
      <c r="R89" s="151"/>
      <c r="S89" s="151"/>
    </row>
    <row r="90" spans="1:19" s="146" customFormat="1" x14ac:dyDescent="0.2">
      <c r="A90" s="145"/>
      <c r="E90" s="147"/>
      <c r="F90" s="147"/>
      <c r="G90" s="147"/>
      <c r="H90" s="148"/>
      <c r="J90" s="149"/>
      <c r="K90" s="149"/>
      <c r="L90" s="149"/>
      <c r="N90" s="150"/>
      <c r="O90" s="150"/>
      <c r="P90" s="150"/>
      <c r="Q90" s="151"/>
      <c r="R90" s="151"/>
      <c r="S90" s="151"/>
    </row>
    <row r="91" spans="1:19" s="146" customFormat="1" x14ac:dyDescent="0.2">
      <c r="A91" s="145"/>
      <c r="E91" s="147"/>
      <c r="F91" s="147"/>
      <c r="G91" s="147"/>
      <c r="H91" s="148"/>
      <c r="J91" s="149"/>
      <c r="K91" s="149"/>
      <c r="L91" s="149"/>
      <c r="N91" s="150"/>
      <c r="O91" s="150"/>
      <c r="P91" s="150"/>
      <c r="Q91" s="151"/>
      <c r="R91" s="151"/>
      <c r="S91" s="151"/>
    </row>
    <row r="92" spans="1:19" s="146" customFormat="1" x14ac:dyDescent="0.2">
      <c r="A92" s="145"/>
      <c r="E92" s="147"/>
      <c r="F92" s="147"/>
      <c r="G92" s="147"/>
      <c r="H92" s="148"/>
      <c r="J92" s="149"/>
      <c r="K92" s="149"/>
      <c r="L92" s="149"/>
      <c r="N92" s="150"/>
      <c r="O92" s="150"/>
      <c r="P92" s="150"/>
      <c r="Q92" s="151"/>
      <c r="R92" s="151"/>
      <c r="S92" s="151"/>
    </row>
    <row r="93" spans="1:19" s="146" customFormat="1" x14ac:dyDescent="0.2">
      <c r="A93" s="145"/>
      <c r="E93" s="147"/>
      <c r="F93" s="147"/>
      <c r="G93" s="147"/>
      <c r="H93" s="148"/>
      <c r="J93" s="149"/>
      <c r="K93" s="149"/>
      <c r="L93" s="149"/>
      <c r="N93" s="150"/>
      <c r="O93" s="150"/>
      <c r="P93" s="150"/>
      <c r="Q93" s="151"/>
      <c r="R93" s="151"/>
      <c r="S93" s="151"/>
    </row>
    <row r="94" spans="1:19" s="146" customFormat="1" x14ac:dyDescent="0.2">
      <c r="A94" s="145"/>
      <c r="E94" s="147"/>
      <c r="F94" s="147"/>
      <c r="G94" s="147"/>
      <c r="H94" s="148"/>
      <c r="J94" s="149"/>
      <c r="K94" s="149"/>
      <c r="L94" s="149"/>
      <c r="N94" s="150"/>
      <c r="O94" s="150"/>
      <c r="P94" s="150"/>
      <c r="Q94" s="151"/>
      <c r="R94" s="151"/>
      <c r="S94" s="151"/>
    </row>
    <row r="95" spans="1:19" s="146" customFormat="1" x14ac:dyDescent="0.2">
      <c r="A95" s="145"/>
      <c r="E95" s="147"/>
      <c r="F95" s="147"/>
      <c r="G95" s="147"/>
      <c r="H95" s="148"/>
      <c r="J95" s="149"/>
      <c r="K95" s="149"/>
      <c r="L95" s="149"/>
      <c r="N95" s="150"/>
      <c r="O95" s="150"/>
      <c r="P95" s="150"/>
      <c r="Q95" s="151"/>
      <c r="R95" s="151"/>
      <c r="S95" s="151"/>
    </row>
    <row r="96" spans="1:19" s="146" customFormat="1" x14ac:dyDescent="0.2">
      <c r="A96" s="145"/>
      <c r="E96" s="147"/>
      <c r="F96" s="147"/>
      <c r="G96" s="147"/>
      <c r="H96" s="148"/>
      <c r="J96" s="149"/>
      <c r="K96" s="149"/>
      <c r="L96" s="149"/>
      <c r="N96" s="150"/>
      <c r="O96" s="150"/>
      <c r="P96" s="150"/>
      <c r="Q96" s="151"/>
      <c r="R96" s="151"/>
      <c r="S96" s="151"/>
    </row>
    <row r="97" spans="1:19" s="146" customFormat="1" x14ac:dyDescent="0.2">
      <c r="A97" s="145"/>
      <c r="E97" s="147"/>
      <c r="F97" s="147"/>
      <c r="G97" s="147"/>
      <c r="H97" s="148"/>
      <c r="J97" s="149"/>
      <c r="K97" s="149"/>
      <c r="L97" s="149"/>
      <c r="N97" s="150"/>
      <c r="O97" s="150"/>
      <c r="P97" s="150"/>
      <c r="Q97" s="151"/>
      <c r="R97" s="151"/>
      <c r="S97" s="151"/>
    </row>
    <row r="98" spans="1:19" s="146" customFormat="1" x14ac:dyDescent="0.2">
      <c r="A98" s="145"/>
      <c r="E98" s="147"/>
      <c r="F98" s="147"/>
      <c r="G98" s="147"/>
      <c r="H98" s="148"/>
      <c r="J98" s="149"/>
      <c r="K98" s="149"/>
      <c r="L98" s="149"/>
      <c r="N98" s="150"/>
      <c r="O98" s="150"/>
      <c r="P98" s="150"/>
      <c r="Q98" s="151"/>
      <c r="R98" s="151"/>
      <c r="S98" s="151"/>
    </row>
    <row r="99" spans="1:19" s="146" customFormat="1" x14ac:dyDescent="0.2">
      <c r="A99" s="145"/>
      <c r="E99" s="147"/>
      <c r="F99" s="147"/>
      <c r="G99" s="147"/>
      <c r="H99" s="148"/>
      <c r="J99" s="149"/>
      <c r="K99" s="149"/>
      <c r="L99" s="149"/>
      <c r="N99" s="150"/>
      <c r="O99" s="150"/>
      <c r="P99" s="150"/>
      <c r="Q99" s="151"/>
      <c r="R99" s="151"/>
      <c r="S99" s="151"/>
    </row>
    <row r="100" spans="1:19" s="146" customFormat="1" x14ac:dyDescent="0.2">
      <c r="A100" s="145"/>
      <c r="E100" s="147"/>
      <c r="F100" s="147"/>
      <c r="G100" s="147"/>
      <c r="H100" s="148"/>
      <c r="J100" s="149"/>
      <c r="K100" s="149"/>
      <c r="L100" s="149"/>
      <c r="N100" s="150"/>
      <c r="O100" s="150"/>
      <c r="P100" s="150"/>
      <c r="Q100" s="151"/>
      <c r="R100" s="151"/>
      <c r="S100" s="151"/>
    </row>
    <row r="101" spans="1:19" s="146" customFormat="1" x14ac:dyDescent="0.2">
      <c r="A101" s="145"/>
      <c r="E101" s="147"/>
      <c r="F101" s="147"/>
      <c r="G101" s="147"/>
      <c r="H101" s="148"/>
      <c r="J101" s="149"/>
      <c r="K101" s="149"/>
      <c r="L101" s="149"/>
      <c r="N101" s="150"/>
      <c r="O101" s="150"/>
      <c r="P101" s="150"/>
      <c r="Q101" s="151"/>
      <c r="R101" s="151"/>
      <c r="S101" s="151"/>
    </row>
    <row r="102" spans="1:19" s="146" customFormat="1" x14ac:dyDescent="0.2">
      <c r="A102" s="145"/>
      <c r="E102" s="147"/>
      <c r="F102" s="147"/>
      <c r="G102" s="147"/>
      <c r="H102" s="148"/>
      <c r="J102" s="149"/>
      <c r="K102" s="149"/>
      <c r="L102" s="149"/>
      <c r="N102" s="150"/>
      <c r="O102" s="150"/>
      <c r="P102" s="150"/>
      <c r="Q102" s="151"/>
      <c r="R102" s="151"/>
      <c r="S102" s="151"/>
    </row>
    <row r="103" spans="1:19" s="146" customFormat="1" x14ac:dyDescent="0.2">
      <c r="A103" s="145"/>
      <c r="E103" s="147"/>
      <c r="F103" s="147"/>
      <c r="G103" s="147"/>
      <c r="H103" s="148"/>
      <c r="J103" s="149"/>
      <c r="K103" s="149"/>
      <c r="L103" s="149"/>
      <c r="N103" s="150"/>
      <c r="O103" s="150"/>
      <c r="P103" s="150"/>
      <c r="Q103" s="151"/>
      <c r="R103" s="151"/>
      <c r="S103" s="151"/>
    </row>
    <row r="104" spans="1:19" s="146" customFormat="1" x14ac:dyDescent="0.2">
      <c r="A104" s="145"/>
      <c r="E104" s="147"/>
      <c r="F104" s="147"/>
      <c r="G104" s="147"/>
      <c r="H104" s="148"/>
      <c r="J104" s="149"/>
      <c r="K104" s="149"/>
      <c r="L104" s="149"/>
      <c r="N104" s="150"/>
      <c r="O104" s="150"/>
      <c r="P104" s="150"/>
      <c r="Q104" s="151"/>
      <c r="R104" s="151"/>
      <c r="S104" s="151"/>
    </row>
    <row r="105" spans="1:19" s="146" customFormat="1" x14ac:dyDescent="0.2">
      <c r="A105" s="145"/>
      <c r="E105" s="147"/>
      <c r="F105" s="147"/>
      <c r="G105" s="147"/>
      <c r="H105" s="148"/>
      <c r="J105" s="149"/>
      <c r="K105" s="149"/>
      <c r="L105" s="149"/>
      <c r="N105" s="150"/>
      <c r="O105" s="150"/>
      <c r="P105" s="150"/>
      <c r="Q105" s="151"/>
      <c r="R105" s="151"/>
      <c r="S105" s="151"/>
    </row>
    <row r="106" spans="1:19" s="146" customFormat="1" x14ac:dyDescent="0.2">
      <c r="A106" s="145"/>
      <c r="E106" s="147"/>
      <c r="F106" s="147"/>
      <c r="G106" s="147"/>
      <c r="H106" s="148"/>
      <c r="J106" s="149"/>
      <c r="K106" s="149"/>
      <c r="L106" s="149"/>
      <c r="N106" s="150"/>
      <c r="O106" s="150"/>
      <c r="P106" s="150"/>
      <c r="Q106" s="151"/>
      <c r="R106" s="151"/>
      <c r="S106" s="151"/>
    </row>
    <row r="107" spans="1:19" s="146" customFormat="1" x14ac:dyDescent="0.2">
      <c r="A107" s="145"/>
      <c r="E107" s="147"/>
      <c r="F107" s="147"/>
      <c r="G107" s="147"/>
      <c r="H107" s="148"/>
      <c r="J107" s="149"/>
      <c r="K107" s="149"/>
      <c r="L107" s="149"/>
      <c r="N107" s="150"/>
      <c r="O107" s="150"/>
      <c r="P107" s="150"/>
      <c r="Q107" s="151"/>
      <c r="R107" s="151"/>
      <c r="S107" s="151"/>
    </row>
    <row r="108" spans="1:19" s="146" customFormat="1" x14ac:dyDescent="0.2">
      <c r="A108" s="145"/>
      <c r="E108" s="147"/>
      <c r="F108" s="147"/>
      <c r="G108" s="147"/>
      <c r="H108" s="148"/>
      <c r="J108" s="149"/>
      <c r="K108" s="149"/>
      <c r="L108" s="149"/>
      <c r="N108" s="150"/>
      <c r="O108" s="150"/>
      <c r="P108" s="150"/>
      <c r="Q108" s="151"/>
      <c r="R108" s="151"/>
      <c r="S108" s="151"/>
    </row>
  </sheetData>
  <mergeCells count="39">
    <mergeCell ref="A1:S1"/>
    <mergeCell ref="B70:G70"/>
    <mergeCell ref="J70:L70"/>
    <mergeCell ref="N70:P70"/>
    <mergeCell ref="Q70:S70"/>
    <mergeCell ref="B64:G64"/>
    <mergeCell ref="J64:L64"/>
    <mergeCell ref="N64:P64"/>
    <mergeCell ref="B67:G67"/>
    <mergeCell ref="J67:L67"/>
    <mergeCell ref="N67:P67"/>
    <mergeCell ref="Q67:S67"/>
    <mergeCell ref="Q75:R77"/>
    <mergeCell ref="S75:S77"/>
    <mergeCell ref="A75:F77"/>
    <mergeCell ref="G75:G77"/>
    <mergeCell ref="J75:K77"/>
    <mergeCell ref="L75:L77"/>
    <mergeCell ref="N75:O77"/>
    <mergeCell ref="P75:P77"/>
    <mergeCell ref="B56:G56"/>
    <mergeCell ref="J56:L56"/>
    <mergeCell ref="N56:P56"/>
    <mergeCell ref="Q56:S56"/>
    <mergeCell ref="Q64:S64"/>
    <mergeCell ref="J29:L29"/>
    <mergeCell ref="N29:P29"/>
    <mergeCell ref="Q29:S29"/>
    <mergeCell ref="J41:L41"/>
    <mergeCell ref="N41:P41"/>
    <mergeCell ref="Q41:S41"/>
    <mergeCell ref="E2:G2"/>
    <mergeCell ref="J2:L2"/>
    <mergeCell ref="N2:P2"/>
    <mergeCell ref="Q2:S2"/>
    <mergeCell ref="B4:G4"/>
    <mergeCell ref="J4:L4"/>
    <mergeCell ref="N4:P4"/>
    <mergeCell ref="Q4:S4"/>
  </mergeCells>
  <pageMargins left="0.7" right="0.7" top="0.75" bottom="0.75" header="0.3" footer="0.3"/>
  <pageSetup paperSize="9" scale="33" orientation="portrait" r:id="rId1"/>
  <rowBreaks count="1" manualBreakCount="1">
    <brk id="63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presupuesto</vt:lpstr>
      <vt:lpstr>interven</vt:lpstr>
      <vt:lpstr>presupuesto (2)</vt:lpstr>
      <vt:lpstr>Anali de cotizaciones</vt:lpstr>
      <vt:lpstr>presupuesto final</vt:lpstr>
      <vt:lpstr>'Anali de cotizaciones'!Área_de_impresión</vt:lpstr>
      <vt:lpstr>presupuesto!Área_de_impresión</vt:lpstr>
      <vt:lpstr>'presupuesto (2)'!Área_de_impresión</vt:lpstr>
      <vt:lpstr>'presupuesto final'!Área_de_impresión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Ronny Fabian Torres Cortes</cp:lastModifiedBy>
  <dcterms:created xsi:type="dcterms:W3CDTF">2024-08-14T20:39:49Z</dcterms:created>
  <dcterms:modified xsi:type="dcterms:W3CDTF">2025-04-24T19:42:17Z</dcterms:modified>
</cp:coreProperties>
</file>