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mac\OneDrive\Documentos\INTERVENTORIAS FONDO\INTERVENTORIA CRISTAL BAJO\FORMATOS TERMINOS DE REFERENCIA\"/>
    </mc:Choice>
  </mc:AlternateContent>
  <xr:revisionPtr revIDLastSave="0" documentId="13_ncr:1_{48F02E17-D724-451B-BBAF-EBE1C73E4215}" xr6:coauthVersionLast="47" xr6:coauthVersionMax="47" xr10:uidLastSave="{00000000-0000-0000-0000-000000000000}"/>
  <bookViews>
    <workbookView xWindow="-120" yWindow="-120" windowWidth="20730" windowHeight="11040" tabRatio="857" firstSheet="1" activeTab="1" xr2:uid="{00000000-000D-0000-FFFF-FFFF00000000}"/>
  </bookViews>
  <sheets>
    <sheet name="INS" sheetId="1" state="hidden" r:id="rId1"/>
    <sheet name="OFERTA ECONOMICA" sheetId="119" r:id="rId2"/>
    <sheet name="PPTO" sheetId="2" state="hidden" r:id="rId3"/>
    <sheet name="M.C." sheetId="110" state="hidden" r:id="rId4"/>
    <sheet name="CALCULOS" sheetId="111" state="hidden" r:id="rId5"/>
    <sheet name="1.00" sheetId="3" state="hidden" r:id="rId6"/>
    <sheet name="1.01" sheetId="14" state="hidden" r:id="rId7"/>
    <sheet name="1.02" sheetId="15" state="hidden" r:id="rId8"/>
    <sheet name="PER" sheetId="16" state="hidden" r:id="rId9"/>
    <sheet name="1.03" sheetId="17" state="hidden" r:id="rId10"/>
    <sheet name="1.04" sheetId="18" state="hidden" r:id="rId11"/>
    <sheet name="1.05" sheetId="19" state="hidden" r:id="rId12"/>
    <sheet name="1.06" sheetId="20" state="hidden" r:id="rId13"/>
    <sheet name="1.09" sheetId="118" state="hidden" r:id="rId14"/>
    <sheet name="retiro" sheetId="21" state="hidden" r:id="rId15"/>
    <sheet name="sobre" sheetId="22" state="hidden" r:id="rId16"/>
    <sheet name="2.01" sheetId="23" state="hidden" r:id="rId17"/>
    <sheet name="exca" sheetId="24" state="hidden" r:id="rId18"/>
    <sheet name="2.05" sheetId="25" state="hidden" r:id="rId19"/>
    <sheet name="2.02" sheetId="26" state="hidden" r:id="rId20"/>
    <sheet name="2.07" sheetId="27" state="hidden" r:id="rId21"/>
    <sheet name="2.03" sheetId="28" state="hidden" r:id="rId22"/>
    <sheet name="2.04" sheetId="29" state="hidden" r:id="rId23"/>
    <sheet name="2.10" sheetId="30" state="hidden" r:id="rId24"/>
    <sheet name="2.11" sheetId="31" state="hidden" r:id="rId25"/>
    <sheet name="2.12" sheetId="32" state="hidden" r:id="rId26"/>
    <sheet name="2.13" sheetId="33" state="hidden" r:id="rId27"/>
    <sheet name="2.14" sheetId="34" state="hidden" r:id="rId28"/>
    <sheet name="3.1" sheetId="35" state="hidden" r:id="rId29"/>
    <sheet name="3.2" sheetId="36" state="hidden" r:id="rId30"/>
    <sheet name="3,3" sheetId="37" state="hidden" r:id="rId31"/>
    <sheet name="3.01" sheetId="38" state="hidden" r:id="rId32"/>
    <sheet name="3.05" sheetId="39" state="hidden" r:id="rId33"/>
    <sheet name="3.02" sheetId="40" state="hidden" r:id="rId34"/>
    <sheet name="3.07" sheetId="41" state="hidden" r:id="rId35"/>
    <sheet name="3.03" sheetId="42" state="hidden" r:id="rId36"/>
    <sheet name="3.04" sheetId="43" state="hidden" r:id="rId37"/>
    <sheet name="3.10" sheetId="44" state="hidden" r:id="rId38"/>
    <sheet name="3.11" sheetId="112" state="hidden" r:id="rId39"/>
    <sheet name="3.12" sheetId="116" state="hidden" r:id="rId40"/>
    <sheet name="3.13" sheetId="117" state="hidden" r:id="rId41"/>
    <sheet name="4.01" sheetId="45" state="hidden" r:id="rId42"/>
    <sheet name="Hoja1" sheetId="127" state="hidden" r:id="rId43"/>
    <sheet name="Hoja2" sheetId="128" state="hidden" r:id="rId44"/>
    <sheet name="Hoja3" sheetId="129" state="hidden" r:id="rId45"/>
    <sheet name="Hoja4" sheetId="130" state="hidden" r:id="rId46"/>
    <sheet name="4.02" sheetId="52" state="hidden" r:id="rId47"/>
    <sheet name="no" sheetId="46" state="hidden" r:id="rId48"/>
    <sheet name="4.03" sheetId="47" state="hidden" r:id="rId49"/>
    <sheet name="4.04" sheetId="48" state="hidden" r:id="rId50"/>
    <sheet name="4.05" sheetId="49" state="hidden" r:id="rId51"/>
    <sheet name="4,6" sheetId="50" state="hidden" r:id="rId52"/>
    <sheet name="4.06" sheetId="51" state="hidden" r:id="rId53"/>
    <sheet name="4,07" sheetId="53" state="hidden" r:id="rId54"/>
    <sheet name="5.01" sheetId="54" state="hidden" r:id="rId55"/>
    <sheet name="5.02" sheetId="55" state="hidden" r:id="rId56"/>
    <sheet name="5.03" sheetId="56" state="hidden" r:id="rId57"/>
    <sheet name="5.04" sheetId="57" state="hidden" r:id="rId58"/>
    <sheet name="5.05" sheetId="58" state="hidden" r:id="rId59"/>
    <sheet name="5.06" sheetId="59" state="hidden" r:id="rId60"/>
    <sheet name="5.07" sheetId="60" state="hidden" r:id="rId61"/>
    <sheet name="5.08" sheetId="61" state="hidden" r:id="rId62"/>
    <sheet name="6.01" sheetId="62" state="hidden" r:id="rId63"/>
    <sheet name="6.02" sheetId="63" state="hidden" r:id="rId64"/>
    <sheet name="6.03" sheetId="114" state="hidden" r:id="rId65"/>
    <sheet name="7.01" sheetId="65" state="hidden" r:id="rId66"/>
    <sheet name="7,2" sheetId="66" state="hidden" r:id="rId67"/>
    <sheet name="7.02" sheetId="67" state="hidden" r:id="rId68"/>
    <sheet name="7.4" sheetId="68" state="hidden" r:id="rId69"/>
    <sheet name="7.05" sheetId="69" state="hidden" r:id="rId70"/>
    <sheet name="7.03" sheetId="70" state="hidden" r:id="rId71"/>
    <sheet name="7.07" sheetId="71" state="hidden" r:id="rId72"/>
    <sheet name="7.08" sheetId="72" state="hidden" r:id="rId73"/>
    <sheet name="7.09" sheetId="73" state="hidden" r:id="rId74"/>
    <sheet name="7.10" sheetId="74" state="hidden" r:id="rId75"/>
    <sheet name="7.11" sheetId="75" state="hidden" r:id="rId76"/>
    <sheet name="7.12" sheetId="76" state="hidden" r:id="rId77"/>
    <sheet name="7.13" sheetId="77" state="hidden" r:id="rId78"/>
    <sheet name="7.14" sheetId="78" state="hidden" r:id="rId79"/>
    <sheet name="7.15" sheetId="120" state="hidden" r:id="rId80"/>
    <sheet name="7.16" sheetId="80" state="hidden" r:id="rId81"/>
    <sheet name="7.04" sheetId="81" state="hidden" r:id="rId82"/>
    <sheet name="7.18" sheetId="82" state="hidden" r:id="rId83"/>
    <sheet name="7.19" sheetId="84" state="hidden" r:id="rId84"/>
    <sheet name="7.20" sheetId="85" state="hidden" r:id="rId85"/>
    <sheet name="7.21" sheetId="86" state="hidden" r:id="rId86"/>
    <sheet name="7.22" sheetId="87" state="hidden" r:id="rId87"/>
    <sheet name="7.23" sheetId="88" state="hidden" r:id="rId88"/>
    <sheet name="7.24" sheetId="121" state="hidden" r:id="rId89"/>
    <sheet name="7.25" sheetId="90" state="hidden" r:id="rId90"/>
    <sheet name="7.26" sheetId="91" state="hidden" r:id="rId91"/>
    <sheet name="7.27" sheetId="92" state="hidden" r:id="rId92"/>
    <sheet name="7.28" sheetId="93" state="hidden" r:id="rId93"/>
    <sheet name="7.29" sheetId="94" state="hidden" r:id="rId94"/>
    <sheet name="7.30" sheetId="122" state="hidden" r:id="rId95"/>
    <sheet name="7.31" sheetId="96" state="hidden" r:id="rId96"/>
    <sheet name="7.32" sheetId="97" state="hidden" r:id="rId97"/>
    <sheet name="7.33" sheetId="98" state="hidden" r:id="rId98"/>
    <sheet name="7.34" sheetId="99" state="hidden" r:id="rId99"/>
    <sheet name="7.35" sheetId="100" state="hidden" r:id="rId100"/>
    <sheet name="7.36" sheetId="102" state="hidden" r:id="rId101"/>
    <sheet name="7.37" sheetId="103" state="hidden" r:id="rId102"/>
    <sheet name="7.38" sheetId="104" state="hidden" r:id="rId103"/>
    <sheet name="7.39" sheetId="105" state="hidden" r:id="rId104"/>
    <sheet name="8,1" sheetId="106" state="hidden" r:id="rId105"/>
    <sheet name="8,2" sheetId="107" state="hidden" r:id="rId106"/>
    <sheet name="8.03" sheetId="108" state="hidden" r:id="rId107"/>
    <sheet name="LIN.AMB" sheetId="109" state="hidden" r:id="rId108"/>
    <sheet name="PMT" sheetId="115" state="hidden" r:id="rId109"/>
  </sheets>
  <definedNames>
    <definedName name="_________________________________l9001">#REF!</definedName>
    <definedName name="_______________________________l9001">#REF!</definedName>
    <definedName name="______________________________l9001">#REF!</definedName>
    <definedName name="_____________________________l9001">#REF!</definedName>
    <definedName name="____________________________l9001">#REF!</definedName>
    <definedName name="___________________________l9001">#REF!</definedName>
    <definedName name="__________________________l9001">#REF!</definedName>
    <definedName name="_________________________l9001">#REF!</definedName>
    <definedName name="________________________l9001">#REF!</definedName>
    <definedName name="_______________________l9001">#REF!</definedName>
    <definedName name="______________________l9001">#REF!</definedName>
    <definedName name="_____________________l9001">#REF!</definedName>
    <definedName name="____________________l9001">#REF!</definedName>
    <definedName name="___________________l9001">#REF!</definedName>
    <definedName name="__________________l9001">#REF!</definedName>
    <definedName name="_________________l9001">#REF!</definedName>
    <definedName name="________________l9001">#REF!</definedName>
    <definedName name="_______________l9001">#REF!</definedName>
    <definedName name="_______________V1">#REF!</definedName>
    <definedName name="______________l9001">#REF!</definedName>
    <definedName name="______________TC212">#REF!</definedName>
    <definedName name="_____________l9001">#REF!</definedName>
    <definedName name="____________l9001">#REF!</definedName>
    <definedName name="___________l9001">#REF!</definedName>
    <definedName name="__________l9001">#REF!</definedName>
    <definedName name="_________l9001">#REF!</definedName>
    <definedName name="________I9999">#REF!</definedName>
    <definedName name="________l9001">#REF!</definedName>
    <definedName name="_______l9001">#REF!</definedName>
    <definedName name="______l9001">#REF!</definedName>
    <definedName name="_____l9001">#REF!</definedName>
    <definedName name="_____PJ50">#REF!</definedName>
    <definedName name="_____pj51">#REF!</definedName>
    <definedName name="____l9001">#REF!</definedName>
    <definedName name="____PJ50">#REF!</definedName>
    <definedName name="____pj51">#REF!</definedName>
    <definedName name="____TC212">#REF!</definedName>
    <definedName name="____V1">#REF!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t2">#REF!</definedName>
    <definedName name="___Ant3">#REF!</definedName>
    <definedName name="___Con1">#REF!</definedName>
    <definedName name="___Con2">#REF!</definedName>
    <definedName name="___Con3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ST12">#REF!</definedName>
    <definedName name="___Exc1">#REF!</definedName>
    <definedName name="___Exc2">#REF!</definedName>
    <definedName name="___Exc3">#REF!</definedName>
    <definedName name="___Inc1">#REF!</definedName>
    <definedName name="___Inc2">#REF!</definedName>
    <definedName name="___Inc3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l9001">#REF!</definedName>
    <definedName name="___MB1">#REF!</definedName>
    <definedName name="___MB2">#REF!</definedName>
    <definedName name="___MB3">#REF!</definedName>
    <definedName name="___Ope1">#REF!</definedName>
    <definedName name="___Ope2">#REF!</definedName>
    <definedName name="___Ope3">#REF!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Red1">#REF!</definedName>
    <definedName name="___Red2">#REF!</definedName>
    <definedName name="___Red3">#REF!</definedName>
    <definedName name="___Sum3">#REF!</definedName>
    <definedName name="___Tra1">#REF!</definedName>
    <definedName name="___Tra2">#REF!</definedName>
    <definedName name="___Tra3">#REF!</definedName>
    <definedName name="__1Sin_nombre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#REF!</definedName>
    <definedName name="__l9001_1">#REF!</definedName>
    <definedName name="__l9001_2">#REF!</definedName>
    <definedName name="__l9001_4">#REF!</definedName>
    <definedName name="__PJ50">#REF!</definedName>
    <definedName name="__pj51">#REF!</definedName>
    <definedName name="__TC212">#REF!</definedName>
    <definedName name="__V1">#REF!</definedName>
    <definedName name="_0">#REF!</definedName>
    <definedName name="_1Sin_nombre">#REF!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t2">#REF!</definedName>
    <definedName name="_Ant3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n1">#REF!</definedName>
    <definedName name="_Con2">#REF!</definedName>
    <definedName name="_Con3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Jai1">#REF!</definedName>
    <definedName name="_Jai2">#REF!</definedName>
    <definedName name="_Jai3">#REF!</definedName>
    <definedName name="_Key1">#REF!</definedName>
    <definedName name="_Key2">#REF!</definedName>
    <definedName name="_l9001">#REF!</definedName>
    <definedName name="_l9001_1">#REF!</definedName>
    <definedName name="_l9001_2">#REF!</definedName>
    <definedName name="_l9001_4">#REF!</definedName>
    <definedName name="_MB1">#REF!</definedName>
    <definedName name="_MB2">#REF!</definedName>
    <definedName name="_MB3">#REF!</definedName>
    <definedName name="_Ope1">#REF!</definedName>
    <definedName name="_Ope2">#REF!</definedName>
    <definedName name="_Ope3">#REF!</definedName>
    <definedName name="_Pae1">#REF!</definedName>
    <definedName name="_Pae2">#REF!</definedName>
    <definedName name="_Pae3">#REF!</definedName>
    <definedName name="_PJ50">#REF!</definedName>
    <definedName name="_pj51">#REF!</definedName>
    <definedName name="_PRE1">#REF!</definedName>
    <definedName name="_r">#REF!</definedName>
    <definedName name="_Red1">#REF!</definedName>
    <definedName name="_Red2">#REF!</definedName>
    <definedName name="_Red3">#REF!</definedName>
    <definedName name="_SBC1">#REF!</definedName>
    <definedName name="_SBC3">#REF!</definedName>
    <definedName name="_SBC5">#REF!</definedName>
    <definedName name="_Sort">#REF!</definedName>
    <definedName name="_Sum3">#REF!</definedName>
    <definedName name="_Tra1">#REF!</definedName>
    <definedName name="_Tra2">#REF!</definedName>
    <definedName name="_Tra3">#REF!</definedName>
    <definedName name="A">#REF!</definedName>
    <definedName name="A_impresión_IM">#REF!</definedName>
    <definedName name="aa">#REF!</definedName>
    <definedName name="AAC">#REF!</definedName>
    <definedName name="ab">#REF!</definedName>
    <definedName name="abd">#REF!</definedName>
    <definedName name="ABG">#REF!</definedName>
    <definedName name="absc">#REF!</definedName>
    <definedName name="ACARREOS">#REF!</definedName>
    <definedName name="ACCESORIOPVCALCANTA_Codo_45_110mm_NOMBRE">#REF!</definedName>
    <definedName name="ACCESORIOPVCALCANTA_Codo_45_110mm_PRECIOPORUN">#REF!</definedName>
    <definedName name="ACCESORIOPVCALCANTA_Codo_45_160mm_NOMBRE">#REF!</definedName>
    <definedName name="ACCESORIOPVCALCANTA_Codo_45_160mm_PRECIOPORUN">#REF!</definedName>
    <definedName name="ACCESORIOPVCALCANTA_Codo_90_110mm_NOMBRE">#REF!</definedName>
    <definedName name="ACCESORIOPVCALCANTA_Codo_90_110mm_PRECIOPORUN">#REF!</definedName>
    <definedName name="ACCESORIOPVCALCANTA_Codo_90_160mm_NOMBRE">#REF!</definedName>
    <definedName name="ACCESORIOPVCALCANTA_Codo_90_160mm_PRECIOPORUN">#REF!</definedName>
    <definedName name="ACCESORIOPVCALCANTA_KIT_Silla_yee_200x160mm_NOMBRE">#REF!</definedName>
    <definedName name="ACCESORIOPVCALCANTA_KIT_Silla_yee_200x160mm_PRECIOPORUN">#REF!</definedName>
    <definedName name="ACCESORIOPVCALCANTA_KIT_Silla_yee_250x160mm_NOMBRE">#REF!</definedName>
    <definedName name="ACCESORIOPVCALCANTA_KIT_Silla_yee_250x160mm_PRECIOPORUN">#REF!</definedName>
    <definedName name="ACCESORIOPVCALCANTA_KIT_Silla_yee_315x160mm_NOMBRE">#REF!</definedName>
    <definedName name="ACCESORIOPVCALCANTA_KIT_Silla_yee_315x160mm_PRECIOPORUN">#REF!</definedName>
    <definedName name="ACCESORIOPVCALCANTA_Tee_160x160mm_NOMBRE">#REF!</definedName>
    <definedName name="ACCESORIOPVCALCANTA_Tee_160x160mm_PRECIOPORUN">#REF!</definedName>
    <definedName name="ACCESORIOPVCALCANTA_Tee_200x160mm_NOMBRE">#REF!</definedName>
    <definedName name="ACCESORIOPVCALCANTA_Tee_200x160mm_PRECIOPORUN">#REF!</definedName>
    <definedName name="ACCESORIOPVCALCANTA_Tee_250x160mm_NOMBRE">#REF!</definedName>
    <definedName name="ACCESORIOPVCALCANTA_Tee_250x160mm_PRECIOPORUN">#REF!</definedName>
    <definedName name="ACCESORIOPVCALCANTA_Unión_110mm_Nv_4_NOMBRE">#REF!</definedName>
    <definedName name="ACCESORIOPVCALCANTA_Unión_110mm_Nv_4_PRECIOPORUN">#REF!</definedName>
    <definedName name="ACCESORIOPVCALCANTA_Unión_160mm_Nv_6_NOMBRE">#REF!</definedName>
    <definedName name="ACCESORIOPVCALCANTA_Unión_160mm_Nv_6_PRECIOPORUN">#REF!</definedName>
    <definedName name="ACCESORIOPVCALCANTA_Unión_200mm_Nv_8_NOMBRE">#REF!</definedName>
    <definedName name="ACCESORIOPVCALCANTA_Unión_200mm_Nv_8PRECIOPORUN">#REF!</definedName>
    <definedName name="ACCESORIOPVCALCANTA_Unión_250mm_Nv_10_NOMBRE">#REF!</definedName>
    <definedName name="ACCESORIOPVCALCANTA_Unión_250mm_Nv_10_PRECIOPORUN">#REF!</definedName>
    <definedName name="ACCESORIOPVCALCANTA_Unión_315mm_Nv_12_NOMBRE">#REF!</definedName>
    <definedName name="ACCESORIOPVCALCANTA_Unión_315mm_Nv_12_PRECIOPORUN">#REF!</definedName>
    <definedName name="ACCESORIOPVCALCANTA_Unión_355mm_Nv_14_NOMBRE">#REF!</definedName>
    <definedName name="ACCESORIOPVCALCANTA_Unión_355mm_Nv_14_PRECIOPORUN">#REF!</definedName>
    <definedName name="ACCESORIOPVCALCANTA_Unión_400mm_Nv_16_NOMBRE">#REF!</definedName>
    <definedName name="ACCESORIOPVCALCANTA_Unión_400mm_Nv_16_PRECIOPORUN">#REF!</definedName>
    <definedName name="ACCESORIOPVCALCANTA_Unión_500mm_Nv_20_NOMBRE">#REF!</definedName>
    <definedName name="ACCESORIOPVCALCANTA_Unión_500mm_Nv_20_PRECIOPORUN">#REF!</definedName>
    <definedName name="ACCESORIOPVCALCANTA_Union_600mm_Nv_24_NOMBRE">#REF!</definedName>
    <definedName name="ACCESORIOPVCALCANTA_Union_600mm_Nv_24_PRECIOPORUN">#REF!</definedName>
    <definedName name="ACCESORIOPVCALCANTA_Union_700mm_Nv_27_NOMBRE">#REF!</definedName>
    <definedName name="ACCESORIOPVCALCANTA_Union_700mm_Nv_27_PRECIOPORUN">#REF!</definedName>
    <definedName name="ACCESORIOPVCALCANTA_Union_800mm_Nv_30_NOMBRE">#REF!</definedName>
    <definedName name="ACCESORIOPVCALCANTA_Union_800mm_Nv_30_PRECIOPORUN">#REF!</definedName>
    <definedName name="ACCESORIOPVCALCANTA_Union_900mm_Nv_33_NOMBRE">#REF!</definedName>
    <definedName name="ACCESORIOPVCALCANTA_Union_900mm_Nv_33_PRECIOPORUN">#REF!</definedName>
    <definedName name="ACCESORIOPVCALCANTA_Yee_160x160mm_NOMBRE">#REF!</definedName>
    <definedName name="ACCESORIOPVCALCANTA_Yee_160x160mm_PRECIOPORUN">#REF!</definedName>
    <definedName name="ACCESORIOPVCALCANTA_Yee_200x160mm_NOMBRE">#REF!</definedName>
    <definedName name="ACCESORIOPVCALCANTA_Yee_200x160mm_PRECIOPORUN">#REF!</definedName>
    <definedName name="ACCESORIOPVCALCANTA_Yee_250x160mm_NOMBRE">#REF!</definedName>
    <definedName name="ACCESORIOPVCALCANTA_Yee_250x160mm_PRECIOPORUN">#REF!</definedName>
    <definedName name="ACCESORIOPVCALCANTA_Yee_315x160mm_NOMBRE">#REF!</definedName>
    <definedName name="ACCESORIOPVCALCANTA_Yee_315x160mm_PRECIOPORUN">#REF!</definedName>
    <definedName name="ACCESORIOPVCALCANTA_Yee_400x160mm_NOMBRE">#REF!</definedName>
    <definedName name="ACCESORIOPVCALCANTA_Yee_400x160mm_PRECIOPORUN">#REF!</definedName>
    <definedName name="ACCESORIOPVCSANITACodo_45_2_NOMBRE">#REF!</definedName>
    <definedName name="ACCESORIOPVCSANITACodo_45_2_PRECIOPORUN">#REF!</definedName>
    <definedName name="ACCESORIOPVCSANITACodo_45_4_NOMBRE">#REF!</definedName>
    <definedName name="ACCESORIOPVCSANITACodo_45_4_PRECIOPORUN">#REF!</definedName>
    <definedName name="ACCESORIOPVCSANITACodo_90_1_1_2_NOMBRE">#REF!</definedName>
    <definedName name="ACCESORIOPVCSANITACodo_90_1_1_2_PRECIOPORUN">#REF!</definedName>
    <definedName name="ACCESORIOPVCSANITACodo_90_2_NOMBRE">#REF!</definedName>
    <definedName name="ACCESORIOPVCSANITACodo_90_2_PRECIOPORUN">#REF!</definedName>
    <definedName name="ACCESORIOPVCSANITACodo_90_3_NOMBRE">#REF!</definedName>
    <definedName name="ACCESORIOPVCSANITACodo_90_4_NOMBRE">#REF!</definedName>
    <definedName name="ACCESORIOPVCSANITACodo_90_4_PRECIOPORUN">#REF!</definedName>
    <definedName name="ACCESORIOPVCSANITATee_red_2_X1__1_2_NOMBRE">#REF!</definedName>
    <definedName name="ACCESORIOPVCSANITATee_red_2_X1__1_2_PRECIOPORUN">#REF!</definedName>
    <definedName name="ACCESORIOPVCSANITATee_red_3_X2_NOMBRE">#REF!</definedName>
    <definedName name="ACCESORIOPVCSANITATee_red_3_X2_PRECIOPORUN">#REF!</definedName>
    <definedName name="ACCESORIOPVCSANITATee_red_4_X2_NOMBRE">#REF!</definedName>
    <definedName name="ACCESORIOPVCSANITATee_red_4_X2_PRECIOPORUN">#REF!</definedName>
    <definedName name="ACCESORIOPVCSANITATee_red_6_X4_NOMBRE">#REF!</definedName>
    <definedName name="ACCESORIOPVCSANITATee_red_6_X4_PRECIOPORUN">#REF!</definedName>
    <definedName name="ACCESORIOPVCSANITAYee_3_x2_NOMBRE">#REF!</definedName>
    <definedName name="ACCESORIOPVCSANITAYee_3_x2_PRECIOPORUN">#REF!</definedName>
    <definedName name="ACCESORIOPVCSANITAYee_4_x2_NOMBRE">#REF!</definedName>
    <definedName name="ACCESORIOPVCSANITAYee_4_x2_PRECIOPORUN">#REF!</definedName>
    <definedName name="ACCESORIOPVCSANITAYee_4_x3_NOMBRE">#REF!</definedName>
    <definedName name="ACCESORIOPVCSANITAYee_4_x3_PRECIOPORUN">#REF!</definedName>
    <definedName name="ACCESORIOPVCSANITAYee_6_x4_NOMBRE">#REF!</definedName>
    <definedName name="ACCESORIOPVCSANITAYee_6_x4_PRECIOPORUN">#REF!</definedName>
    <definedName name="ACCESORIOPVCSANITAYee_8_x6_NOMBRE">#REF!</definedName>
    <definedName name="ACCESORIOPVCSANITAYee_8_x6_PRECIOPORUN">#REF!</definedName>
    <definedName name="ACCESORIOTUBCORRUGADA_Salida_100mm_NOMBRE">#REF!</definedName>
    <definedName name="ACCESORIOTUBCORRUGADA_Salida_100mm_PRECIOPORUN">#REF!</definedName>
    <definedName name="ACCESORIOTUBCORRUGADA_Salida_160mm_NOMBRE">#REF!</definedName>
    <definedName name="ACCESORIOTUBCORRUGADA_Salida_160mm_PREIOPORUN">#REF!</definedName>
    <definedName name="ACCESORIOTUBCORRUGADA_Salida_200mm_NOMBRE">#REF!</definedName>
    <definedName name="ACCESORIOTUBCORRUGADA_Salida_200mm_PRECIOPORUN">#REF!</definedName>
    <definedName name="ACCESORIOTUBCORRUGADA_Salida_65mm_NOMBRE">#REF!</definedName>
    <definedName name="ACCESORIOTUBCORRUGADA_Salida_65mm_PRECIOPORUN">#REF!</definedName>
    <definedName name="ACCESORIOTUBCORRUGADA_Tapon_100mm_NOMBRE">#REF!</definedName>
    <definedName name="ACCESORIOTUBCORRUGADA_Tapon_100mm_PRECIOPORUN">#REF!</definedName>
    <definedName name="ACCESORIOTUBCORRUGADA_Tapon_160mm_NOMBRE">#REF!</definedName>
    <definedName name="ACCESORIOTUBCORRUGADA_Tapon_160mm_PRECIOPORUN">#REF!</definedName>
    <definedName name="ACCESORIOTUBCORRUGADA_Tapon_200mm_NOMBRE">#REF!</definedName>
    <definedName name="ACCESORIOTUBCORRUGADA_Tapon_200mm_PRECIOPORUN">#REF!</definedName>
    <definedName name="ACCESORIOTUBCORRUGADA_Tapon_65mm_NOMBRE">#REF!</definedName>
    <definedName name="ACCESORIOTUBCORRUGADA_Tapon_65mm_PRECIOPORUN">#REF!</definedName>
    <definedName name="acciones">#REF!</definedName>
    <definedName name="acciones_1">#REF!</definedName>
    <definedName name="acciones_2">#REF!</definedName>
    <definedName name="Acelerante_para_concreto_NOMBRE">#REF!</definedName>
    <definedName name="Acelerante_para_concreto_PRECIOPORKG">#REF!</definedName>
    <definedName name="Acero_A_37_NOMBRE">#REF!</definedName>
    <definedName name="Acero_A_37_PRECIOPORKG">#REF!</definedName>
    <definedName name="Acero_A_60_NOMBRE">#REF!</definedName>
    <definedName name="Acero_A_60_PRECIOPORKG">#REF!</definedName>
    <definedName name="ACOM">#REF!</definedName>
    <definedName name="ACwvu.TAB1.">#REF!</definedName>
    <definedName name="ACwvu.TAB10.">#REF!</definedName>
    <definedName name="ACwvu.TAB2.">#REF!</definedName>
    <definedName name="ACwvu.TAB3.">#REF!</definedName>
    <definedName name="ACwvu.TAB4.">#REF!</definedName>
    <definedName name="ACwvu.TAB5.">#REF!</definedName>
    <definedName name="Adhesivo_epóxicoNOMBRE">#REF!</definedName>
    <definedName name="Adhesivo_epóxicoNOMBREprecioporgalon">#REF!</definedName>
    <definedName name="Adm">#REF!</definedName>
    <definedName name="administrador">#REF!</definedName>
    <definedName name="adoq">#REF!</definedName>
    <definedName name="AGRUPACIONES">#REF!</definedName>
    <definedName name="Agua_NOMBRE">#REF!</definedName>
    <definedName name="Agua_PRECIOPORLITRO">#REF!</definedName>
    <definedName name="AGUAS">#REF!</definedName>
    <definedName name="AIU">#REF!</definedName>
    <definedName name="Alambre_de_púas_de_37_m_kg_cal_12NOMBRE">#REF!</definedName>
    <definedName name="Alambre_negro_calibre_18NOMBRE">#REF!</definedName>
    <definedName name="ALAMBREDEPUESPRECIOPORML">#REF!</definedName>
    <definedName name="Alambrenegrocalibre18precioporKG">#REF!</definedName>
    <definedName name="alc">#REF!</definedName>
    <definedName name="ALCANCE">#REF!</definedName>
    <definedName name="ALCANCE_1">#REF!</definedName>
    <definedName name="ALCANCE_2">#REF!</definedName>
    <definedName name="ALCANCE_4">#REF!</definedName>
    <definedName name="ALCANCE2">#REF!</definedName>
    <definedName name="alemania">#REF!</definedName>
    <definedName name="alfa">#REF!</definedName>
    <definedName name="AMENAZAS">#REF!</definedName>
    <definedName name="AMENAZAS_1">#REF!</definedName>
    <definedName name="AMENAZAS_2">#REF!</definedName>
    <definedName name="ANCLA">#REF!</definedName>
    <definedName name="Antisol_RojoNOMBRE">#REF!</definedName>
    <definedName name="Antisol_RojoPRECIOPORKG">#REF!</definedName>
    <definedName name="AÑOWUIE">#REF!</definedName>
    <definedName name="APU">#REF!</definedName>
    <definedName name="APU221.1">#REF!</definedName>
    <definedName name="APU221.2">#REF!</definedName>
    <definedName name="APUS">#REF!</definedName>
    <definedName name="_xlnm.Print_Area" localSheetId="5">'1.00'!$A$1:$F$24</definedName>
    <definedName name="_xlnm.Print_Area" localSheetId="6">'1.01'!$A$1:$F$21</definedName>
    <definedName name="_xlnm.Print_Area" localSheetId="7">'1.02'!$A$1:$F$19</definedName>
    <definedName name="_xlnm.Print_Area" localSheetId="9">'1.03'!$A$1:$F$23</definedName>
    <definedName name="_xlnm.Print_Area" localSheetId="10">'1.04'!$A$1:$F$22</definedName>
    <definedName name="_xlnm.Print_Area" localSheetId="11">'1.05'!$A$1:$F$25</definedName>
    <definedName name="_xlnm.Print_Area" localSheetId="12">'1.06'!$A$1:$F$18</definedName>
    <definedName name="_xlnm.Print_Area" localSheetId="13">'1.09'!$A$1:$F$14</definedName>
    <definedName name="_xlnm.Print_Area" localSheetId="16">'2.01'!$A$1:$F$23</definedName>
    <definedName name="_xlnm.Print_Area" localSheetId="19">'2.02'!$A$1:$F$17</definedName>
    <definedName name="_xlnm.Print_Area" localSheetId="21">'2.03'!$A$1:$F$18</definedName>
    <definedName name="_xlnm.Print_Area" localSheetId="22">'2.04'!$A$1:$F$18</definedName>
    <definedName name="_xlnm.Print_Area" localSheetId="18">'2.05'!$A$1:$F$21</definedName>
    <definedName name="_xlnm.Print_Area" localSheetId="20">'2.07'!$A$1:$F$19</definedName>
    <definedName name="_xlnm.Print_Area" localSheetId="23">'2.10'!$A$1:$F$24</definedName>
    <definedName name="_xlnm.Print_Area" localSheetId="24">'2.11'!$A$1:$F$18</definedName>
    <definedName name="_xlnm.Print_Area" localSheetId="25">'2.12'!$A$1:$F$26</definedName>
    <definedName name="_xlnm.Print_Area" localSheetId="26">'2.13'!$A$1:$F$24</definedName>
    <definedName name="_xlnm.Print_Area" localSheetId="27">'2.14'!$A$1:$F$19</definedName>
    <definedName name="_xlnm.Print_Area" localSheetId="30">'3,3'!$A$1:$F$23</definedName>
    <definedName name="_xlnm.Print_Area" localSheetId="31">'3.01'!$A$1:$F$28</definedName>
    <definedName name="_xlnm.Print_Area" localSheetId="33">'3.02'!$A$1:$F$25</definedName>
    <definedName name="_xlnm.Print_Area" localSheetId="35">'3.03'!$A$1:$F$23</definedName>
    <definedName name="_xlnm.Print_Area" localSheetId="36">'3.04'!$A$1:$F$23</definedName>
    <definedName name="_xlnm.Print_Area" localSheetId="32">'3.05'!$A$1:$F$21</definedName>
    <definedName name="_xlnm.Print_Area" localSheetId="34">'3.07'!$A$1:$F$23</definedName>
    <definedName name="_xlnm.Print_Area" localSheetId="28">'3.1'!$A$1:$F$24</definedName>
    <definedName name="_xlnm.Print_Area" localSheetId="37">'3.10'!$A$1:$F$23</definedName>
    <definedName name="_xlnm.Print_Area" localSheetId="38">'3.11'!$A$1:$F$24</definedName>
    <definedName name="_xlnm.Print_Area" localSheetId="39">'3.12'!$A$1:$F$23</definedName>
    <definedName name="_xlnm.Print_Area" localSheetId="40">'3.13'!$A$1:$F$23</definedName>
    <definedName name="_xlnm.Print_Area" localSheetId="29">'3.2'!$A$1:$F$24</definedName>
    <definedName name="_xlnm.Print_Area" localSheetId="53">'4,07'!$A$1:$F$21</definedName>
    <definedName name="_xlnm.Print_Area" localSheetId="51">'4,6'!$A$1:$F$21</definedName>
    <definedName name="_xlnm.Print_Area" localSheetId="41">'4.01'!$A$1:$F$22</definedName>
    <definedName name="_xlnm.Print_Area" localSheetId="46">'4.02'!$A$1:$F$25</definedName>
    <definedName name="_xlnm.Print_Area" localSheetId="48">'4.03'!$A$1:$F$21</definedName>
    <definedName name="_xlnm.Print_Area" localSheetId="49">'4.04'!$A$1:$F$22</definedName>
    <definedName name="_xlnm.Print_Area" localSheetId="50">'4.05'!$A$1:$F$21</definedName>
    <definedName name="_xlnm.Print_Area" localSheetId="52">'4.06'!$A$1:$F$21</definedName>
    <definedName name="_xlnm.Print_Area" localSheetId="54">'5.01'!$A$1:$F$26</definedName>
    <definedName name="_xlnm.Print_Area" localSheetId="55">'5.02'!$A$1:$F$26</definedName>
    <definedName name="_xlnm.Print_Area" localSheetId="56">'5.03'!$A$1:$F$20</definedName>
    <definedName name="_xlnm.Print_Area" localSheetId="57">'5.04'!$A$1:$F$25</definedName>
    <definedName name="_xlnm.Print_Area" localSheetId="58">'5.05'!$A$1:$F$20</definedName>
    <definedName name="_xlnm.Print_Area" localSheetId="59">'5.06'!$A$1:$F$23</definedName>
    <definedName name="_xlnm.Print_Area" localSheetId="60">'5.07'!$A$1:$F$20</definedName>
    <definedName name="_xlnm.Print_Area" localSheetId="61">'5.08'!$A$1:$F$20</definedName>
    <definedName name="_xlnm.Print_Area" localSheetId="62">'6.01'!$A$1:$F$20</definedName>
    <definedName name="_xlnm.Print_Area" localSheetId="63">'6.02'!$A$1:$F$19</definedName>
    <definedName name="_xlnm.Print_Area" localSheetId="64">'6.03'!$A$1:$F$19</definedName>
    <definedName name="_xlnm.Print_Area" localSheetId="66">'7,2'!$A$1:$F$25</definedName>
    <definedName name="_xlnm.Print_Area" localSheetId="65">'7.01'!$A$1:$F$24</definedName>
    <definedName name="_xlnm.Print_Area" localSheetId="67">'7.02'!$A$1:$F$24</definedName>
    <definedName name="_xlnm.Print_Area" localSheetId="70">'7.03'!$A$1:$F$17</definedName>
    <definedName name="_xlnm.Print_Area" localSheetId="81">'7.04'!$A$1:$F$24</definedName>
    <definedName name="_xlnm.Print_Area" localSheetId="69">'7.05'!$A$1:$F$24</definedName>
    <definedName name="_xlnm.Print_Area" localSheetId="71">'7.07'!$A$1:$F$33</definedName>
    <definedName name="_xlnm.Print_Area" localSheetId="72">'7.08'!$A$1:$F$24</definedName>
    <definedName name="_xlnm.Print_Area" localSheetId="73">'7.09'!$A$1:$F$24</definedName>
    <definedName name="_xlnm.Print_Area" localSheetId="74">'7.10'!$A$1:$F$22</definedName>
    <definedName name="_xlnm.Print_Area" localSheetId="75">'7.11'!$A$1:$F$24</definedName>
    <definedName name="_xlnm.Print_Area" localSheetId="76">'7.12'!$A$1:$F$24</definedName>
    <definedName name="_xlnm.Print_Area" localSheetId="77">'7.13'!$A$1:$F$24</definedName>
    <definedName name="_xlnm.Print_Area" localSheetId="78">'7.14'!$A$1:$F$20</definedName>
    <definedName name="_xlnm.Print_Area" localSheetId="79">'7.15'!$A$1:$F$24</definedName>
    <definedName name="_xlnm.Print_Area" localSheetId="80">'7.16'!$A$1:$F$21</definedName>
    <definedName name="_xlnm.Print_Area" localSheetId="82">'7.18'!$A$1:$F$24</definedName>
    <definedName name="_xlnm.Print_Area" localSheetId="83">'7.19'!$A$1:$F$24</definedName>
    <definedName name="_xlnm.Print_Area" localSheetId="84">'7.20'!$A$1:$F$24</definedName>
    <definedName name="_xlnm.Print_Area" localSheetId="85">'7.21'!$A$1:$F$24</definedName>
    <definedName name="_xlnm.Print_Area" localSheetId="86">'7.22'!$A$1:$F$22</definedName>
    <definedName name="_xlnm.Print_Area" localSheetId="87">'7.23'!$A$1:$F$24</definedName>
    <definedName name="_xlnm.Print_Area" localSheetId="88">'7.24'!$A$1:$F$24</definedName>
    <definedName name="_xlnm.Print_Area" localSheetId="89">'7.25'!$A$1:$F$22</definedName>
    <definedName name="_xlnm.Print_Area" localSheetId="90">'7.26'!$A$1:$F$23</definedName>
    <definedName name="_xlnm.Print_Area" localSheetId="91">'7.27'!$A$1:$F$21</definedName>
    <definedName name="_xlnm.Print_Area" localSheetId="92">'7.28'!$A$1:$F$23</definedName>
    <definedName name="_xlnm.Print_Area" localSheetId="93">'7.29'!$A$1:$F$24</definedName>
    <definedName name="_xlnm.Print_Area" localSheetId="94">'7.30'!$A$1:$F$24</definedName>
    <definedName name="_xlnm.Print_Area" localSheetId="95">'7.31'!$A$1:$F$25</definedName>
    <definedName name="_xlnm.Print_Area" localSheetId="96">'7.32'!$A$1:$F$24</definedName>
    <definedName name="_xlnm.Print_Area" localSheetId="97">'7.33'!$A$1:$F$24</definedName>
    <definedName name="_xlnm.Print_Area" localSheetId="98">'7.34'!$A$1:$F$22</definedName>
    <definedName name="_xlnm.Print_Area" localSheetId="99">'7.35'!$A$1:$F$24</definedName>
    <definedName name="_xlnm.Print_Area" localSheetId="100">'7.36'!$A$1:$F$24</definedName>
    <definedName name="_xlnm.Print_Area" localSheetId="101">'7.37'!$A$1:$F$22</definedName>
    <definedName name="_xlnm.Print_Area" localSheetId="102">'7.38'!$A$1:$F$22</definedName>
    <definedName name="_xlnm.Print_Area" localSheetId="103">'7.39'!$A$1:$F$22</definedName>
    <definedName name="_xlnm.Print_Area" localSheetId="68">'7.4'!$A$1:$F$22</definedName>
    <definedName name="_xlnm.Print_Area" localSheetId="104">'8,1'!$A$1:$F$26</definedName>
    <definedName name="_xlnm.Print_Area" localSheetId="105">'8,2'!$A$1:$F$23</definedName>
    <definedName name="_xlnm.Print_Area" localSheetId="106">'8.03'!$A$1:$F$25</definedName>
    <definedName name="_xlnm.Print_Area" localSheetId="4">CALCULOS!$B$1:$O$168</definedName>
    <definedName name="_xlnm.Print_Area" localSheetId="17">exca!$A$1:$F$18</definedName>
    <definedName name="_xlnm.Print_Area" localSheetId="0">INS!$A$1:$G$190</definedName>
    <definedName name="_xlnm.Print_Area" localSheetId="107">LIN.AMB!$A$1:$F$15</definedName>
    <definedName name="_xlnm.Print_Area" localSheetId="3">M.C.!$A$2:$K$467</definedName>
    <definedName name="_xlnm.Print_Area" localSheetId="47">no!$A$1:$F$21</definedName>
    <definedName name="_xlnm.Print_Area" localSheetId="1">'OFERTA ECONOMICA'!$B$3:$L$37</definedName>
    <definedName name="_xlnm.Print_Area" localSheetId="8">PER!$A$1:$F$18</definedName>
    <definedName name="_xlnm.Print_Area" localSheetId="108">PMT!$A$1:$F$29</definedName>
    <definedName name="_xlnm.Print_Area" localSheetId="2">PPTO!$A$1:$F$62</definedName>
    <definedName name="_xlnm.Print_Area" localSheetId="14">retiro!$A$1:$F$17</definedName>
    <definedName name="_xlnm.Print_Area" localSheetId="15">sobre!$A$1:$F$22</definedName>
    <definedName name="_xlnm.Print_Area">#REF!</definedName>
    <definedName name="Arena_GruesaNOMBRE">#REF!</definedName>
    <definedName name="arenaprecioporm3_">#REF!</definedName>
    <definedName name="Aro_y_Tapa_pozos_insp_HF_NOMBRE">#REF!</definedName>
    <definedName name="Aro_y_Tapa_pozos_insp_HF_PRECIOPORUN">#REF!</definedName>
    <definedName name="ASB">#REF!</definedName>
    <definedName name="ASDF">#REF!</definedName>
    <definedName name="asdfñk">#REF!</definedName>
    <definedName name="Asfalto_líquido_de_ligaNOMBRE">#REF!</definedName>
    <definedName name="Asfalto_líquido_de_ligaPRECIOPORKG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AYUDANTE_AA">#REF!</definedName>
    <definedName name="AYUDANTE_BB">#REF!</definedName>
    <definedName name="AYUDANTE_EE">#REF!</definedName>
    <definedName name="ayudanteAAfactorprestacional">#REF!</definedName>
    <definedName name="ayudanteAAnominalhora">#REF!</definedName>
    <definedName name="ayudanteBBfactorprestacional">#REF!</definedName>
    <definedName name="ayudanteBBnominalhora">#REF!</definedName>
    <definedName name="ayudanteEEfactorprestacional">#REF!</definedName>
    <definedName name="ayudanteEEnominalhora">#REF!</definedName>
    <definedName name="B">#REF!</definedName>
    <definedName name="B1597ç">#REF!</definedName>
    <definedName name="BAJA">#REF!</definedName>
    <definedName name="base">#REF!</definedName>
    <definedName name="Base_asfálticaNOMBRE">#REF!</definedName>
    <definedName name="Base_asfálticaPRECIOPORM3">#REF!</definedName>
    <definedName name="_xlnm.Database">#REF!</definedName>
    <definedName name="BD_COD">#REF!</definedName>
    <definedName name="Bisagra_común_hierro_3_NOMBRE">#REF!</definedName>
    <definedName name="Bisagra_común_hierro_3_PRECIOPORUN">#REF!</definedName>
    <definedName name="BOMBAS">#REF!</definedName>
    <definedName name="Bombilla_señal_luminosaNOMBRE">#REF!</definedName>
    <definedName name="Bombillaseñalluminosaprecioporunidad">#REF!</definedName>
    <definedName name="BuiltIn_Print_Area">#REF!</definedName>
    <definedName name="BuiltIn_Print_Area___0">#REF!</definedName>
    <definedName name="BuiltIn_Print_Titles">#REF!</definedName>
    <definedName name="Buldozerd6klgpNOMBRE">#REF!</definedName>
    <definedName name="Bulldozerd5gNOMBRE">#REF!</definedName>
    <definedName name="Bulldozerd5gpreciohora">#REF!</definedName>
    <definedName name="bulldozerd6klgphorapreio">#REF!</definedName>
    <definedName name="C_">#REF!</definedName>
    <definedName name="CAB">#REF!</definedName>
    <definedName name="Cable_electr._5_ml_cal._2_18NOMBRE">#REF!</definedName>
    <definedName name="Cableelect.preciometrolineal">#REF!</definedName>
    <definedName name="CADENERO_2">#REF!</definedName>
    <definedName name="cadenero1">#REF!</definedName>
    <definedName name="cadenero1codMO13_">#REF!</definedName>
    <definedName name="cadenero1factorprestacional">#REF!</definedName>
    <definedName name="Cadenero1salariohora">#REF!</definedName>
    <definedName name="cadenero2cod">#REF!</definedName>
    <definedName name="cadenero2factorprestacional">#REF!</definedName>
    <definedName name="cadenero2salariohora">#REF!</definedName>
    <definedName name="CAL">#REF!</definedName>
    <definedName name="CALIDAD_1">#REF!</definedName>
    <definedName name="CALIDAD_2">#REF!</definedName>
    <definedName name="CANT">#REF!</definedName>
    <definedName name="CARGA">#REF!</definedName>
    <definedName name="CARGADOR928GNOMBRE">#REF!</definedName>
    <definedName name="Cargador928gpreciohora">#REF!</definedName>
    <definedName name="CARROTANQUENOMBRE">#REF!</definedName>
    <definedName name="carrotanquepreciohora">#REF!</definedName>
    <definedName name="CCCCCC">#REF!</definedName>
    <definedName name="ccto210">#REF!</definedName>
    <definedName name="Cemento_tipo_1_NOMBRE">#REF!</definedName>
    <definedName name="Cemento_tipo_1_PRECIOPORKG">#REF!</definedName>
    <definedName name="Cerco_9X4_1_2_X_3m_NOMBRE">#REF!</definedName>
    <definedName name="Cerco_9X4_1_2_X_3m_PRECIOPORUN">#REF!</definedName>
    <definedName name="ceric">#REF!</definedName>
    <definedName name="CESAR">#REF!</definedName>
    <definedName name="CESAR_1">#REF!</definedName>
    <definedName name="CESAR_2">#REF!</definedName>
    <definedName name="CESAR_4">#REF!</definedName>
    <definedName name="Cinta_de_marcación_plasticaNOMBRE">#REF!</definedName>
    <definedName name="Cinta_P.V.C._O_22_NOMBRE">#REF!</definedName>
    <definedName name="Cinta_P.V.C._O_22_PRECIOPORML">#REF!</definedName>
    <definedName name="Cinta_P.V.C._V_10_NOMBRE">#REF!</definedName>
    <definedName name="Cinta_P.V.C._V_10_PRECIOPORML">#REF!</definedName>
    <definedName name="Cinta_P.V.C._V_15_NOMBRE">#REF!</definedName>
    <definedName name="Cinta_P.V.C._V_15_PRECIOPORML">#REF!</definedName>
    <definedName name="CINTAMARCACIONPLASTICAPRECIOPORUNIDAD">#REF!</definedName>
    <definedName name="Ciudad">#REF!</definedName>
    <definedName name="CLASE3">#REF!</definedName>
    <definedName name="COL">#REF!</definedName>
    <definedName name="COMISION">#REF!</definedName>
    <definedName name="compefactores">#REF!</definedName>
    <definedName name="compefactores_1">#REF!</definedName>
    <definedName name="compefactores_2">#REF!</definedName>
    <definedName name="COMPRESOR2PISTOLASNOMBRE">#REF!</definedName>
    <definedName name="Compresordospistolaspreciohora">#REF!</definedName>
    <definedName name="Compuerta_D_12_NOMBRE">#REF!</definedName>
    <definedName name="Compuerta_D_12_PRECIOPORUN">#REF!</definedName>
    <definedName name="Compuerta_D_14_NOMBRE">#REF!</definedName>
    <definedName name="Compuerta_D_14_PRECIOPORUN">#REF!</definedName>
    <definedName name="Compuerta_D_16_NOMBRE">#REF!</definedName>
    <definedName name="Compuerta_D_16_PRECIOPORUN">#REF!</definedName>
    <definedName name="Conc3">#REF!</definedName>
    <definedName name="CONCRETO">#REF!</definedName>
    <definedName name="concreto_2000_PSI_PremezcladoNOMBRE">#REF!</definedName>
    <definedName name="concreto_2500_PSI_PremezcladoNOMBRE">#REF!</definedName>
    <definedName name="concreto_3000_PSI_Premezclado_NOMBRE">#REF!</definedName>
    <definedName name="concreto_3000_PSI_Premezclado_PRECIOPORM3">#REF!</definedName>
    <definedName name="Concreto_3500PSI_Premezclado_NOMBRE">#REF!</definedName>
    <definedName name="Concreto_3500PSI_Premezclado_PRECIOPORM3">#REF!</definedName>
    <definedName name="CONCRETO_4000_PSI_Premezclado_NOMBRE">#REF!</definedName>
    <definedName name="CONCRETO_4000_PSI_Premezclado_PRECIOPORM3">#REF!</definedName>
    <definedName name="CONCRETO_5000_PSI_Premezclado_NOMBRE">#REF!</definedName>
    <definedName name="CONCRETO_5000_PSI_Premezclado_PRECIOPORM3">#REF!</definedName>
    <definedName name="CONCRETO2000PSIPRECIOPORM3">#REF!</definedName>
    <definedName name="concreto2500precioporm3_">#REF!</definedName>
    <definedName name="CONEX">#REF!</definedName>
    <definedName name="CONSULTOR">#REF!</definedName>
    <definedName name="CONSULTOR_1">#REF!</definedName>
    <definedName name="CONSULTOR_2">#REF!</definedName>
    <definedName name="CONTRATO">#REF!</definedName>
    <definedName name="CONTROL">#REF!</definedName>
    <definedName name="CORTADORANOMBRE">#REF!</definedName>
    <definedName name="cortadorapreciohora">#REF!</definedName>
    <definedName name="CUAD">#REF!</definedName>
    <definedName name="CUARTA">#REF!</definedName>
    <definedName name="CUATRO">#REF!</definedName>
    <definedName name="D">#REF!</definedName>
    <definedName name="Datos">#REF!</definedName>
    <definedName name="DATOSBASE">#REF!</definedName>
    <definedName name="DD">#REF!</definedName>
    <definedName name="dd_1">#REF!</definedName>
    <definedName name="dd_2">#REF!</definedName>
    <definedName name="dd_4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EBILIDADES">#REF!</definedName>
    <definedName name="DEBILIDADES_1">#REF!</definedName>
    <definedName name="DEBILIDADES_2">#REF!</definedName>
    <definedName name="decisión">#REF!</definedName>
    <definedName name="DEMORA1">#REF!</definedName>
    <definedName name="DEMORA1_1">#REF!</definedName>
    <definedName name="DEMORA1_2">#REF!</definedName>
    <definedName name="DESCQ">#REF!</definedName>
    <definedName name="design">#REF!</definedName>
    <definedName name="design2">#REF!</definedName>
    <definedName name="DESMQ">#REF!</definedName>
    <definedName name="dff">#REF!</definedName>
    <definedName name="dff_2">#REF!</definedName>
    <definedName name="dff_4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ÓN">#REF!</definedName>
    <definedName name="DJFJDSJFSDJ">#REF!</definedName>
    <definedName name="e">#REF!</definedName>
    <definedName name="EKA">#REF!</definedName>
    <definedName name="Elec1">#REF!</definedName>
    <definedName name="Elec2">#REF!</definedName>
    <definedName name="Elec3">#REF!</definedName>
    <definedName name="elinarco">#REF!</definedName>
    <definedName name="elinarco_1">#REF!</definedName>
    <definedName name="elinarco_2">#REF!</definedName>
    <definedName name="elinarco_4">#REF!</definedName>
    <definedName name="Ensayo_Absorción_en_tubería_en_Concreto_NOMBRE">#REF!</definedName>
    <definedName name="Ensayo_Absorción_en_tubería_en_Concreto_PRECIOPORUN">#REF!</definedName>
    <definedName name="Ensayo_de_Densidad_de_Campo_NOMBRE">#REF!</definedName>
    <definedName name="Ensayo_de_Densidad_de_Campo_PRECIOPORUN">#REF!</definedName>
    <definedName name="Ensayo_en_tuberías_de_Concreto_Ref._D__30_NOMBRE">#REF!</definedName>
    <definedName name="Ensayo_en_tuberías_de_Concreto_Ref._D__30_PRECIOPORUN">#REF!</definedName>
    <definedName name="Ensayo_en_tuberías_de_Concreto_Ref_D__33_NOMBRE">#REF!</definedName>
    <definedName name="Ensayo_en_tuberías_de_Concreto_Ref_D__33_PRECIOPORUN">#REF!</definedName>
    <definedName name="Ensayo_Proctor_Modificado_NOMBRE">#REF!</definedName>
    <definedName name="Ensayo_Proctor_Modificado_PRECIOPORUN">#REF!</definedName>
    <definedName name="Ensayo_Proctor_Standard_NOMBRE">#REF!</definedName>
    <definedName name="Ensayo_Proctor_Standard_PRECIOPORUN">#REF!</definedName>
    <definedName name="Ensayo_tuberías_Concreto_Simple_12____D__20_NOMBRE">#REF!</definedName>
    <definedName name="Ensayo_tuberías_Concreto_Simple_12____D__20_PRECIOPORUN">#REF!</definedName>
    <definedName name="Ensayo_tuberías_Concreto_Simple_8____D__10_NOMBRE">#REF!</definedName>
    <definedName name="Ensayo_tuberías_Concreto_Simple_8____D__10_PRECIOPORUN">#REF!</definedName>
    <definedName name="ENSAYOS">#REF!</definedName>
    <definedName name="EQ">#REF!</definedName>
    <definedName name="EQUIPO_2">#REF!</definedName>
    <definedName name="Equipo_perforaciónNOMBRE">#REF!</definedName>
    <definedName name="Equipo_perforaciónPRECIOPORH">#REF!</definedName>
    <definedName name="Equipo_tensionamientoNOMBRE">#REF!</definedName>
    <definedName name="Equipo_tensionamientoprecioporhora">#REF!</definedName>
    <definedName name="equipodeinyeccionpreciohora">#REF!</definedName>
    <definedName name="equipodelanzadopreciohora">#REF!</definedName>
    <definedName name="EQUIPODETOPOGRAFIANOMBRE">#REF!</definedName>
    <definedName name="EQUIPOINYECCIONNOMBRE">#REF!</definedName>
    <definedName name="EQUIPOLANZADONOMBRE">#REF!</definedName>
    <definedName name="equipos">#REF!</definedName>
    <definedName name="equipotopografiadiaprecio">#REF!</definedName>
    <definedName name="EQYHERR">#REF!</definedName>
    <definedName name="eric">#REF!</definedName>
    <definedName name="ERIKA">#REF!</definedName>
    <definedName name="ERTY">#REF!</definedName>
    <definedName name="ESTANDAR">#REF!</definedName>
    <definedName name="Esterilla_guadua_0_35_X4_m_NOMBRE">#REF!</definedName>
    <definedName name="Esterilla_guadua_0_35_X4_m_PRECIOPORUN">#REF!</definedName>
    <definedName name="EVM10_EQUIPODETOPOGRAFIA">#REF!</definedName>
    <definedName name="EVM2_BULLDOZERD6KLGP">#REF!</definedName>
    <definedName name="EVM25_VOLQUETA5M3">#REF!</definedName>
    <definedName name="EVM4_CARGADOR928G">#REF!</definedName>
    <definedName name="EVM6_COMPRESOR2PISTOLAS">#REF!</definedName>
    <definedName name="EVM7_CORTADORA">#REF!</definedName>
    <definedName name="EXC">NA()</definedName>
    <definedName name="EXC_12">NA()</definedName>
    <definedName name="EXCAUCE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#REF!</definedName>
    <definedName name="Excel_BuiltIn_Print_Titles_4">#REF!</definedName>
    <definedName name="EXCMAQ">#REF!</definedName>
    <definedName name="EXCMAQ2">#REF!</definedName>
    <definedName name="EXCMAQ3">#REF!</definedName>
    <definedName name="EXCROC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losivosNOMBRE">#REF!</definedName>
    <definedName name="explosivospreciounidadparam3roca">#REF!</definedName>
    <definedName name="EXROCA">#REF!</definedName>
    <definedName name="Fax">#REF!</definedName>
    <definedName name="fd">#REF!</definedName>
    <definedName name="FECHA">#REF!</definedName>
    <definedName name="FECHA_1">#REF!</definedName>
    <definedName name="FECHA_2">#REF!</definedName>
    <definedName name="FFFF">#REF!</definedName>
    <definedName name="FGJ">#REF!</definedName>
    <definedName name="FinisherNOMBRE">#REF!</definedName>
    <definedName name="finisherpreciohora">#REF!</definedName>
    <definedName name="firma">#REF!</definedName>
    <definedName name="FormaletaNOMBRE">#REF!</definedName>
    <definedName name="formaletaprecioporh">#REF!</definedName>
    <definedName name="Format">#REF!</definedName>
    <definedName name="FORMULARIO">#REF!</definedName>
    <definedName name="FORTALEZA">#REF!</definedName>
    <definedName name="FORTALEZA_1">#REF!</definedName>
    <definedName name="FORTALEZA_2">#REF!</definedName>
    <definedName name="FSDFSD">#REF!</definedName>
    <definedName name="GALAPAGO">#REF!</definedName>
    <definedName name="Geotextil_TSNOMBRE">#REF!</definedName>
    <definedName name="GEOTEXTILPRECIOPORm2_">#REF!</definedName>
    <definedName name="GFSGFDSG">#REF!</definedName>
    <definedName name="GKJDGDIJZ">"Imagen 3"</definedName>
    <definedName name="grapaparacercasprecioporunidad">#REF!</definedName>
    <definedName name="Grapas_para_cercasNOMBRE">#REF!</definedName>
    <definedName name="GravaNOMBRE">#REF!</definedName>
    <definedName name="gravaprecioporm3_">#REF!</definedName>
    <definedName name="GravillaNOMBRE">#REF!</definedName>
    <definedName name="GRAVILLAPRECIOPORm3_">#REF!</definedName>
    <definedName name="GRES">#REF!</definedName>
    <definedName name="GRES1">#REF!</definedName>
    <definedName name="GRUPO1">#REF!</definedName>
    <definedName name="Grupo2">#REF!</definedName>
    <definedName name="Grupo3">#REF!</definedName>
    <definedName name="GUIA">#REF!</definedName>
    <definedName name="HFD">#REF!</definedName>
    <definedName name="HHHH">#REF!</definedName>
    <definedName name="HHHHHJKJKK">#REF!</definedName>
    <definedName name="HHHHHTHS">#REF!</definedName>
    <definedName name="hikhkjhkjl">#REF!</definedName>
    <definedName name="hikhkjhkjl_2">#REF!</definedName>
    <definedName name="hikhkjhkjl_4">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1">#REF!</definedName>
    <definedName name="horat">#REF!</definedName>
    <definedName name="Horcones_de_2.90mNOMBRE">#REF!</definedName>
    <definedName name="Horcones2.9precioporunidad">#REF!</definedName>
    <definedName name="Hormigón_asfálticoNOMBRE">#REF!</definedName>
    <definedName name="Hormigón_asfálticoPRECIOPORM3">#REF!</definedName>
    <definedName name="I">#REF!</definedName>
    <definedName name="IF">#REF!</definedName>
    <definedName name="Impermeabilizante_asfáltico_ImprimanteNOMBRE">#REF!</definedName>
    <definedName name="Impermeabilizante_asfáltico_ImprimantePRECIOPORKG">#REF!</definedName>
    <definedName name="Imprev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geo1">#REF!</definedName>
    <definedName name="Ingeo2">#REF!</definedName>
    <definedName name="Ingeo3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unizantemaderaprecioporkg">#REF!</definedName>
    <definedName name="INSTALACION">#REF!</definedName>
    <definedName name="INV_11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VASOBRE">#REF!</definedName>
    <definedName name="IvaSUtl">#REF!</definedName>
    <definedName name="JAIME">#REF!</definedName>
    <definedName name="JER">#REF!</definedName>
    <definedName name="JERSSON">#REF!</definedName>
    <definedName name="JHFH">#REF!</definedName>
    <definedName name="JHFHF">#REF!</definedName>
    <definedName name="JHGFHF">#REF!</definedName>
    <definedName name="JKHGGFD">#REF!</definedName>
    <definedName name="JKJLJKGKUYT">#REF!</definedName>
    <definedName name="JKLJKLHNHGFG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#REF!</definedName>
    <definedName name="KLJKLMDS">#REF!</definedName>
    <definedName name="KO">#REF!</definedName>
    <definedName name="KTES_AL">#REF!</definedName>
    <definedName name="KWH_de_energíaNOMBRE">#REF!</definedName>
    <definedName name="kwhenergíaprecioporkwh">#REF!</definedName>
    <definedName name="l9001_1">#REF!</definedName>
    <definedName name="l9001_2">#REF!</definedName>
    <definedName name="l9001_4">#REF!</definedName>
    <definedName name="Ladrillo_temosa_NOMBRE">#REF!</definedName>
    <definedName name="Ladrillo_temosa_PRECIOPORUN">#REF!</definedName>
    <definedName name="Ladrillo_tolete_NOMBRE">#REF!</definedName>
    <definedName name="Ladrillo_tolete_PRECIOPORUN">#REF!</definedName>
    <definedName name="leo">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ador_PVC_NOMBRE">#REF!</definedName>
    <definedName name="LIMPIADORPVCPRECIOporgl">#REF!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OCA">#REF!</definedName>
    <definedName name="LOCA1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ubricante_tubería_union_mecanicaNOMBRE">#REF!</definedName>
    <definedName name="Lubricante_tubería_union_mecanicaPRECIOPORKG">#REF!</definedName>
    <definedName name="LUGAR">#REF!</definedName>
    <definedName name="M.O.">#REF!</definedName>
    <definedName name="mac">#REF!</definedName>
    <definedName name="MAESTRO">#REF!</definedName>
    <definedName name="maestrofactorprestacional">#REF!</definedName>
    <definedName name="maestronominalhora">#REF!</definedName>
    <definedName name="MAL">#REF!&lt;2.5</definedName>
    <definedName name="Malla_electrosoldada_Calibre_10_Abert_0.1X0.1_NOMBRE">#REF!</definedName>
    <definedName name="Malla_electrosoldada_Calibre_10_Abert_0.1X0.1_PRECIOPORM2">#REF!</definedName>
    <definedName name="Malla_gavión_2.00x1.00x0.30NOMBRE">#REF!</definedName>
    <definedName name="Malla_gavión_2.00x1.00x0.30PRECIOPORUNIDAD">#REF!</definedName>
    <definedName name="Malla_gavión_2.00x1.00x0.50NOMBRE">#REF!</definedName>
    <definedName name="Malla_gavión_2.00x1.00x0.50PRECIOPORUNIDAD">#REF!</definedName>
    <definedName name="Malla_gavión_2.00x1.00x1.00NOMBRE">#REF!</definedName>
    <definedName name="Malla_gavión_2.00x1.00x1.00PRECIOPORUNIDAD">#REF!</definedName>
    <definedName name="Malla_gavión_3.00x1.00x1.00NOMBRE">#REF!</definedName>
    <definedName name="Malla_gavión_3.00x1.00x1.00PRECIOPORUN">#REF!</definedName>
    <definedName name="Malla_gavión_4.00x1.00x1.00NOMBRE">#REF!</definedName>
    <definedName name="Malla_gavión_4.00x1.00x1.00PRECIOPORUN">#REF!</definedName>
    <definedName name="MALO">#REF!&lt;2.5</definedName>
    <definedName name="MANOBRA">#REF!</definedName>
    <definedName name="MANODEOBRA">#REF!</definedName>
    <definedName name="MAQUINARIA">#REF!</definedName>
    <definedName name="MAT">#REF!</definedName>
    <definedName name="MATBAS">#REF!</definedName>
    <definedName name="MATERIA">#REF!</definedName>
    <definedName name="Material_para_filtroNOMBRE">#REF!</definedName>
    <definedName name="MATERIALES">#REF!</definedName>
    <definedName name="MATERIALES_2">#REF!</definedName>
    <definedName name="Materialparafiltroprecioporm3_">#REF!</definedName>
    <definedName name="Mezcladora_de_con_ACPM_1_bultoNOMBRE">#REF!</definedName>
    <definedName name="mezcladoraconcretohoraprecio1bulto">#REF!</definedName>
    <definedName name="mo">#REF!</definedName>
    <definedName name="Mortero_1_1_5___4000PSINOMBRE">#REF!</definedName>
    <definedName name="Mortero_2500_PSINOMBRE">#REF!</definedName>
    <definedName name="Mortero_3000_PSINOMBRE">#REF!</definedName>
    <definedName name="mortero2500precioporm3_">#REF!</definedName>
    <definedName name="mortero3000psiprecioporm3_">#REF!</definedName>
    <definedName name="Mortero4000psiprecioporm3_">#REF!</definedName>
    <definedName name="Motoniveladora_CAT_120GNOMBRE">#REF!</definedName>
    <definedName name="motoniveladoracat120gpreciohora">#REF!</definedName>
    <definedName name="MOVIMIENTO">#REF!</definedName>
    <definedName name="MT">#REF!</definedName>
    <definedName name="mxcasas">#REF!</definedName>
    <definedName name="n">#REF!</definedName>
    <definedName name="N_VISITA">#REF!</definedName>
    <definedName name="N_VISITA_1">#REF!</definedName>
    <definedName name="N_VISITA_2">#REF!</definedName>
    <definedName name="NANA">#REF!</definedName>
    <definedName name="NM">#REF!</definedName>
    <definedName name="NNN">#REF!</definedName>
    <definedName name="NO">#REF!</definedName>
    <definedName name="No.copias">#REF!</definedName>
    <definedName name="NOMBRE">#REF!</definedName>
    <definedName name="NUEVO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OBJETIVO">#REF!</definedName>
    <definedName name="OBJETIVO_1">#REF!</definedName>
    <definedName name="OBJETIVO_2">#REF!</definedName>
    <definedName name="OBJETIVO_4">#REF!</definedName>
    <definedName name="OBRA">#REF!</definedName>
    <definedName name="OFICIAL_AA">#REF!</definedName>
    <definedName name="OFICIAL_BB">#REF!</definedName>
    <definedName name="oficialaafactorprestacional">#REF!</definedName>
    <definedName name="oficialAAnominalhora">#REF!</definedName>
    <definedName name="oficialBBfactorprestacional">#REF!</definedName>
    <definedName name="oficialBBnominalhora">#REF!</definedName>
    <definedName name="OIUYUGJ">#REF!</definedName>
    <definedName name="oo">#REF!</definedName>
    <definedName name="ooo">#REF!</definedName>
    <definedName name="OPRTUNIDADES">#REF!</definedName>
    <definedName name="OPRTUNIDADES_1">#REF!</definedName>
    <definedName name="OPRTUNIDADES_2">#REF!</definedName>
    <definedName name="ORDEN">#REF!</definedName>
    <definedName name="otros">#REF!</definedName>
    <definedName name="OTROS_2">#REF!</definedName>
    <definedName name="Paec1">#REF!</definedName>
    <definedName name="Paec2">#REF!</definedName>
    <definedName name="Paec3">#REF!</definedName>
    <definedName name="PAG">#REF!</definedName>
    <definedName name="PARAMETROS">#REF!</definedName>
    <definedName name="PEGUE">#REF!</definedName>
    <definedName name="Pér1">#REF!</definedName>
    <definedName name="PESO">#REF!</definedName>
    <definedName name="PiedraNOMBRE">#REF!</definedName>
    <definedName name="Piedraprecioporm3_">#REF!</definedName>
    <definedName name="pilo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turamanderahorconesprecioporlitro">#REF!</definedName>
    <definedName name="Plastificante_NOMBRE">#REF!</definedName>
    <definedName name="Plastificante_PRECIOPORGL">#REF!</definedName>
    <definedName name="Platina_para_anclaje_NOMBRE">#REF!</definedName>
    <definedName name="PlatinaanclajePRECIOPORUN">#REF!</definedName>
    <definedName name="PLAZO">#REF!</definedName>
    <definedName name="Polietileno_Calibre_6__3_m_de_anchoNOMBRE">#REF!</definedName>
    <definedName name="Polietilenocalibre6precioML">#REF!</definedName>
    <definedName name="Polisombra_NOMBRE">#REF!</definedName>
    <definedName name="Polisombra_PRECIOPORML">#REF!</definedName>
    <definedName name="ponedera">#REF!</definedName>
    <definedName name="Porta_candado_NOMBRE">#REF!</definedName>
    <definedName name="Porta_candado_PRECIOPORUN">#REF!</definedName>
    <definedName name="PortalámparaNOMBRE">#REF!</definedName>
    <definedName name="Portalamparapreciounidad">#REF!</definedName>
    <definedName name="Poste_apuntalamientoNOMBRE">#REF!</definedName>
    <definedName name="Poste_cerca_concreto_2.5mNOMBRE">#REF!</definedName>
    <definedName name="Poste_señal_luminosa__1_de_4mNOMBRE">#REF!</definedName>
    <definedName name="POSTEAPUNTALAMIENTOPRECIOPORUNIDAD">#REF!</definedName>
    <definedName name="POSTECERCACONCRETOPRECIOPORUNIDAD">#REF!</definedName>
    <definedName name="POsteseñalluminosaprecioporunidad">#REF!</definedName>
    <definedName name="PPFINAL">#REF!</definedName>
    <definedName name="PPTO">#REF!</definedName>
    <definedName name="PRE">#REF!</definedName>
    <definedName name="PRESUPUESTO">#REF!</definedName>
    <definedName name="PRIMERA">#REF!</definedName>
    <definedName name="Print_Area_MI">#REF!</definedName>
    <definedName name="PROYECCION">#REF!</definedName>
    <definedName name="PRUEBA">#REF!</definedName>
    <definedName name="prueba1">#REF!</definedName>
    <definedName name="PRUEBA2">#REF!</definedName>
    <definedName name="Puntillas_1_1_2___3_NOMBRE">#REF!</definedName>
    <definedName name="Puntillas_1_1_2___3_PRECIOPORUN">#REF!</definedName>
    <definedName name="Q">#REF!</definedName>
    <definedName name="QUINTA">#REF!</definedName>
    <definedName name="RANGOTOT">#REF!</definedName>
    <definedName name="RDJ">#REF!</definedName>
    <definedName name="re">#REF!</definedName>
    <definedName name="Recebo_común_afirmadoNOMBRE">#REF!</definedName>
    <definedName name="Recebocomúnprecioporm3_">#REF!</definedName>
    <definedName name="REG">#REF!&gt;2.5</definedName>
    <definedName name="REGBT">#REF!</definedName>
    <definedName name="REGIMEN">#REF!</definedName>
    <definedName name="REGULAR">#REF!&gt;2.5</definedName>
    <definedName name="rell">#REF!</definedName>
    <definedName name="Relleno_arena_gravaNOMBRE">#REF!</definedName>
    <definedName name="Relleno_granular_tuberíasNOMBRE">#REF!</definedName>
    <definedName name="Relleno_seleccionadoNOMBRE">#REF!</definedName>
    <definedName name="Rellenoarenagravaprecioporm3_">#REF!</definedName>
    <definedName name="RellenoBase_granular_para_víasNOMBRE">#REF!</definedName>
    <definedName name="rellenobaseganularINVIASpreciom3_">#REF!</definedName>
    <definedName name="rellenogranulartuberíasprecioporm3_">#REF!</definedName>
    <definedName name="RellenoseleccionadoprecioM3">#REF!</definedName>
    <definedName name="RELLG">#REF!</definedName>
    <definedName name="RENDIMIENTO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UMEN">#REF!</definedName>
    <definedName name="Retroexcavadora_de_llantaNOMBRE">#REF!</definedName>
    <definedName name="retroeXcavadoradellantapreciohora">#REF!</definedName>
    <definedName name="retroexcavadoradeorugapreciohora">#REF!</definedName>
    <definedName name="RETROEXCAVADORAORUGACAT320_NOMBRE">#REF!</definedName>
    <definedName name="rfref">#REF!</definedName>
    <definedName name="RIGIDO">#REF!</definedName>
    <definedName name="ROCA">#REF!</definedName>
    <definedName name="RRJFMVK">#REF!</definedName>
    <definedName name="S">#REF!</definedName>
    <definedName name="sdf">#REF!</definedName>
    <definedName name="SEGUNDA">#REF!</definedName>
    <definedName name="SEÑALIZACION">#REF!</definedName>
    <definedName name="SHARED_FORMULA_21">#N/A</definedName>
    <definedName name="SIFONES">#REF!</definedName>
    <definedName name="SIMP">#REF!</definedName>
    <definedName name="SIMP1">#REF!</definedName>
    <definedName name="SIMP2">#REF!</definedName>
    <definedName name="SINO">#REF!</definedName>
    <definedName name="SOCIO">#REF!</definedName>
    <definedName name="Soldadura_PVC_NOMBRE">#REF!</definedName>
    <definedName name="Soldadura_PVC_precioporGALON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ub_base_granular_para_víasNOMBRE">#REF!</definedName>
    <definedName name="SUBBSASEGRANULARVIASPRECIOPORm3_">#REF!</definedName>
    <definedName name="SumideroVial_105x36x12_Traf_Pesado_R_96_27_MP_NOMBRE">#REF!</definedName>
    <definedName name="SumideroVial_105x36x12_Traf_Pesado_R_96_27_MP_PRECIOPORUN">#REF!</definedName>
    <definedName name="SumideroVial_83x45x14_Traf_Pesado_R_70_32_MP_NOMBRE">#REF!</definedName>
    <definedName name="SumideroVial_83x45x14_Traf_Pesado_R_70_32_MP_PRECIOPORUN">#REF!</definedName>
    <definedName name="Swvu.TAB1.">#REF!</definedName>
    <definedName name="Swvu.TAB2.">#REF!</definedName>
    <definedName name="Swvu.TAB3.">#REF!</definedName>
    <definedName name="Swvu.TAB4.">#REF!</definedName>
    <definedName name="Swvu.TAB5.">#REF!</definedName>
    <definedName name="t">#REF!</definedName>
    <definedName name="TABLA">#REF!</definedName>
    <definedName name="Taco_guadua_4m_NOMBRE">#REF!</definedName>
    <definedName name="Taco_guadua_4mPRECIOPORUN">#REF!</definedName>
    <definedName name="TAJO">#REF!</definedName>
    <definedName name="TAJO1">#REF!</definedName>
    <definedName name="TARIFAS">#REF!</definedName>
    <definedName name="TCR_D_24_I_NOMBRE">#REF!</definedName>
    <definedName name="TCR_D_24_I_PRECIOPORm">#REF!</definedName>
    <definedName name="TCR_D_24_II_NOMBRE">#REF!</definedName>
    <definedName name="TCR_D_24_II_PRECIOPORm">#REF!</definedName>
    <definedName name="TCR_D_24_III_NOMBRE">#REF!</definedName>
    <definedName name="TCR_D_24_III_PREIOPORm">#REF!</definedName>
    <definedName name="TCR_D_24_IV_NOMBRE">#REF!</definedName>
    <definedName name="TCR_D_24_IV_PRECIOPORm">#REF!</definedName>
    <definedName name="TCR_D_28_I_NOMBRE">#REF!</definedName>
    <definedName name="TCR_D_28_I_PRECIOPORm">#REF!</definedName>
    <definedName name="TCR_D_28_II_NOMBRE">#REF!</definedName>
    <definedName name="TCR_D_28_II_PRECIOPORm">#REF!</definedName>
    <definedName name="TCR_D_28_III_NOMBRE">#REF!</definedName>
    <definedName name="TCR_D_28_III_PRECIOPORm">#REF!</definedName>
    <definedName name="TCR_D_28_IV_NOMBRE">#REF!</definedName>
    <definedName name="TCR_D_28_IV_PRECIOPORm">#REF!</definedName>
    <definedName name="TCR_D_32_I_NOMBRE">#REF!</definedName>
    <definedName name="TCR_D_32_I_PRECIOPORm">#REF!</definedName>
    <definedName name="TCR_D_32_II_NOMBRE">#REF!</definedName>
    <definedName name="TCR_D_32_II_PRECIOPORm">#REF!</definedName>
    <definedName name="TCR_D_32_III_NOMBRE">#REF!</definedName>
    <definedName name="TCR_D_32_III_PRECIOPORm">#REF!</definedName>
    <definedName name="TCR_D_32_IV_NOMBRE">#REF!</definedName>
    <definedName name="TCR_D_32_IV_PRECIOPORm">#REF!</definedName>
    <definedName name="TCR_D_36__III_NOMBRE">#REF!</definedName>
    <definedName name="TCR_D_36__III_PRECIOPORm">#REF!</definedName>
    <definedName name="TCR_D_36_I_NOMBRE">#REF!</definedName>
    <definedName name="TCR_D_36_I_PRECIOPORm">#REF!</definedName>
    <definedName name="TCR_D_36_II_NOMBRE">#REF!</definedName>
    <definedName name="TCR_D_36_II_PRECIOPORm">#REF!</definedName>
    <definedName name="TCR_D_36_IV_NOMBRE">#REF!</definedName>
    <definedName name="TCR_D_36_IV_PRECIOPORm">#REF!</definedName>
    <definedName name="TCR_D_40_I_NOMBRE">#REF!</definedName>
    <definedName name="TCR_D_40_I_PRECIOPORm">#REF!</definedName>
    <definedName name="TCR_D_40_II_NOMBRE">#REF!</definedName>
    <definedName name="TCR_D_40_II_PRECIOPORm">#REF!</definedName>
    <definedName name="TCR_D_40_III_NOMBRE">#REF!</definedName>
    <definedName name="TCR_D_40_III_PRECIOPORm">#REF!</definedName>
    <definedName name="TCR_D_40_IV_NOMBRE">#REF!</definedName>
    <definedName name="TCR_D_40_IV_PRECIOPORm">#REF!</definedName>
    <definedName name="TCR_D_44_I_NOMBRE">#REF!</definedName>
    <definedName name="TCR_D_44_I_PRECIOPORm">#REF!</definedName>
    <definedName name="TCR_D_44_II_NOMBRE">#REF!</definedName>
    <definedName name="TCR_D_44_II_PRECIOPORm">#REF!</definedName>
    <definedName name="TCR_D_44_III_NOMBRE">#REF!</definedName>
    <definedName name="TCR_D_44_III_PRECIOPORm">#REF!</definedName>
    <definedName name="TCR_D_44_IV_NOMBRE">#REF!</definedName>
    <definedName name="TCR_D_44_IV_PRECIOPORm">#REF!</definedName>
    <definedName name="TCR_D_48_I_NOMBRE">#REF!</definedName>
    <definedName name="TCR_D_48_I_PRECIOPORm">#REF!</definedName>
    <definedName name="TCR_D_48_II_NOMBRE">#REF!</definedName>
    <definedName name="TCR_D_48_II_PRECIOPORm">#REF!</definedName>
    <definedName name="TCR_D_48_III_NOMBRE">#REF!</definedName>
    <definedName name="TCR_D_48_III_PRECIOPORm">#REF!</definedName>
    <definedName name="TCR_D_48_IV_NOMBRE">#REF!</definedName>
    <definedName name="TCR_D_48_IV_PRECIOPORm">#REF!</definedName>
    <definedName name="TCR_D_52_I_NOMBRE">#REF!</definedName>
    <definedName name="TCR_D_52_I_PRECIOPORm">#REF!</definedName>
    <definedName name="TCR_D_52_II_NOMBRE">#REF!</definedName>
    <definedName name="TCR_D_52_II_PRECIOPORm">#REF!</definedName>
    <definedName name="TCR_D_52_III_NOMBRE">#REF!</definedName>
    <definedName name="TCR_D_52_III_PRECIOPORm">#REF!</definedName>
    <definedName name="TCR_D_52_IV_NOMBRE">#REF!</definedName>
    <definedName name="TCR_D_52_IV_PRECIOPORm">#REF!</definedName>
    <definedName name="TCR_D_56_I_NOMBRE">#REF!</definedName>
    <definedName name="TCR_D_56_I_PRECIOPORm">#REF!</definedName>
    <definedName name="TCR_D_56_II_NOMBRE">#REF!</definedName>
    <definedName name="TCR_D_56_II_PRECIOPORm">#REF!</definedName>
    <definedName name="TCR_D_56_III_NOMBRE">#REF!</definedName>
    <definedName name="TCR_D_56_III_PRECIOPORm">#REF!</definedName>
    <definedName name="TCR_D_56_IV_NOMBRE">#REF!</definedName>
    <definedName name="TCR_D_56_IV_PRECIOPORm">#REF!</definedName>
    <definedName name="TCR_D_60_I_NOMBRE">#REF!</definedName>
    <definedName name="TCR_D_60_I_PRECIOPORm">#REF!</definedName>
    <definedName name="TCR_D_60_II_NOMBRE">#REF!</definedName>
    <definedName name="TCR_D_60_II_PRECIOPORm">#REF!</definedName>
    <definedName name="TCR_D_60_III_NOMBRE">#REF!</definedName>
    <definedName name="TCR_D_60_III_PRECIOPORm">#REF!</definedName>
    <definedName name="TCR_D_60_IV_NOMBRE">#REF!</definedName>
    <definedName name="TCR_D_60_IV_PRECIOPORm">#REF!</definedName>
    <definedName name="TCR_D_64_I_NOMBRE">#REF!</definedName>
    <definedName name="TCR_D_64_I_PRECIOPORm">#REF!</definedName>
    <definedName name="TCR_D_64_II_NOMBRE">#REF!</definedName>
    <definedName name="TCR_D_64_II_PRECIOPORm">#REF!</definedName>
    <definedName name="TCR_D_64_III_NOMBRE">#REF!</definedName>
    <definedName name="TCR_D_64_III_PRECIOPORm">#REF!</definedName>
    <definedName name="TCR_D_64_IV_NOMBRE">#REF!</definedName>
    <definedName name="TCR_D_64_IV_PRECIOPORm">#REF!</definedName>
    <definedName name="TCR_D_72_I_NOMBRE">#REF!</definedName>
    <definedName name="TCR_D_72_I_PRECIOPORm">#REF!</definedName>
    <definedName name="TCR_D_72_II_NOMBRE">#REF!</definedName>
    <definedName name="TCR_D_72_II_PRECIOPORm">#REF!</definedName>
    <definedName name="TCR_D_72_III_NOMBRE">#REF!</definedName>
    <definedName name="TCR_D_72_III_PRECIOPORm">#REF!</definedName>
    <definedName name="TCR_D_72_IV_NOMBRE">#REF!</definedName>
    <definedName name="TCR_D_72_IV_PRECIOPORm">#REF!</definedName>
    <definedName name="TCR_D_80_I_NOMBRE">#REF!</definedName>
    <definedName name="TCR_D_80_I_PRECIOPORm">#REF!</definedName>
    <definedName name="TCR_D_80_II_NOMBRE">#REF!</definedName>
    <definedName name="TCR_D_80_II_PRECIOPORm">#REF!</definedName>
    <definedName name="TCR_D_80_III_NOMBRE">#REF!</definedName>
    <definedName name="TCR_D_80_III_PRECIOPORm">#REF!</definedName>
    <definedName name="TCR_D_80_IV_NOMBRE">#REF!</definedName>
    <definedName name="TCR_D_80_IV_PRECIOPORm">#REF!</definedName>
    <definedName name="TCS_D_10_CS_II_NOMBRE">#REF!</definedName>
    <definedName name="TCS_D_10_CS_II_PRECIOPOm">#REF!</definedName>
    <definedName name="TCS_D_12_CS_I_NOMBRE">#REF!</definedName>
    <definedName name="TCS_D_12_CS_I_PRECIOPORm">#REF!</definedName>
    <definedName name="TCS_D_12_CS_II_NOMBRE">#REF!</definedName>
    <definedName name="TCS_D_12_CS_II_PRECIOPORm">#REF!</definedName>
    <definedName name="TCS_D_14_CS_I_NOMBRE">#REF!</definedName>
    <definedName name="TCS_D_14_CS_I_PRECIOPORm">#REF!</definedName>
    <definedName name="TCS_D_14_CS_II_NOMBRE">#REF!</definedName>
    <definedName name="TCS_D_14_CS_II_PRECIOPORm">#REF!</definedName>
    <definedName name="TCS_D_16_CS_I_NOMBRE">#REF!</definedName>
    <definedName name="TCS_D_16_CS_I_PRECIOPORm">#REF!</definedName>
    <definedName name="TCS_D_16_CS_II_NOMBRE">#REF!</definedName>
    <definedName name="TCS_D_16_CS_II_PRECIOPORm">#REF!</definedName>
    <definedName name="TCS_D_18_CS_I_NOMBRE">#REF!</definedName>
    <definedName name="TCS_D_18_CS_I_PRECIOPORm">#REF!</definedName>
    <definedName name="TCS_D_18_CS_II_NOMBRE">#REF!</definedName>
    <definedName name="TCS_D_18_CS_II_PRECIOPORm">#REF!</definedName>
    <definedName name="TCS_D_20_CS_I_NOMBRE">#REF!</definedName>
    <definedName name="TCS_D_20_CS_I_PRECIOPORm">#REF!</definedName>
    <definedName name="TCS_D_20_CS_II_NOMBRE">#REF!</definedName>
    <definedName name="TCS_D_20_CS_II_PRECIOPORm">#REF!</definedName>
    <definedName name="TCS_D_24_CS_I_NOMBRE">#REF!</definedName>
    <definedName name="TCS_D_24_CS_I_PRECIOPORm">#REF!</definedName>
    <definedName name="TCS_D_24_CS_II_NOMBRE">#REF!</definedName>
    <definedName name="TCS_D_24_CS_II_PRECIOPORm">#REF!</definedName>
    <definedName name="TCS_D_6_CS_I_NOMBRE">#REF!</definedName>
    <definedName name="TCS_D_6_CS_I_PRECIOPORm">#REF!</definedName>
    <definedName name="TCS_D_6_CS_II_NOMBRE">#REF!</definedName>
    <definedName name="TCS_D_6_CS_II_PRECIOPORm">#REF!</definedName>
    <definedName name="TCS_D_8_CS_I_NOMBRE">#REF!</definedName>
    <definedName name="TCS_D_8_CS_I_PRECIOPORm">#REF!</definedName>
    <definedName name="TCS_D_8_CS_II_NOMBRE">#REF!</definedName>
    <definedName name="TCS_D_8_CS_II_PRECIOPORm">#REF!</definedName>
    <definedName name="TCSD_10_CS_I_NOMBRE">#REF!</definedName>
    <definedName name="TCSD_10_CS_I_PRECIOPORm">#REF!</definedName>
    <definedName name="Teja_en_fibrocemento_NOMBRE">#REF!</definedName>
    <definedName name="Teja_en_fibrocemento_PRECIOPORUN">#REF!</definedName>
    <definedName name="Teléfono">#REF!</definedName>
    <definedName name="TENSO">#REF!</definedName>
    <definedName name="TERCERA">#REF!</definedName>
    <definedName name="TEST1">#REF!</definedName>
    <definedName name="TIT">#REF!</definedName>
    <definedName name="TITULO">#REF!</definedName>
    <definedName name="_xlnm.Print_Titles" localSheetId="0">INS!$1:$1</definedName>
    <definedName name="_xlnm.Print_Titles" localSheetId="3">M.C.!$2:$3</definedName>
    <definedName name="_xlnm.Print_Titles" localSheetId="2">PPTO!$1:$7</definedName>
    <definedName name="_xlnm.Print_Titles">#N/A</definedName>
    <definedName name="TOPOGRAFO">#REF!</definedName>
    <definedName name="topografocodMO12_">#REF!</definedName>
    <definedName name="Topografofactorprestacional">#REF!</definedName>
    <definedName name="topografosalariohora">#REF!</definedName>
    <definedName name="TOTAL">#REF!</definedName>
    <definedName name="TPTCON">#REF!</definedName>
    <definedName name="TPTUB">#REF!</definedName>
    <definedName name="TRAFO">#REF!</definedName>
    <definedName name="TRANS">#REF!</definedName>
    <definedName name="TRANSPORT">#REF!</definedName>
    <definedName name="transporte">#REF!</definedName>
    <definedName name="Transporte_materiales_normal">#REF!</definedName>
    <definedName name="Transporte_tuberíaNOMBRE">#REF!</definedName>
    <definedName name="transportematerialesprecioKg_km">#REF!</definedName>
    <definedName name="TRANSPORTES">#REF!</definedName>
    <definedName name="transportetuberiaKGhora">#REF!</definedName>
    <definedName name="TRAT">#REF!</definedName>
    <definedName name="Triturado_1_2_NOMBRE">#REF!</definedName>
    <definedName name="Triturado_1_2_PRECIOPORM3">#REF!</definedName>
    <definedName name="Triturado_3_4_NOMBRE">#REF!</definedName>
    <definedName name="Triturado_3_4_PRECIOPORm3">#REF!</definedName>
    <definedName name="TROCH">#REF!</definedName>
    <definedName name="TtlCD">#REF!</definedName>
    <definedName name="TUBCORRUGADA_D_100mm_Con_Filtro_NOMBRE">#REF!</definedName>
    <definedName name="TUBCORRUGADA_D_100mm_Con_Filtro_PRECIOPORm">#REF!</definedName>
    <definedName name="TUBCORRUGADA_D_100mm_Sin_Filtro_NOMBRE">#REF!</definedName>
    <definedName name="TUBCORRUGADA_D_100mm_Sin_Filtro_PRECIOPORm">#REF!</definedName>
    <definedName name="TUBCORRUGADA_D_160mm_Con_Filtro_NOMBRE">#REF!</definedName>
    <definedName name="TUBCORRUGADA_D_160mm_Con_Filtro_PRECIOPORm">#REF!</definedName>
    <definedName name="TUBCORRUGADA_D_160mm_Sin_Filtro_NOMBRE">#REF!</definedName>
    <definedName name="TUBCORRUGADA_D_160mm_Sin_Filtro_PRECIOPORm">#REF!</definedName>
    <definedName name="TUBCORRUGADA_D_200mm_Con_Filtro_NOMBRE">#REF!</definedName>
    <definedName name="TUBCORRUGADA_D_200mm_Con_Filtro_PRECIOPORm">#REF!</definedName>
    <definedName name="TUBCORRUGADA_D_200mm_Sin_Filtro_NOMBRE">#REF!</definedName>
    <definedName name="TUBCORRUGADA_D_200mm_Sin_Filtro_PRECIOPORm">#REF!</definedName>
    <definedName name="TUBCORRUGADA_D_65mm_Con_Filtro_NOMBRE">#REF!</definedName>
    <definedName name="TUBCORRUGADA_D_65mm_Con_Filtro_PRECIOPORm">#REF!</definedName>
    <definedName name="TUBCORRUGADA_D_65mm_Sin_Filtro_NOMBRE">#REF!</definedName>
    <definedName name="TUBCORRUGADA_D_65mm_Sin_Filtro_PRECIOPORm">#REF!</definedName>
    <definedName name="tubpvcalcant_D_110mm_Nv_4_NOMBRE">#REF!</definedName>
    <definedName name="tubpvcalcant_D_110mm_Nv_4_PRECIOPORm">#REF!</definedName>
    <definedName name="tubpvcalcant_D_160mm_Nv_6_NOMBRE">#REF!</definedName>
    <definedName name="tubpvcalcant_D_160mm_Nv_6_PRECIOPORm">#REF!</definedName>
    <definedName name="tubpvcalcant_D_200mm_Nv_8_NOMBRE">#REF!</definedName>
    <definedName name="tubpvcalcant_D_200mm_Nv_8_PRECIOPORm">#REF!</definedName>
    <definedName name="tubpvcalcant_D_250mm_Nv_10_NOMBRE">#REF!</definedName>
    <definedName name="tubpvcalcant_D_250mm_Nv_10_PRECIOPORm">#REF!</definedName>
    <definedName name="tubpvcalcant_D_315mm_Nv_12_NOMBRE">#REF!</definedName>
    <definedName name="tubpvcalcant_D_315mm_Nv_12_PRECIOPORm">#REF!</definedName>
    <definedName name="tubpvcalcant_D_355mm_Nv_14_NOMBRE">#REF!</definedName>
    <definedName name="tubpvcalcant_D_355mm_Nv_14_PRECIOPORm">#REF!</definedName>
    <definedName name="tubpvcalcant_D_400mm_Nv_16_NOMBRE">#REF!</definedName>
    <definedName name="tubpvcalcant_D_400mm_Nv_16_PRECIOPORm">#REF!</definedName>
    <definedName name="tubpvcalcant_D_500mm_Nv_20_NOMBRE">#REF!</definedName>
    <definedName name="tubpvcalcant_D_500mm_Nv_20_PRECIOPORm">#REF!</definedName>
    <definedName name="tubpvcalcant_D_600mm_Nv_24_NOMBRE">#REF!</definedName>
    <definedName name="tubpvcalcant_D_600mm_Nv_24_PRECIOPORm">#REF!</definedName>
    <definedName name="tubpvcalcant_D_700mm_Nv_27_NOMBRE">#REF!</definedName>
    <definedName name="tubpvcalcant_D_700mm_Nv_27_PRECIOPORm">#REF!</definedName>
    <definedName name="tubpvcalcant_D_800mm_Nv_30_NOMBRE">#REF!</definedName>
    <definedName name="tubpvcalcant_D_800mm_Nv_30_PRECIOPORm">#REF!</definedName>
    <definedName name="tubpvcalcant_D_900mm_Nv_33_NOMBRE">#REF!</definedName>
    <definedName name="tubpvcalcant_D_900mm_Nv_33_PRECIOPORm">#REF!</definedName>
    <definedName name="tubpvcsanitariaD_1_1_2NOMBRE">#REF!</definedName>
    <definedName name="tubpvcsanitariaD_1_1_2PRECIOPORm">#REF!</definedName>
    <definedName name="tubpvcsanitariaD_2_NOMBRE">#REF!</definedName>
    <definedName name="tubpvcsanitariaD_2_PRECIOPORm">#REF!</definedName>
    <definedName name="tubpvcsanitariaD_3_NOMBRE">#REF!</definedName>
    <definedName name="tubpvcsanitariaD_3_PRECIOPORm">#REF!</definedName>
    <definedName name="tubpvcsanitariaD_4_NOMBRE">#REF!</definedName>
    <definedName name="tubpvcsanitariaD_4_PRECIOPORm">#REF!</definedName>
    <definedName name="tubpvcsanitariaD_6_NOMBRE">#REF!</definedName>
    <definedName name="tubpvcsanitariaD_6_PRECIOPORm">#REF!</definedName>
    <definedName name="U">#REF!</definedName>
    <definedName name="uencat">#REF!</definedName>
    <definedName name="UNION">#REF!</definedName>
    <definedName name="UNO">#REF!</definedName>
    <definedName name="UNO_1">#REF!</definedName>
    <definedName name="UNO_2">#REF!</definedName>
    <definedName name="Utilidad">#REF!</definedName>
    <definedName name="V">#REF!</definedName>
    <definedName name="VALLA">#REF!</definedName>
    <definedName name="Valla_tipo_1_A_FINDETERNOMBRE">#REF!</definedName>
    <definedName name="Valla_tipo_1_B_FINDETERNOMBRE">#REF!</definedName>
    <definedName name="Valla_tipo_1_C_FINDETERNOMBRE">#REF!</definedName>
    <definedName name="Valla_tipo_1_CDMBNOMBRE">#REF!</definedName>
    <definedName name="Valla_tipo_1_Plan_IntegralNOMBRE">#REF!</definedName>
    <definedName name="Valla_tipo_2NOMBRE">#REF!</definedName>
    <definedName name="Valla_tipo_3NOMBRE">#REF!</definedName>
    <definedName name="Vallas_de_tránsitoNOMBRE">#REF!</definedName>
    <definedName name="Vallasdetransitopreioporunidad">#REF!</definedName>
    <definedName name="Vallatipo1afindeterprecioporunidad">#REF!</definedName>
    <definedName name="Vallatipo1Bprecioporunidad">#REF!</definedName>
    <definedName name="Vallatipo1CDMBpreciounidad">#REF!</definedName>
    <definedName name="Vallatipo1Cfindeterprecioporunidad">#REF!</definedName>
    <definedName name="Vallatipo1planintegralprecioporunidad">#REF!</definedName>
    <definedName name="Vallatipo2precioporunidad">#REF!</definedName>
    <definedName name="Vallatipo3precioporunidad">#REF!</definedName>
    <definedName name="valor1">#REF!</definedName>
    <definedName name="valor2">#REF!</definedName>
    <definedName name="VALOR3">#REF!</definedName>
    <definedName name="Valorepm1">#REF!,#REF!,#REF!</definedName>
    <definedName name="VI">#REF!</definedName>
    <definedName name="Vibrador_de_concretoNOMBRE">#REF!</definedName>
    <definedName name="vibradorconcretopreciohora">#REF!</definedName>
    <definedName name="Vibrocompactador_manual_ranaNOMBRE">#REF!</definedName>
    <definedName name="Vibrocompactador_RODILLOARRASTRENOMBRE">#REF!</definedName>
    <definedName name="vibrocompactadormanualranapreciohora">#REF!</definedName>
    <definedName name="vibrocompactadorrodillopreciohora">#REF!</definedName>
    <definedName name="visión">#REF!</definedName>
    <definedName name="visión_1">#REF!</definedName>
    <definedName name="visión_2">#REF!</definedName>
    <definedName name="Volqueta_3m3NOMBRE">#REF!</definedName>
    <definedName name="Volqueta_5.00_m3NOMBRE">#REF!</definedName>
    <definedName name="VOLQUETA3M3PRECIOVIAJE">#REF!</definedName>
    <definedName name="volqueta5m3preciohora">#REF!</definedName>
    <definedName name="VVV">#REF!</definedName>
    <definedName name="W">#REF!</definedName>
    <definedName name="WER">#REF!</definedName>
    <definedName name="WILSON">#REF!</definedName>
    <definedName name="wrn.actafabi.">#REF!</definedName>
    <definedName name="wrn.formu.">#REF!</definedName>
    <definedName name="wrn.GENERAL.">#REF!</definedName>
    <definedName name="wrn.via.">#REF!</definedName>
    <definedName name="WSERWEER">#REF!</definedName>
    <definedName name="wvu.TAB1.">#REF!</definedName>
    <definedName name="wvu.TAB2.">#REF!</definedName>
    <definedName name="wvu.TAB3.">#REF!</definedName>
    <definedName name="wvu.TAB4.">#REF!</definedName>
    <definedName name="wvu.TAB5.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x">#REF!</definedName>
    <definedName name="xxxxxx">#REF!</definedName>
    <definedName name="XXXXXXXX">#REF!</definedName>
    <definedName name="xxxxxxxxx">#REF!</definedName>
    <definedName name="XXXXXXXXXX">#REF!</definedName>
    <definedName name="XXXXXXXXXXXX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z">#REF!</definedName>
    <definedName name="Z_026CD6D7_F7CA_4BE8_B625_9A1778CFA739_.wvu.PrintArea">#REF!</definedName>
    <definedName name="Z_026CD6D7_F7CA_4BE8_B625_9A1778CFA739_.wvu.PrintTitles">#REF!</definedName>
    <definedName name="Z_05670E35_1347_49D9_AD91_AA9A31A4EF61_.wvu.PrintArea">#REF!</definedName>
    <definedName name="Z_05670E35_1347_49D9_AD91_AA9A31A4EF61_.wvu.PrintTitles">#REF!</definedName>
    <definedName name="Z_0890F28A_A8C8_451C_A3E6_C3AFDD239B64_.wvu.PrintArea">#REF!</definedName>
    <definedName name="Z_0890F28A_A8C8_451C_A3E6_C3AFDD239B64_.wvu.PrintTitles">#REF!</definedName>
    <definedName name="Z_0A4C2D72_EA87_11DA_B6F6_00609720E0A1_.wvu.PrintArea">#REF!</definedName>
    <definedName name="Z_0A4C2D72_EA87_11DA_B6F6_00609720E0A1_.wvu.PrintTitles">#REF!</definedName>
    <definedName name="Z_0A4C2D73_EA87_11DA_B6F6_00609720E0A1_.wvu.PrintArea">#REF!</definedName>
    <definedName name="Z_0A4C2D73_EA87_11DA_B6F6_00609720E0A1_.wvu.PrintTitles">#REF!</definedName>
    <definedName name="Z_0A4C2D74_EA87_11DA_B6F6_00609720E0A1_.wvu.PrintArea">#REF!</definedName>
    <definedName name="Z_0A4C2D74_EA87_11DA_B6F6_00609720E0A1_.wvu.PrintTitles">#REF!</definedName>
    <definedName name="Z_0A4C2D75_EA87_11DA_B6F6_00609720E0A1_.wvu.PrintArea">#REF!</definedName>
    <definedName name="Z_0A4C2D75_EA87_11DA_B6F6_00609720E0A1_.wvu.PrintTitles">#REF!</definedName>
    <definedName name="Z_0A4C2D76_EA87_11DA_B6F6_00609720E0A1_.wvu.PrintArea">#REF!</definedName>
    <definedName name="Z_0A4C2D76_EA87_11DA_B6F6_00609720E0A1_.wvu.PrintTitles">#REF!</definedName>
    <definedName name="Z_0E0DE1F8_394A_4093_8E74_B2A631A3A88C_.wvu.PrintArea">#REF!</definedName>
    <definedName name="Z_0E0DE1F8_394A_4093_8E74_B2A631A3A88C_.wvu.PrintTitles">#REF!</definedName>
    <definedName name="Z_18C710ED_70CF_48D0_92F5_038A88335068_.wvu.PrintArea">#REF!</definedName>
    <definedName name="Z_18C710ED_70CF_48D0_92F5_038A88335068_.wvu.PrintTitles">#REF!</definedName>
    <definedName name="Z_378D82E8_FE69_4712_AE73_9D578C4190DE_.wvu.PrintArea">#REF!</definedName>
    <definedName name="Z_378D82E8_FE69_4712_AE73_9D578C4190DE_.wvu.PrintTitles">#REF!</definedName>
    <definedName name="Z_381FCF61_DF95_4756_B103_A1118DFFDE02_.wvu.PrintArea">#REF!</definedName>
    <definedName name="Z_381FCF61_DF95_4756_B103_A1118DFFDE02_.wvu.PrintTitles">#REF!</definedName>
    <definedName name="Z_3B3C0CA1_2A9C_45FD_9823_50B200F6C0D1_.wvu.PrintArea">#REF!</definedName>
    <definedName name="Z_3B3C0CA1_2A9C_45FD_9823_50B200F6C0D1_.wvu.PrintTitles">#REF!</definedName>
    <definedName name="Z_3E9430E5_6A83_435B_9E47_1B8F7E18D67C_.wvu.PrintArea">#REF!</definedName>
    <definedName name="Z_3E9430E5_6A83_435B_9E47_1B8F7E18D67C_.wvu.PrintTitles">#REF!</definedName>
    <definedName name="Z_4A14CB5C_2287_4F6E_9A65_22F0A4D81D81_.wvu.PrintArea">#REF!</definedName>
    <definedName name="Z_4A14CB5C_2287_4F6E_9A65_22F0A4D81D81_.wvu.PrintTitles">#REF!</definedName>
    <definedName name="Z_4BBC24C4_A093_4EC9_8AFF_49C6F602CC39_.wvu.PrintArea">#REF!</definedName>
    <definedName name="Z_4BBC24C4_A093_4EC9_8AFF_49C6F602CC39_.wvu.PrintTitles">#REF!</definedName>
    <definedName name="Z_504A8F9D_2C46_439E_975A_DF1C1FA56E7B_.wvu.PrintArea">#REF!</definedName>
    <definedName name="Z_504A8F9D_2C46_439E_975A_DF1C1FA56E7B_.wvu.PrintTitles">#REF!</definedName>
    <definedName name="Z_653348E7_CDAD_4F62_A236_641A4BB6425A_.wvu.PrintArea">#REF!</definedName>
    <definedName name="Z_653348E7_CDAD_4F62_A236_641A4BB6425A_.wvu.PrintTitles">#REF!</definedName>
    <definedName name="Z_68C48519_C8C2_4287_96F6_0F561F815CE8_.wvu.PrintArea">#REF!</definedName>
    <definedName name="Z_68C48519_C8C2_4287_96F6_0F561F815CE8_.wvu.PrintTitles">#REF!</definedName>
    <definedName name="Z_6BA141F2_E104_11DA_B6F6_00609720E0A1_.wvu.PrintArea">#REF!</definedName>
    <definedName name="Z_6BA141F2_E104_11DA_B6F6_00609720E0A1_.wvu.PrintTitles">#REF!</definedName>
    <definedName name="Z_6BA141F3_E104_11DA_B6F6_00609720E0A1_.wvu.PrintArea">#REF!</definedName>
    <definedName name="Z_6BA141F3_E104_11DA_B6F6_00609720E0A1_.wvu.PrintTitles">#REF!</definedName>
    <definedName name="Z_6BA141F4_E104_11DA_B6F6_00609720E0A1_.wvu.PrintArea">#REF!</definedName>
    <definedName name="Z_6BA141F4_E104_11DA_B6F6_00609720E0A1_.wvu.PrintTitles">#REF!</definedName>
    <definedName name="Z_6BA141F5_E104_11DA_B6F6_00609720E0A1_.wvu.PrintArea">#REF!</definedName>
    <definedName name="Z_6BA141F5_E104_11DA_B6F6_00609720E0A1_.wvu.PrintTitles">#REF!</definedName>
    <definedName name="Z_6BA141F6_E104_11DA_B6F6_00609720E0A1_.wvu.PrintArea">#REF!</definedName>
    <definedName name="Z_6BA141F6_E104_11DA_B6F6_00609720E0A1_.wvu.PrintTitles">#REF!</definedName>
    <definedName name="Z_726673D2_C579_4EF3_83C7_45DC3792EA6A_.wvu.PrintArea">#REF!</definedName>
    <definedName name="Z_726673D2_C579_4EF3_83C7_45DC3792EA6A_.wvu.PrintTitles">#REF!</definedName>
    <definedName name="Z_729969D8_DFDA_47B9_ADA2_E05CF62B3DEF_.wvu.PrintArea">#REF!</definedName>
    <definedName name="Z_729969D8_DFDA_47B9_ADA2_E05CF62B3DEF_.wvu.PrintTitles">#REF!</definedName>
    <definedName name="Z_75EDDC88_CA8C_4671_911D_25D74F37EC47_.wvu.PrintArea">#REF!</definedName>
    <definedName name="Z_75EDDC88_CA8C_4671_911D_25D74F37EC47_.wvu.PrintTitles">#REF!</definedName>
    <definedName name="Z_80573755_2D8B_4158_BD3A_CC331B950748_.wvu.PrintArea">#REF!</definedName>
    <definedName name="Z_80573755_2D8B_4158_BD3A_CC331B950748_.wvu.PrintTitles">#REF!</definedName>
    <definedName name="Z_9C7B0D6D_4DDE_4C72_B23F_2E183F63ECB1_.wvu.PrintArea">#REF!</definedName>
    <definedName name="Z_9C7B0D6D_4DDE_4C72_B23F_2E183F63ECB1_.wvu.PrintTitles">#REF!</definedName>
    <definedName name="Z_9C8B6436_249F_426A_96DC_EEE5E7CB7D1B_.wvu.PrintArea">#REF!</definedName>
    <definedName name="Z_9C8B6436_249F_426A_96DC_EEE5E7CB7D1B_.wvu.PrintTitles">#REF!</definedName>
    <definedName name="Z_9FCFD0D5_270B_4F36_B422_02EF7A3700B8_.wvu.PrintArea">#REF!</definedName>
    <definedName name="Z_9FCFD0D5_270B_4F36_B422_02EF7A3700B8_.wvu.PrintTitles">#REF!</definedName>
    <definedName name="Z_9FE8FF3F_4486_44D6_9AFB_43CC5B824BF9_.wvu.PrintArea">#REF!</definedName>
    <definedName name="Z_9FE8FF3F_4486_44D6_9AFB_43CC5B824BF9_.wvu.PrintTitles">#REF!</definedName>
    <definedName name="Z_A3DE26BA_CF48_4654_9BE9_FAEB3C301C95_.wvu.PrintArea">#REF!</definedName>
    <definedName name="Z_A3DE26BA_CF48_4654_9BE9_FAEB3C301C95_.wvu.PrintTitles">#REF!</definedName>
    <definedName name="Z_AAA1DD33_F1E3_423A_B1F2_E8567F4D95A5_.wvu.PrintArea">#REF!</definedName>
    <definedName name="Z_AAA1DD33_F1E3_423A_B1F2_E8567F4D95A5_.wvu.PrintTitles">#REF!</definedName>
    <definedName name="Z_B4899972_EBDC_11DA_B6F6_00609720E0A1_.wvu.PrintArea">#REF!</definedName>
    <definedName name="Z_B4899972_EBDC_11DA_B6F6_00609720E0A1_.wvu.PrintTitles">#REF!</definedName>
    <definedName name="Z_B4899973_EBDC_11DA_B6F6_00609720E0A1_.wvu.PrintArea">#REF!</definedName>
    <definedName name="Z_B4899973_EBDC_11DA_B6F6_00609720E0A1_.wvu.PrintTitles">#REF!</definedName>
    <definedName name="Z_B4899974_EBDC_11DA_B6F6_00609720E0A1_.wvu.PrintArea">#REF!</definedName>
    <definedName name="Z_B4899974_EBDC_11DA_B6F6_00609720E0A1_.wvu.PrintTitles">#REF!</definedName>
    <definedName name="Z_B4899975_EBDC_11DA_B6F6_00609720E0A1_.wvu.PrintArea">#REF!</definedName>
    <definedName name="Z_B4899975_EBDC_11DA_B6F6_00609720E0A1_.wvu.PrintTitles">#REF!</definedName>
    <definedName name="Z_B4899976_EBDC_11DA_B6F6_00609720E0A1_.wvu.PrintArea">#REF!</definedName>
    <definedName name="Z_B4899976_EBDC_11DA_B6F6_00609720E0A1_.wvu.PrintTitles">#REF!</definedName>
    <definedName name="Z_C24E6469_C4CC_430B_8814_72DD019DF2C8_.wvu.PrintArea">#REF!</definedName>
    <definedName name="Z_C24E6469_C4CC_430B_8814_72DD019DF2C8_.wvu.PrintTitles">#REF!</definedName>
    <definedName name="Z_CA61CA57_E7CE_4A4D_974A_F3124BCA2797_.wvu.PrintArea">#REF!</definedName>
    <definedName name="Z_CA61CA57_E7CE_4A4D_974A_F3124BCA2797_.wvu.PrintTitles">#REF!</definedName>
    <definedName name="Z_DA4D5A8F_12FA_42F5_A8BB_526600E97433_.wvu.PrintArea">#REF!</definedName>
    <definedName name="Z_DA4D5A8F_12FA_42F5_A8BB_526600E97433_.wvu.PrintTitles">#REF!</definedName>
    <definedName name="Z_DFB4C5EB_A8D3_475E_B627_EA98F95F9220_.wvu.PrintArea">#REF!</definedName>
    <definedName name="Z_DFB4C5EB_A8D3_475E_B627_EA98F95F9220_.wvu.PrintTitles">#REF!</definedName>
    <definedName name="Z_F2B990A1_57B3_4766_8C3D_4D3A5265BAEF_.wvu.PrintArea">#REF!</definedName>
    <definedName name="Z_F2B990A1_57B3_4766_8C3D_4D3A5265BAEF_.wvu.PrintTitles">#REF!</definedName>
    <definedName name="Z_F9482E1F_92B8_43D8_949A_7DDCF2E63A19_.wvu.PrintArea">#REF!</definedName>
    <definedName name="Z_F9482E1F_92B8_43D8_949A_7DDCF2E63A19_.wvu.PrintTitles">#REF!</definedName>
    <definedName name="Zap1">#REF!</definedName>
    <definedName name="Zap2">#REF!</definedName>
    <definedName name="Zap3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15" l="1"/>
  <c r="B6" i="109"/>
  <c r="D17" i="47" l="1"/>
  <c r="D18" i="47" s="1"/>
  <c r="D16" i="47"/>
  <c r="D20" i="42"/>
  <c r="D22" i="40"/>
  <c r="D16" i="23"/>
  <c r="B3" i="115" l="1"/>
  <c r="B3" i="109" l="1"/>
  <c r="F17" i="1" l="1"/>
  <c r="G28" i="1"/>
  <c r="H51" i="111"/>
  <c r="I89" i="111"/>
  <c r="E85" i="111"/>
  <c r="E84" i="111"/>
  <c r="E83" i="111"/>
  <c r="F164" i="110"/>
  <c r="I92" i="111"/>
  <c r="I91" i="111"/>
  <c r="I90" i="111"/>
  <c r="E82" i="111"/>
  <c r="F417" i="110"/>
  <c r="A417" i="110"/>
  <c r="B417" i="110" s="1"/>
  <c r="C385" i="110"/>
  <c r="A372" i="110"/>
  <c r="B372" i="110" s="1"/>
  <c r="A359" i="110"/>
  <c r="B359" i="110" s="1"/>
  <c r="A342" i="110"/>
  <c r="B342" i="110" s="1"/>
  <c r="A346" i="110"/>
  <c r="B346" i="110" s="1"/>
  <c r="A329" i="110"/>
  <c r="B329" i="110" s="1"/>
  <c r="A316" i="110"/>
  <c r="B316" i="110" s="1"/>
  <c r="A300" i="110"/>
  <c r="B300" i="110" s="1"/>
  <c r="I287" i="110"/>
  <c r="A287" i="110"/>
  <c r="B287" i="110" s="1"/>
  <c r="A274" i="110"/>
  <c r="B274" i="110" s="1"/>
  <c r="A248" i="110"/>
  <c r="B248" i="110" s="1"/>
  <c r="I177" i="110"/>
  <c r="I203" i="110" s="1"/>
  <c r="I135" i="110"/>
  <c r="F29" i="110"/>
  <c r="F42" i="110"/>
  <c r="J42" i="110" s="1"/>
  <c r="B40" i="110"/>
  <c r="B41" i="110"/>
  <c r="B42" i="110"/>
  <c r="A40" i="110"/>
  <c r="A41" i="110"/>
  <c r="A42" i="110"/>
  <c r="E100" i="111"/>
  <c r="D100" i="111"/>
  <c r="G92" i="111"/>
  <c r="C372" i="110" s="1"/>
  <c r="J372" i="110" s="1"/>
  <c r="F92" i="111"/>
  <c r="G85" i="111"/>
  <c r="C329" i="110" s="1"/>
  <c r="J329" i="110" s="1"/>
  <c r="F85" i="111"/>
  <c r="G20" i="111"/>
  <c r="I20" i="111" s="1"/>
  <c r="D20" i="111"/>
  <c r="F20" i="111" s="1"/>
  <c r="I286" i="110"/>
  <c r="I299" i="110" s="1"/>
  <c r="J299" i="110" s="1"/>
  <c r="I285" i="110"/>
  <c r="I298" i="110" s="1"/>
  <c r="J298" i="110" s="1"/>
  <c r="I284" i="110"/>
  <c r="I297" i="110" s="1"/>
  <c r="J297" i="110" s="1"/>
  <c r="A15" i="109"/>
  <c r="J3" i="42"/>
  <c r="L2" i="67"/>
  <c r="D13" i="67"/>
  <c r="J2" i="67"/>
  <c r="K2" i="67" s="1"/>
  <c r="E17" i="63"/>
  <c r="C17" i="63"/>
  <c r="B17" i="63"/>
  <c r="E16" i="63"/>
  <c r="F16" i="63" s="1"/>
  <c r="C16" i="63"/>
  <c r="B16" i="63"/>
  <c r="E15" i="63"/>
  <c r="C15" i="63"/>
  <c r="B15" i="63"/>
  <c r="C14" i="63"/>
  <c r="B14" i="63"/>
  <c r="D17" i="56"/>
  <c r="C14" i="55"/>
  <c r="B14" i="55"/>
  <c r="C14" i="54"/>
  <c r="B14" i="54"/>
  <c r="E11" i="49"/>
  <c r="D12" i="48"/>
  <c r="E12" i="48"/>
  <c r="C12" i="48"/>
  <c r="B12" i="48"/>
  <c r="B13" i="48"/>
  <c r="C13" i="48"/>
  <c r="B5" i="52"/>
  <c r="A25" i="52" s="1"/>
  <c r="D11" i="45"/>
  <c r="E11" i="45"/>
  <c r="A17" i="38"/>
  <c r="B17" i="38" s="1"/>
  <c r="F119" i="1"/>
  <c r="G119" i="1" s="1"/>
  <c r="J1" i="38"/>
  <c r="J2" i="38" s="1"/>
  <c r="D22" i="38"/>
  <c r="H18" i="28"/>
  <c r="J5" i="20"/>
  <c r="D19" i="17"/>
  <c r="H25" i="17"/>
  <c r="I25" i="17" s="1"/>
  <c r="D12" i="15"/>
  <c r="D16" i="14"/>
  <c r="I4" i="14"/>
  <c r="I107" i="1"/>
  <c r="D24" i="14"/>
  <c r="D12" i="14"/>
  <c r="J16" i="18"/>
  <c r="E13" i="18"/>
  <c r="F13" i="18" s="1"/>
  <c r="C13" i="18"/>
  <c r="B13" i="18"/>
  <c r="G103" i="1"/>
  <c r="H220" i="110"/>
  <c r="C424" i="110"/>
  <c r="J424" i="110" s="1"/>
  <c r="F415" i="110"/>
  <c r="F416" i="110"/>
  <c r="J416" i="110" s="1"/>
  <c r="A415" i="110"/>
  <c r="B415" i="110" s="1"/>
  <c r="A416" i="110"/>
  <c r="B416" i="110" s="1"/>
  <c r="C398" i="110"/>
  <c r="J398" i="110" s="1"/>
  <c r="B59" i="110"/>
  <c r="B60" i="110"/>
  <c r="B53" i="110"/>
  <c r="B54" i="110"/>
  <c r="D15" i="111"/>
  <c r="F15" i="111" s="1"/>
  <c r="G50" i="110" s="1"/>
  <c r="J50" i="110" s="1"/>
  <c r="D16" i="111"/>
  <c r="D17" i="111"/>
  <c r="D18" i="111"/>
  <c r="F18" i="111" s="1"/>
  <c r="G53" i="110" s="1"/>
  <c r="J53" i="110" s="1"/>
  <c r="D19" i="111"/>
  <c r="F19" i="111" s="1"/>
  <c r="G54" i="110" s="1"/>
  <c r="J54" i="110" s="1"/>
  <c r="D14" i="111"/>
  <c r="F14" i="111" s="1"/>
  <c r="G49" i="110" s="1"/>
  <c r="J49" i="110" s="1"/>
  <c r="G18" i="111"/>
  <c r="I18" i="111" s="1"/>
  <c r="G59" i="110" s="1"/>
  <c r="J59" i="110" s="1"/>
  <c r="G19" i="111"/>
  <c r="I19" i="111" s="1"/>
  <c r="G60" i="110" s="1"/>
  <c r="J60" i="110" s="1"/>
  <c r="F40" i="110"/>
  <c r="J40" i="110" s="1"/>
  <c r="F41" i="110"/>
  <c r="J41" i="110" s="1"/>
  <c r="A53" i="110"/>
  <c r="A54" i="110"/>
  <c r="F27" i="110"/>
  <c r="F28" i="110"/>
  <c r="B27" i="110"/>
  <c r="B28" i="110"/>
  <c r="G177" i="110"/>
  <c r="J135" i="110"/>
  <c r="G27" i="111"/>
  <c r="H27" i="111" s="1"/>
  <c r="D16" i="122"/>
  <c r="D21" i="122" s="1"/>
  <c r="J224" i="111"/>
  <c r="J233" i="111"/>
  <c r="I235" i="111"/>
  <c r="I233" i="111"/>
  <c r="E21" i="122"/>
  <c r="C21" i="122"/>
  <c r="B21" i="122"/>
  <c r="E20" i="122"/>
  <c r="D20" i="122"/>
  <c r="C20" i="122"/>
  <c r="B20" i="122"/>
  <c r="C19" i="122"/>
  <c r="B19" i="122"/>
  <c r="C16" i="122"/>
  <c r="B16" i="122"/>
  <c r="E13" i="122"/>
  <c r="F13" i="122" s="1"/>
  <c r="C13" i="122"/>
  <c r="B13" i="122"/>
  <c r="E12" i="122"/>
  <c r="F12" i="122" s="1"/>
  <c r="C12" i="122"/>
  <c r="B12" i="122"/>
  <c r="C11" i="122"/>
  <c r="B11" i="122"/>
  <c r="B6" i="122"/>
  <c r="B5" i="122"/>
  <c r="A24" i="122" s="1"/>
  <c r="B3" i="122"/>
  <c r="D16" i="121"/>
  <c r="D21" i="121" s="1"/>
  <c r="D20" i="121"/>
  <c r="J223" i="111"/>
  <c r="I223" i="111"/>
  <c r="I225" i="111"/>
  <c r="E21" i="121"/>
  <c r="C21" i="121"/>
  <c r="B21" i="121"/>
  <c r="E20" i="121"/>
  <c r="C20" i="121"/>
  <c r="B20" i="121"/>
  <c r="C19" i="121"/>
  <c r="B19" i="121"/>
  <c r="C16" i="121"/>
  <c r="B16" i="121"/>
  <c r="E13" i="121"/>
  <c r="F13" i="121" s="1"/>
  <c r="C13" i="121"/>
  <c r="B13" i="121"/>
  <c r="E12" i="121"/>
  <c r="F12" i="121" s="1"/>
  <c r="C12" i="121"/>
  <c r="B12" i="121"/>
  <c r="C11" i="121"/>
  <c r="B11" i="121"/>
  <c r="B6" i="121"/>
  <c r="B5" i="121"/>
  <c r="A24" i="121" s="1"/>
  <c r="B3" i="121"/>
  <c r="I166" i="111"/>
  <c r="K166" i="111" s="1"/>
  <c r="L166" i="111" s="1"/>
  <c r="I165" i="111"/>
  <c r="K165" i="111" s="1"/>
  <c r="L165" i="111" s="1"/>
  <c r="D11" i="120"/>
  <c r="F11" i="120" s="1"/>
  <c r="B5" i="120"/>
  <c r="A24" i="120" s="1"/>
  <c r="D21" i="120"/>
  <c r="F21" i="120" s="1"/>
  <c r="F17" i="120"/>
  <c r="F18" i="120" s="1"/>
  <c r="F14" i="120"/>
  <c r="F12" i="120"/>
  <c r="B3" i="120"/>
  <c r="D18" i="77"/>
  <c r="D15" i="77"/>
  <c r="C11" i="77"/>
  <c r="B11" i="77"/>
  <c r="E14" i="77"/>
  <c r="F14" i="77" s="1"/>
  <c r="C14" i="77"/>
  <c r="B14" i="77"/>
  <c r="D17" i="88"/>
  <c r="D21" i="88" s="1"/>
  <c r="E21" i="76"/>
  <c r="D17" i="76"/>
  <c r="D21" i="76" s="1"/>
  <c r="C21" i="76"/>
  <c r="B21" i="76"/>
  <c r="D29" i="76"/>
  <c r="E30" i="76"/>
  <c r="F98" i="1"/>
  <c r="F20" i="122"/>
  <c r="B5" i="118"/>
  <c r="A14" i="118" s="1"/>
  <c r="B11" i="109"/>
  <c r="G189" i="1"/>
  <c r="E11" i="118"/>
  <c r="F11" i="118" s="1"/>
  <c r="F12" i="118" s="1"/>
  <c r="H12" i="118" s="1"/>
  <c r="F14" i="118" s="1"/>
  <c r="F6" i="118" s="1"/>
  <c r="C11" i="118"/>
  <c r="B11" i="118"/>
  <c r="B6" i="118"/>
  <c r="B3" i="118"/>
  <c r="D12" i="86"/>
  <c r="E21" i="86"/>
  <c r="D21" i="86"/>
  <c r="C21" i="86"/>
  <c r="B21" i="86"/>
  <c r="E20" i="86"/>
  <c r="F20" i="86" s="1"/>
  <c r="C20" i="86"/>
  <c r="B20" i="86"/>
  <c r="C19" i="86"/>
  <c r="B19" i="86"/>
  <c r="C16" i="86"/>
  <c r="B16" i="86"/>
  <c r="E13" i="86"/>
  <c r="F13" i="86" s="1"/>
  <c r="C13" i="86"/>
  <c r="B13" i="86"/>
  <c r="E12" i="86"/>
  <c r="C12" i="86"/>
  <c r="B12" i="86"/>
  <c r="C11" i="86"/>
  <c r="B11" i="86"/>
  <c r="B6" i="86"/>
  <c r="B5" i="86"/>
  <c r="A24" i="86" s="1"/>
  <c r="B3" i="86"/>
  <c r="D21" i="85"/>
  <c r="D20" i="85"/>
  <c r="D12" i="85"/>
  <c r="E21" i="85"/>
  <c r="C21" i="85"/>
  <c r="B21" i="85"/>
  <c r="E20" i="85"/>
  <c r="C20" i="85"/>
  <c r="B20" i="85"/>
  <c r="C19" i="85"/>
  <c r="B19" i="85"/>
  <c r="C16" i="85"/>
  <c r="B16" i="85"/>
  <c r="E13" i="85"/>
  <c r="F13" i="85" s="1"/>
  <c r="C13" i="85"/>
  <c r="B13" i="85"/>
  <c r="E12" i="85"/>
  <c r="C12" i="85"/>
  <c r="B12" i="85"/>
  <c r="C11" i="85"/>
  <c r="B11" i="85"/>
  <c r="B6" i="85"/>
  <c r="B5" i="85"/>
  <c r="A24" i="85" s="1"/>
  <c r="B3" i="85"/>
  <c r="D12" i="84"/>
  <c r="D21" i="84"/>
  <c r="P13" i="84"/>
  <c r="O13" i="84"/>
  <c r="N13" i="84"/>
  <c r="D20" i="82"/>
  <c r="D21" i="82"/>
  <c r="D12" i="82"/>
  <c r="E13" i="82"/>
  <c r="F13" i="82" s="1"/>
  <c r="C13" i="82"/>
  <c r="B13" i="82"/>
  <c r="E12" i="82"/>
  <c r="F12" i="82" s="1"/>
  <c r="C12" i="82"/>
  <c r="B12" i="82"/>
  <c r="D20" i="81"/>
  <c r="E13" i="81"/>
  <c r="F13" i="81" s="1"/>
  <c r="C13" i="81"/>
  <c r="B13" i="81"/>
  <c r="E12" i="81"/>
  <c r="F12" i="81" s="1"/>
  <c r="C12" i="81"/>
  <c r="B12" i="81"/>
  <c r="D20" i="72"/>
  <c r="C31" i="72"/>
  <c r="H30" i="72"/>
  <c r="E30" i="72"/>
  <c r="D21" i="69"/>
  <c r="D11" i="69"/>
  <c r="F11" i="69" s="1"/>
  <c r="B5" i="69"/>
  <c r="A24" i="69" s="1"/>
  <c r="E11" i="53"/>
  <c r="F11" i="53" s="1"/>
  <c r="F12" i="53" s="1"/>
  <c r="H12" i="53" s="1"/>
  <c r="A370" i="110"/>
  <c r="B370" i="110" s="1"/>
  <c r="A371" i="110"/>
  <c r="B371" i="110" s="1"/>
  <c r="A369" i="110"/>
  <c r="B369" i="110"/>
  <c r="A357" i="110"/>
  <c r="B357" i="110" s="1"/>
  <c r="A358" i="110"/>
  <c r="B358" i="110" s="1"/>
  <c r="A356" i="110"/>
  <c r="B356" i="110"/>
  <c r="A344" i="110"/>
  <c r="B344" i="110" s="1"/>
  <c r="A345" i="110"/>
  <c r="B345" i="110" s="1"/>
  <c r="A343" i="110"/>
  <c r="B343" i="110"/>
  <c r="A246" i="110"/>
  <c r="B246" i="110" s="1"/>
  <c r="A247" i="110"/>
  <c r="B247" i="110" s="1"/>
  <c r="A245" i="110"/>
  <c r="B245" i="110"/>
  <c r="E98" i="111"/>
  <c r="L98" i="111" s="1"/>
  <c r="E99" i="111"/>
  <c r="H99" i="111" s="1"/>
  <c r="E97" i="111"/>
  <c r="D98" i="111"/>
  <c r="D99" i="111"/>
  <c r="D97" i="111"/>
  <c r="C98" i="111"/>
  <c r="A272" i="110" s="1"/>
  <c r="B272" i="110" s="1"/>
  <c r="C99" i="111"/>
  <c r="A273" i="110" s="1"/>
  <c r="B273" i="110" s="1"/>
  <c r="C97" i="111"/>
  <c r="A271" i="110" s="1"/>
  <c r="B271" i="110" s="1"/>
  <c r="A297" i="110"/>
  <c r="B297" i="110" s="1"/>
  <c r="G91" i="111"/>
  <c r="F91" i="111"/>
  <c r="G90" i="111"/>
  <c r="C370" i="110" s="1"/>
  <c r="J370" i="110" s="1"/>
  <c r="F90" i="111"/>
  <c r="C357" i="110" s="1"/>
  <c r="J357" i="110" s="1"/>
  <c r="G89" i="111"/>
  <c r="C369" i="110" s="1"/>
  <c r="J369" i="110" s="1"/>
  <c r="F89" i="111"/>
  <c r="A340" i="110"/>
  <c r="B340" i="110" s="1"/>
  <c r="A341" i="110"/>
  <c r="B341" i="110" s="1"/>
  <c r="A339" i="110"/>
  <c r="B339" i="110" s="1"/>
  <c r="A327" i="110"/>
  <c r="B327" i="110" s="1"/>
  <c r="A328" i="110"/>
  <c r="B328" i="110" s="1"/>
  <c r="A326" i="110"/>
  <c r="B326" i="110"/>
  <c r="A314" i="110"/>
  <c r="B314" i="110" s="1"/>
  <c r="A315" i="110"/>
  <c r="B315" i="110" s="1"/>
  <c r="A313" i="110"/>
  <c r="B313" i="110" s="1"/>
  <c r="F23" i="110"/>
  <c r="G83" i="111"/>
  <c r="C327" i="110" s="1"/>
  <c r="J327" i="110" s="1"/>
  <c r="G84" i="111"/>
  <c r="C328" i="110" s="1"/>
  <c r="J328" i="110" s="1"/>
  <c r="G82" i="111"/>
  <c r="C326" i="110" s="1"/>
  <c r="J326" i="110" s="1"/>
  <c r="F82" i="111"/>
  <c r="C313" i="110" s="1"/>
  <c r="J313" i="110" s="1"/>
  <c r="F83" i="111"/>
  <c r="C314" i="110" s="1"/>
  <c r="J314" i="110" s="1"/>
  <c r="F84" i="111"/>
  <c r="C315" i="110" s="1"/>
  <c r="J315" i="110" s="1"/>
  <c r="I167" i="111"/>
  <c r="F164" i="111"/>
  <c r="I164" i="111" s="1"/>
  <c r="K164" i="111" s="1"/>
  <c r="L164" i="111" s="1"/>
  <c r="I159" i="111"/>
  <c r="J158" i="111"/>
  <c r="J157" i="111"/>
  <c r="F157" i="111"/>
  <c r="I157" i="111" s="1"/>
  <c r="I152" i="111"/>
  <c r="J151" i="111"/>
  <c r="J150" i="111"/>
  <c r="F150" i="111"/>
  <c r="I150" i="111" s="1"/>
  <c r="B93" i="110"/>
  <c r="B92" i="110"/>
  <c r="C26" i="111"/>
  <c r="C32" i="111"/>
  <c r="C37" i="111"/>
  <c r="C38" i="111" s="1"/>
  <c r="A93" i="110" s="1"/>
  <c r="F32" i="111"/>
  <c r="F33" i="111" s="1"/>
  <c r="E38" i="111" s="1"/>
  <c r="G93" i="110" s="1"/>
  <c r="J93" i="110" s="1"/>
  <c r="G26" i="111"/>
  <c r="H26" i="111"/>
  <c r="G25" i="111"/>
  <c r="H25" i="111" s="1"/>
  <c r="A61" i="110"/>
  <c r="E20" i="117"/>
  <c r="F20" i="117" s="1"/>
  <c r="C20" i="117"/>
  <c r="B20" i="117"/>
  <c r="E19" i="117"/>
  <c r="C19" i="117"/>
  <c r="B19" i="117"/>
  <c r="C18" i="117"/>
  <c r="B18" i="117"/>
  <c r="C15" i="117"/>
  <c r="B15" i="117"/>
  <c r="E12" i="117"/>
  <c r="F12" i="117" s="1"/>
  <c r="E11" i="117" s="1"/>
  <c r="F11" i="117" s="1"/>
  <c r="F13" i="117" s="1"/>
  <c r="H13" i="117" s="1"/>
  <c r="C12" i="117"/>
  <c r="B12" i="117"/>
  <c r="C11" i="117"/>
  <c r="B11" i="117"/>
  <c r="E20" i="116"/>
  <c r="F20" i="116" s="1"/>
  <c r="C20" i="116"/>
  <c r="B20" i="116"/>
  <c r="E19" i="116"/>
  <c r="C19" i="116"/>
  <c r="B19" i="116"/>
  <c r="C18" i="116"/>
  <c r="B18" i="116"/>
  <c r="B15" i="116"/>
  <c r="E12" i="116"/>
  <c r="F12" i="116" s="1"/>
  <c r="E11" i="116" s="1"/>
  <c r="F11" i="116" s="1"/>
  <c r="F13" i="116" s="1"/>
  <c r="H13" i="116" s="1"/>
  <c r="C12" i="116"/>
  <c r="B12" i="116"/>
  <c r="C11" i="116"/>
  <c r="B11" i="116"/>
  <c r="B6" i="117"/>
  <c r="B5" i="117"/>
  <c r="A23" i="117" s="1"/>
  <c r="B6" i="116"/>
  <c r="B5" i="116"/>
  <c r="A23" i="116" s="1"/>
  <c r="D19" i="117"/>
  <c r="D15" i="117"/>
  <c r="D19" i="116"/>
  <c r="D15" i="116"/>
  <c r="F15" i="116" s="1"/>
  <c r="F16" i="116" s="1"/>
  <c r="E18" i="116" s="1"/>
  <c r="F18" i="116" s="1"/>
  <c r="D23" i="32"/>
  <c r="D20" i="32"/>
  <c r="D19" i="32"/>
  <c r="D15" i="32"/>
  <c r="E19" i="32"/>
  <c r="C19" i="32"/>
  <c r="B19" i="32"/>
  <c r="E23" i="32"/>
  <c r="B23" i="32"/>
  <c r="C23" i="32"/>
  <c r="D21" i="73"/>
  <c r="E12" i="73"/>
  <c r="F12" i="73" s="1"/>
  <c r="C12" i="73"/>
  <c r="B12" i="73"/>
  <c r="D21" i="72"/>
  <c r="E12" i="72"/>
  <c r="F12" i="72" s="1"/>
  <c r="C12" i="72"/>
  <c r="B12" i="72"/>
  <c r="C356" i="110"/>
  <c r="J356" i="110" s="1"/>
  <c r="C358" i="110"/>
  <c r="J358" i="110" s="1"/>
  <c r="A92" i="110"/>
  <c r="F76" i="111"/>
  <c r="F77" i="111"/>
  <c r="F75" i="111"/>
  <c r="D76" i="111"/>
  <c r="E76" i="111" s="1"/>
  <c r="D77" i="111"/>
  <c r="E77" i="111" s="1"/>
  <c r="D75" i="111"/>
  <c r="E75" i="111" s="1"/>
  <c r="F411" i="110"/>
  <c r="J411" i="110" s="1"/>
  <c r="A412" i="110"/>
  <c r="B412" i="110" s="1"/>
  <c r="A413" i="110"/>
  <c r="B413" i="110" s="1"/>
  <c r="A414" i="110"/>
  <c r="B414" i="110" s="1"/>
  <c r="A411" i="110"/>
  <c r="B411" i="110" s="1"/>
  <c r="C131" i="111"/>
  <c r="F141" i="111" s="1"/>
  <c r="E64" i="111"/>
  <c r="F64" i="111" s="1"/>
  <c r="E63" i="111"/>
  <c r="F63" i="111" s="1"/>
  <c r="E62" i="111"/>
  <c r="F62" i="111" s="1"/>
  <c r="F68" i="111"/>
  <c r="G17" i="111"/>
  <c r="I17" i="111" s="1"/>
  <c r="G58" i="110" s="1"/>
  <c r="J58" i="110" s="1"/>
  <c r="E71" i="111"/>
  <c r="D71" i="111"/>
  <c r="F17" i="111"/>
  <c r="G52" i="110" s="1"/>
  <c r="J52" i="110" s="1"/>
  <c r="E69" i="111"/>
  <c r="E70" i="111"/>
  <c r="E68" i="111"/>
  <c r="D70" i="111"/>
  <c r="D135" i="111" s="1"/>
  <c r="D69" i="111"/>
  <c r="D134" i="111" s="1"/>
  <c r="D68" i="111"/>
  <c r="D133" i="111" s="1"/>
  <c r="E52" i="111"/>
  <c r="E53" i="111"/>
  <c r="G53" i="111" s="1"/>
  <c r="I53" i="111" s="1"/>
  <c r="J53" i="111" s="1"/>
  <c r="E51" i="111"/>
  <c r="G51" i="111" s="1"/>
  <c r="I51" i="111" s="1"/>
  <c r="A124" i="110"/>
  <c r="A125" i="110"/>
  <c r="A148" i="110"/>
  <c r="A122" i="110"/>
  <c r="A56" i="110"/>
  <c r="A57" i="110"/>
  <c r="A58" i="110"/>
  <c r="A55" i="110"/>
  <c r="A50" i="110"/>
  <c r="A51" i="110"/>
  <c r="A52" i="110"/>
  <c r="A49" i="110"/>
  <c r="A37" i="110"/>
  <c r="A38" i="110"/>
  <c r="A39" i="110"/>
  <c r="A36" i="110"/>
  <c r="C15" i="111"/>
  <c r="B50" i="110" s="1"/>
  <c r="C16" i="111"/>
  <c r="B57" i="110" s="1"/>
  <c r="C17" i="111"/>
  <c r="C54" i="111" s="1"/>
  <c r="G14" i="111"/>
  <c r="I14" i="111" s="1"/>
  <c r="G55" i="110" s="1"/>
  <c r="J55" i="110" s="1"/>
  <c r="F25" i="110"/>
  <c r="J25" i="110" s="1"/>
  <c r="B24" i="110"/>
  <c r="B25" i="110"/>
  <c r="B26" i="110"/>
  <c r="B23" i="110"/>
  <c r="C14" i="111"/>
  <c r="B55" i="110" s="1"/>
  <c r="I451" i="110"/>
  <c r="B451" i="110"/>
  <c r="J461" i="110"/>
  <c r="J460" i="110"/>
  <c r="J459" i="110"/>
  <c r="J458" i="110"/>
  <c r="J457" i="110"/>
  <c r="J456" i="110"/>
  <c r="J455" i="110"/>
  <c r="J454" i="110"/>
  <c r="J453" i="110"/>
  <c r="A29" i="115"/>
  <c r="C24" i="115"/>
  <c r="B24" i="115"/>
  <c r="E21" i="115"/>
  <c r="F21" i="115" s="1"/>
  <c r="C21" i="115"/>
  <c r="B21" i="115"/>
  <c r="E20" i="115"/>
  <c r="F20" i="115" s="1"/>
  <c r="C20" i="115"/>
  <c r="B20" i="115"/>
  <c r="C19" i="115"/>
  <c r="B19" i="115"/>
  <c r="E18" i="115"/>
  <c r="F18" i="115" s="1"/>
  <c r="C18" i="115"/>
  <c r="B18" i="115"/>
  <c r="E17" i="115"/>
  <c r="F17" i="115" s="1"/>
  <c r="C17" i="115"/>
  <c r="B17" i="115"/>
  <c r="E16" i="115"/>
  <c r="F16" i="115" s="1"/>
  <c r="C16" i="115"/>
  <c r="B16" i="115"/>
  <c r="E15" i="115"/>
  <c r="F15" i="115" s="1"/>
  <c r="C15" i="115"/>
  <c r="B15" i="115"/>
  <c r="E14" i="115"/>
  <c r="F14" i="115" s="1"/>
  <c r="C14" i="115"/>
  <c r="B14" i="115"/>
  <c r="E13" i="115"/>
  <c r="F13" i="115" s="1"/>
  <c r="C13" i="115"/>
  <c r="B13" i="115"/>
  <c r="E12" i="115"/>
  <c r="F12" i="115" s="1"/>
  <c r="C12" i="115"/>
  <c r="B12" i="115"/>
  <c r="E11" i="115"/>
  <c r="F11" i="115" s="1"/>
  <c r="C11" i="115"/>
  <c r="B11" i="115"/>
  <c r="G102" i="1"/>
  <c r="G101" i="1"/>
  <c r="G100" i="1"/>
  <c r="E16" i="57"/>
  <c r="F16" i="57" s="1"/>
  <c r="C16" i="57"/>
  <c r="B16" i="57"/>
  <c r="E15" i="57"/>
  <c r="F15" i="57" s="1"/>
  <c r="C15" i="57"/>
  <c r="B15" i="57"/>
  <c r="E14" i="57"/>
  <c r="F14" i="57" s="1"/>
  <c r="C14" i="57"/>
  <c r="B14" i="57"/>
  <c r="E13" i="57"/>
  <c r="F13" i="57" s="1"/>
  <c r="C13" i="57"/>
  <c r="B13" i="57"/>
  <c r="E12" i="57"/>
  <c r="F12" i="57" s="1"/>
  <c r="C12" i="57"/>
  <c r="B12" i="57"/>
  <c r="A123" i="110"/>
  <c r="B7" i="116"/>
  <c r="F414" i="110"/>
  <c r="F38" i="110"/>
  <c r="J38" i="110" s="1"/>
  <c r="F413" i="110"/>
  <c r="J413" i="110" s="1"/>
  <c r="B37" i="110"/>
  <c r="F39" i="110"/>
  <c r="J39" i="110" s="1"/>
  <c r="B52" i="110"/>
  <c r="G16" i="111"/>
  <c r="I16" i="111" s="1"/>
  <c r="G57" i="110" s="1"/>
  <c r="J57" i="110" s="1"/>
  <c r="F26" i="110"/>
  <c r="J26" i="110" s="1"/>
  <c r="B7" i="117"/>
  <c r="E30" i="71"/>
  <c r="F30" i="71" s="1"/>
  <c r="F31" i="71" s="1"/>
  <c r="H31" i="71" s="1"/>
  <c r="C30" i="71"/>
  <c r="B30" i="71"/>
  <c r="E21" i="30"/>
  <c r="F21" i="30" s="1"/>
  <c r="F22" i="30" s="1"/>
  <c r="H22" i="30" s="1"/>
  <c r="C21" i="30"/>
  <c r="B21" i="30"/>
  <c r="I54" i="111"/>
  <c r="J54" i="111" s="1"/>
  <c r="E11" i="109"/>
  <c r="F11" i="109" s="1"/>
  <c r="F12" i="109" s="1"/>
  <c r="C11" i="109"/>
  <c r="E20" i="23"/>
  <c r="E19" i="23"/>
  <c r="F19" i="23" s="1"/>
  <c r="C20" i="23"/>
  <c r="C19" i="23"/>
  <c r="B20" i="23"/>
  <c r="B19" i="23"/>
  <c r="E20" i="17"/>
  <c r="C20" i="17"/>
  <c r="B20" i="17"/>
  <c r="C19" i="17"/>
  <c r="B19" i="17"/>
  <c r="G190" i="1"/>
  <c r="G188" i="1"/>
  <c r="G187" i="1"/>
  <c r="G186" i="1"/>
  <c r="G185" i="1"/>
  <c r="G184" i="1"/>
  <c r="G183" i="1"/>
  <c r="G182" i="1"/>
  <c r="G181" i="1"/>
  <c r="F180" i="1"/>
  <c r="G180" i="1" s="1"/>
  <c r="G179" i="1"/>
  <c r="G178" i="1"/>
  <c r="G177" i="1"/>
  <c r="G176" i="1"/>
  <c r="G175" i="1"/>
  <c r="G174" i="1"/>
  <c r="G173" i="1"/>
  <c r="G172" i="1"/>
  <c r="G171" i="1"/>
  <c r="G170" i="1"/>
  <c r="F169" i="1"/>
  <c r="G169" i="1" s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O106" i="1"/>
  <c r="P106" i="1" s="1"/>
  <c r="F104" i="1" s="1"/>
  <c r="G99" i="1"/>
  <c r="G98" i="1"/>
  <c r="G97" i="1"/>
  <c r="G96" i="1"/>
  <c r="F95" i="1"/>
  <c r="G95" i="1" s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F5" i="1"/>
  <c r="G5" i="1" s="1"/>
  <c r="G4" i="1"/>
  <c r="G3" i="1"/>
  <c r="G2" i="1"/>
  <c r="F37" i="110"/>
  <c r="F412" i="110"/>
  <c r="J412" i="110" s="1"/>
  <c r="G15" i="111"/>
  <c r="I15" i="111" s="1"/>
  <c r="G56" i="110" s="1"/>
  <c r="J56" i="110" s="1"/>
  <c r="F24" i="110"/>
  <c r="J24" i="110" s="1"/>
  <c r="J139" i="111"/>
  <c r="J138" i="111"/>
  <c r="J137" i="111"/>
  <c r="G70" i="111"/>
  <c r="G69" i="111"/>
  <c r="G68" i="111"/>
  <c r="F70" i="111"/>
  <c r="F69" i="111"/>
  <c r="J212" i="111"/>
  <c r="F212" i="111"/>
  <c r="I212" i="111" s="1"/>
  <c r="K212" i="111" s="1"/>
  <c r="L212" i="111" s="1"/>
  <c r="J214" i="111"/>
  <c r="J213" i="111"/>
  <c r="J196" i="111"/>
  <c r="F196" i="111"/>
  <c r="I196" i="111" s="1"/>
  <c r="K196" i="111" s="1"/>
  <c r="L196" i="111" s="1"/>
  <c r="J198" i="111"/>
  <c r="J197" i="111"/>
  <c r="F195" i="111"/>
  <c r="I195" i="111" s="1"/>
  <c r="K195" i="111" s="1"/>
  <c r="L195" i="111" s="1"/>
  <c r="I215" i="111"/>
  <c r="E206" i="111"/>
  <c r="I216" i="111" s="1"/>
  <c r="I213" i="111"/>
  <c r="K213" i="111" s="1"/>
  <c r="L213" i="111" s="1"/>
  <c r="F211" i="111"/>
  <c r="I211" i="111" s="1"/>
  <c r="K211" i="111" s="1"/>
  <c r="L211" i="111" s="1"/>
  <c r="F210" i="111"/>
  <c r="I210" i="111" s="1"/>
  <c r="K210" i="111" s="1"/>
  <c r="L210" i="111" s="1"/>
  <c r="F209" i="111"/>
  <c r="I209" i="111" s="1"/>
  <c r="K209" i="111" s="1"/>
  <c r="L209" i="111" s="1"/>
  <c r="F208" i="111"/>
  <c r="I208" i="111" s="1"/>
  <c r="K208" i="111" s="1"/>
  <c r="L208" i="111" s="1"/>
  <c r="E190" i="111"/>
  <c r="I200" i="111" s="1"/>
  <c r="I199" i="111"/>
  <c r="I197" i="111"/>
  <c r="F194" i="111"/>
  <c r="I194" i="111" s="1"/>
  <c r="K194" i="111" s="1"/>
  <c r="L194" i="111" s="1"/>
  <c r="F193" i="111"/>
  <c r="I193" i="111" s="1"/>
  <c r="K193" i="111" s="1"/>
  <c r="L193" i="111" s="1"/>
  <c r="F192" i="111"/>
  <c r="I192" i="111" s="1"/>
  <c r="K192" i="111" s="1"/>
  <c r="L192" i="111" s="1"/>
  <c r="D46" i="111"/>
  <c r="D57" i="111"/>
  <c r="G52" i="111"/>
  <c r="I52" i="111" s="1"/>
  <c r="J52" i="111" s="1"/>
  <c r="F36" i="110"/>
  <c r="J36" i="110" s="1"/>
  <c r="F16" i="111"/>
  <c r="G51" i="110" s="1"/>
  <c r="J51" i="110" s="1"/>
  <c r="B3" i="15"/>
  <c r="B3" i="14"/>
  <c r="B3" i="3"/>
  <c r="B3" i="23"/>
  <c r="B3" i="22"/>
  <c r="B3" i="21"/>
  <c r="B3" i="20"/>
  <c r="B3" i="19"/>
  <c r="B3" i="18"/>
  <c r="B3" i="17"/>
  <c r="B3" i="16"/>
  <c r="B3" i="108"/>
  <c r="B3" i="107"/>
  <c r="B3" i="106"/>
  <c r="B3" i="105"/>
  <c r="B3" i="104"/>
  <c r="B3" i="103"/>
  <c r="B3" i="102"/>
  <c r="B3" i="100"/>
  <c r="B3" i="99"/>
  <c r="B3" i="98"/>
  <c r="B3" i="97"/>
  <c r="B3" i="96"/>
  <c r="B3" i="94"/>
  <c r="B3" i="93"/>
  <c r="B3" i="92"/>
  <c r="B3" i="91"/>
  <c r="B3" i="90"/>
  <c r="B3" i="88"/>
  <c r="B3" i="87"/>
  <c r="B3" i="84"/>
  <c r="B3" i="82"/>
  <c r="B3" i="81"/>
  <c r="B3" i="80"/>
  <c r="B3" i="78"/>
  <c r="B3" i="77"/>
  <c r="B3" i="76"/>
  <c r="B3" i="75"/>
  <c r="B3" i="74"/>
  <c r="B3" i="73"/>
  <c r="B3" i="72"/>
  <c r="B3" i="71"/>
  <c r="B3" i="70"/>
  <c r="B3" i="69"/>
  <c r="B3" i="68"/>
  <c r="B3" i="67"/>
  <c r="B3" i="66"/>
  <c r="B3" i="65"/>
  <c r="B3" i="114"/>
  <c r="B3" i="63"/>
  <c r="B3" i="62"/>
  <c r="B3" i="61"/>
  <c r="B3" i="60"/>
  <c r="B3" i="59"/>
  <c r="B3" i="58"/>
  <c r="B3" i="57"/>
  <c r="B3" i="56"/>
  <c r="B3" i="55"/>
  <c r="B3" i="54"/>
  <c r="B3" i="53"/>
  <c r="B3" i="52"/>
  <c r="B3" i="51"/>
  <c r="B3" i="50"/>
  <c r="B3" i="49"/>
  <c r="B3" i="48"/>
  <c r="B3" i="47"/>
  <c r="B3" i="46"/>
  <c r="B3" i="45"/>
  <c r="B3" i="112"/>
  <c r="B3" i="44"/>
  <c r="B3" i="43"/>
  <c r="B3" i="42"/>
  <c r="B3" i="41"/>
  <c r="B3" i="40"/>
  <c r="B3" i="39"/>
  <c r="B3" i="38"/>
  <c r="B3" i="37"/>
  <c r="B3" i="36"/>
  <c r="B3" i="35"/>
  <c r="B3" i="34"/>
  <c r="B3" i="33"/>
  <c r="B3" i="32"/>
  <c r="B3" i="31"/>
  <c r="B3" i="30"/>
  <c r="B3" i="29"/>
  <c r="B3" i="28"/>
  <c r="B3" i="27"/>
  <c r="B3" i="26"/>
  <c r="B3" i="25"/>
  <c r="B3" i="24"/>
  <c r="K10" i="21"/>
  <c r="B2" i="110"/>
  <c r="E16" i="114"/>
  <c r="F16" i="114" s="1"/>
  <c r="C16" i="114"/>
  <c r="B16" i="114"/>
  <c r="E15" i="114"/>
  <c r="F15" i="114" s="1"/>
  <c r="C15" i="114"/>
  <c r="B15" i="114"/>
  <c r="C14" i="114"/>
  <c r="B14" i="114"/>
  <c r="C11" i="114"/>
  <c r="B11" i="114"/>
  <c r="B6" i="114"/>
  <c r="B5" i="114"/>
  <c r="A19" i="114" s="1"/>
  <c r="D11" i="16"/>
  <c r="D15" i="16"/>
  <c r="B3" i="110"/>
  <c r="K11" i="17"/>
  <c r="I26" i="75"/>
  <c r="J26" i="75" s="1"/>
  <c r="F21" i="69"/>
  <c r="F17" i="69"/>
  <c r="F18" i="69" s="1"/>
  <c r="H18" i="69" s="1"/>
  <c r="F14" i="69"/>
  <c r="F12" i="69"/>
  <c r="C15" i="52"/>
  <c r="B15" i="52"/>
  <c r="D16" i="112"/>
  <c r="D20" i="43"/>
  <c r="E20" i="43"/>
  <c r="C20" i="43"/>
  <c r="B20" i="43"/>
  <c r="E21" i="40"/>
  <c r="C21" i="40"/>
  <c r="B21" i="40"/>
  <c r="E13" i="40"/>
  <c r="F13" i="40" s="1"/>
  <c r="C13" i="40"/>
  <c r="B13" i="40"/>
  <c r="E12" i="40"/>
  <c r="F12" i="40" s="1"/>
  <c r="C12" i="40"/>
  <c r="B12" i="40"/>
  <c r="D15" i="39"/>
  <c r="E25" i="38"/>
  <c r="C25" i="38"/>
  <c r="B25" i="38"/>
  <c r="E24" i="38"/>
  <c r="C24" i="38"/>
  <c r="B24" i="38"/>
  <c r="E23" i="38"/>
  <c r="C23" i="38"/>
  <c r="B23" i="38"/>
  <c r="E22" i="38"/>
  <c r="C22" i="38"/>
  <c r="B22" i="38"/>
  <c r="E15" i="23"/>
  <c r="F15" i="23" s="1"/>
  <c r="C15" i="23"/>
  <c r="B15" i="23"/>
  <c r="E15" i="17"/>
  <c r="C15" i="17"/>
  <c r="B15" i="17"/>
  <c r="D20" i="17"/>
  <c r="D20" i="23"/>
  <c r="E16" i="23"/>
  <c r="C16" i="23"/>
  <c r="B16" i="23"/>
  <c r="C14" i="23"/>
  <c r="B14" i="23"/>
  <c r="C11" i="23"/>
  <c r="B11" i="23"/>
  <c r="B6" i="23"/>
  <c r="B5" i="23"/>
  <c r="A23" i="23" s="1"/>
  <c r="E16" i="17"/>
  <c r="C16" i="17"/>
  <c r="B16" i="17"/>
  <c r="E15" i="20"/>
  <c r="F15" i="20" s="1"/>
  <c r="C15" i="20"/>
  <c r="B15" i="20"/>
  <c r="C12" i="15"/>
  <c r="B12" i="15"/>
  <c r="E17" i="47"/>
  <c r="F17" i="47" s="1"/>
  <c r="C17" i="47"/>
  <c r="B17" i="47"/>
  <c r="E16" i="47"/>
  <c r="F16" i="47" s="1"/>
  <c r="C16" i="47"/>
  <c r="B16" i="47"/>
  <c r="E23" i="55"/>
  <c r="F23" i="55" s="1"/>
  <c r="C23" i="55"/>
  <c r="B23" i="55"/>
  <c r="E22" i="55"/>
  <c r="F22" i="55" s="1"/>
  <c r="C22" i="55"/>
  <c r="B22" i="55"/>
  <c r="E21" i="55"/>
  <c r="F21" i="55" s="1"/>
  <c r="C21" i="55"/>
  <c r="B21" i="55"/>
  <c r="C20" i="55"/>
  <c r="B20" i="55"/>
  <c r="C17" i="55"/>
  <c r="B17" i="55"/>
  <c r="E13" i="55"/>
  <c r="F13" i="55" s="1"/>
  <c r="C13" i="55"/>
  <c r="B13" i="55"/>
  <c r="E12" i="55"/>
  <c r="F12" i="55" s="1"/>
  <c r="C12" i="55"/>
  <c r="B12" i="55"/>
  <c r="E11" i="55"/>
  <c r="F11" i="55" s="1"/>
  <c r="C11" i="55"/>
  <c r="B11" i="55"/>
  <c r="B6" i="55"/>
  <c r="B5" i="55"/>
  <c r="A26" i="55" s="1"/>
  <c r="E12" i="54"/>
  <c r="F12" i="54" s="1"/>
  <c r="C12" i="54"/>
  <c r="B12" i="54"/>
  <c r="E22" i="54"/>
  <c r="F22" i="54" s="1"/>
  <c r="C22" i="54"/>
  <c r="B22" i="54"/>
  <c r="B17" i="56"/>
  <c r="E17" i="56"/>
  <c r="C17" i="56"/>
  <c r="B11" i="57"/>
  <c r="C11" i="57"/>
  <c r="E11" i="57"/>
  <c r="F11" i="57" s="1"/>
  <c r="E16" i="56"/>
  <c r="C16" i="56"/>
  <c r="B16" i="56"/>
  <c r="E15" i="56"/>
  <c r="C15" i="56"/>
  <c r="B15" i="56"/>
  <c r="C14" i="56"/>
  <c r="B14" i="56"/>
  <c r="C11" i="56"/>
  <c r="B11" i="56"/>
  <c r="B6" i="56"/>
  <c r="B5" i="56"/>
  <c r="A20" i="56" s="1"/>
  <c r="E16" i="62"/>
  <c r="F16" i="62" s="1"/>
  <c r="C16" i="62"/>
  <c r="B16" i="62"/>
  <c r="D13" i="84"/>
  <c r="B5" i="84"/>
  <c r="A24" i="84" s="1"/>
  <c r="E21" i="84"/>
  <c r="F21" i="84" s="1"/>
  <c r="C21" i="84"/>
  <c r="B21" i="84"/>
  <c r="C20" i="84"/>
  <c r="B20" i="84"/>
  <c r="C17" i="84"/>
  <c r="B17" i="84"/>
  <c r="E14" i="84"/>
  <c r="C14" i="84"/>
  <c r="B14" i="84"/>
  <c r="E13" i="84"/>
  <c r="C13" i="84"/>
  <c r="B13" i="84"/>
  <c r="E12" i="84"/>
  <c r="F12" i="84" s="1"/>
  <c r="C12" i="84"/>
  <c r="B12" i="84"/>
  <c r="C11" i="84"/>
  <c r="B11" i="84"/>
  <c r="P8" i="84"/>
  <c r="P11" i="84" s="1"/>
  <c r="O8" i="84"/>
  <c r="N8" i="84"/>
  <c r="N11" i="84" s="1"/>
  <c r="B6" i="84"/>
  <c r="D12" i="75"/>
  <c r="D21" i="75"/>
  <c r="E14" i="75"/>
  <c r="D13" i="75"/>
  <c r="N13" i="75"/>
  <c r="O13" i="75"/>
  <c r="P13" i="75"/>
  <c r="D14" i="75" s="1"/>
  <c r="E11" i="18"/>
  <c r="F11" i="18" s="1"/>
  <c r="P8" i="75"/>
  <c r="P16" i="75" s="1"/>
  <c r="O8" i="75"/>
  <c r="O16" i="75" s="1"/>
  <c r="N8" i="75"/>
  <c r="N11" i="75" s="1"/>
  <c r="E12" i="75"/>
  <c r="C14" i="75"/>
  <c r="B14" i="75"/>
  <c r="E13" i="75"/>
  <c r="C13" i="75"/>
  <c r="B13" i="75"/>
  <c r="E12" i="52"/>
  <c r="F12" i="52" s="1"/>
  <c r="C12" i="52"/>
  <c r="B12" i="52"/>
  <c r="F13" i="52"/>
  <c r="C13" i="52"/>
  <c r="B13" i="52"/>
  <c r="E14" i="52"/>
  <c r="F14" i="52" s="1"/>
  <c r="C14" i="52"/>
  <c r="B14" i="52"/>
  <c r="J386" i="110"/>
  <c r="J448" i="110"/>
  <c r="J447" i="110"/>
  <c r="J446" i="110"/>
  <c r="J445" i="110"/>
  <c r="J444" i="110"/>
  <c r="J443" i="110"/>
  <c r="J442" i="110"/>
  <c r="J441" i="110"/>
  <c r="J440" i="110"/>
  <c r="J432" i="110"/>
  <c r="J431" i="110"/>
  <c r="J430" i="110"/>
  <c r="J429" i="110"/>
  <c r="J428" i="110"/>
  <c r="J427" i="110"/>
  <c r="J426" i="110"/>
  <c r="J425" i="110"/>
  <c r="J419" i="110"/>
  <c r="J418" i="110"/>
  <c r="J417" i="110"/>
  <c r="J415" i="110"/>
  <c r="J414" i="110"/>
  <c r="J406" i="110"/>
  <c r="J405" i="110"/>
  <c r="J404" i="110"/>
  <c r="J403" i="110"/>
  <c r="J402" i="110"/>
  <c r="J401" i="110"/>
  <c r="J393" i="110"/>
  <c r="J392" i="110"/>
  <c r="J391" i="110"/>
  <c r="J390" i="110"/>
  <c r="J389" i="110"/>
  <c r="J388" i="110"/>
  <c r="J387" i="110"/>
  <c r="J377" i="110"/>
  <c r="J376" i="110"/>
  <c r="J375" i="110"/>
  <c r="J374" i="110"/>
  <c r="J373" i="110"/>
  <c r="J364" i="110"/>
  <c r="J363" i="110"/>
  <c r="J362" i="110"/>
  <c r="J361" i="110"/>
  <c r="J360" i="110"/>
  <c r="J348" i="110"/>
  <c r="J347" i="110"/>
  <c r="J334" i="110"/>
  <c r="J333" i="110"/>
  <c r="J332" i="110"/>
  <c r="J331" i="110"/>
  <c r="J330" i="110"/>
  <c r="J321" i="110"/>
  <c r="J320" i="110"/>
  <c r="J319" i="110"/>
  <c r="J318" i="110"/>
  <c r="J317" i="110"/>
  <c r="J399" i="110"/>
  <c r="J400" i="110"/>
  <c r="J227" i="110"/>
  <c r="J226" i="110"/>
  <c r="J225" i="110"/>
  <c r="J224" i="110"/>
  <c r="J223" i="110"/>
  <c r="J305" i="110"/>
  <c r="J304" i="110"/>
  <c r="J303" i="110"/>
  <c r="J302" i="110"/>
  <c r="J301" i="110"/>
  <c r="J300" i="110"/>
  <c r="J292" i="110"/>
  <c r="J291" i="110"/>
  <c r="J290" i="110"/>
  <c r="J289" i="110"/>
  <c r="J288" i="110"/>
  <c r="J287" i="110"/>
  <c r="J286" i="110"/>
  <c r="J285" i="110"/>
  <c r="J279" i="110"/>
  <c r="J278" i="110"/>
  <c r="J277" i="110"/>
  <c r="J276" i="110"/>
  <c r="J275" i="110"/>
  <c r="J274" i="110"/>
  <c r="J273" i="110"/>
  <c r="J272" i="110"/>
  <c r="J266" i="110"/>
  <c r="J265" i="110"/>
  <c r="J264" i="110"/>
  <c r="J263" i="110"/>
  <c r="J262" i="110"/>
  <c r="J261" i="110"/>
  <c r="J260" i="110"/>
  <c r="J259" i="110"/>
  <c r="J253" i="110"/>
  <c r="J252" i="110"/>
  <c r="J251" i="110"/>
  <c r="J250" i="110"/>
  <c r="J249" i="110"/>
  <c r="J248" i="110"/>
  <c r="J247" i="110"/>
  <c r="J246" i="110"/>
  <c r="J240" i="110"/>
  <c r="J239" i="110"/>
  <c r="J238" i="110"/>
  <c r="J237" i="110"/>
  <c r="J236" i="110"/>
  <c r="J235" i="110"/>
  <c r="J234" i="110"/>
  <c r="J233" i="110"/>
  <c r="V183" i="111"/>
  <c r="T183" i="111"/>
  <c r="R183" i="111"/>
  <c r="AA183" i="111" s="1"/>
  <c r="V182" i="111"/>
  <c r="T182" i="111"/>
  <c r="R182" i="111"/>
  <c r="AA182" i="111" s="1"/>
  <c r="AJ182" i="111"/>
  <c r="V181" i="111"/>
  <c r="T181" i="111"/>
  <c r="R181" i="111"/>
  <c r="AA181" i="111" s="1"/>
  <c r="V180" i="111"/>
  <c r="T180" i="111"/>
  <c r="R180" i="111"/>
  <c r="AA180" i="111" s="1"/>
  <c r="V179" i="111"/>
  <c r="T179" i="111"/>
  <c r="R179" i="111"/>
  <c r="AA179" i="111" s="1"/>
  <c r="V178" i="111"/>
  <c r="T178" i="111"/>
  <c r="R178" i="111"/>
  <c r="Z178" i="111" s="1"/>
  <c r="AB178" i="111" s="1"/>
  <c r="V177" i="111"/>
  <c r="T177" i="111"/>
  <c r="R177" i="111"/>
  <c r="Z177" i="111" s="1"/>
  <c r="AB177" i="111" s="1"/>
  <c r="AJ176" i="111"/>
  <c r="V176" i="111"/>
  <c r="T176" i="111"/>
  <c r="R176" i="111"/>
  <c r="Z176" i="111" s="1"/>
  <c r="AB176" i="111" s="1"/>
  <c r="V175" i="111"/>
  <c r="T175" i="111"/>
  <c r="R175" i="111"/>
  <c r="Z175" i="111" s="1"/>
  <c r="AB175" i="111" s="1"/>
  <c r="V174" i="111"/>
  <c r="T174" i="111"/>
  <c r="R174" i="111"/>
  <c r="Z174" i="111" s="1"/>
  <c r="AB174" i="111" s="1"/>
  <c r="V173" i="111"/>
  <c r="T173" i="111"/>
  <c r="R173" i="111"/>
  <c r="AA173" i="111" s="1"/>
  <c r="V172" i="111"/>
  <c r="T172" i="111"/>
  <c r="R172" i="111"/>
  <c r="AD173" i="111"/>
  <c r="AA177" i="111"/>
  <c r="AD178" i="111"/>
  <c r="E21" i="112"/>
  <c r="F21" i="112" s="1"/>
  <c r="C21" i="112"/>
  <c r="B21" i="112"/>
  <c r="E20" i="112"/>
  <c r="F20" i="112" s="1"/>
  <c r="C20" i="112"/>
  <c r="B20" i="112"/>
  <c r="C19" i="112"/>
  <c r="B19" i="112"/>
  <c r="C16" i="112"/>
  <c r="B16" i="112"/>
  <c r="E13" i="112"/>
  <c r="F13" i="112" s="1"/>
  <c r="C13" i="112"/>
  <c r="B13" i="112"/>
  <c r="C12" i="112"/>
  <c r="B12" i="112"/>
  <c r="E11" i="112"/>
  <c r="F11" i="112" s="1"/>
  <c r="C11" i="112"/>
  <c r="B11" i="112"/>
  <c r="B6" i="112"/>
  <c r="B5" i="112"/>
  <c r="A24" i="112" s="1"/>
  <c r="J37" i="110"/>
  <c r="J28" i="110"/>
  <c r="J100" i="110"/>
  <c r="J99" i="110"/>
  <c r="J98" i="110"/>
  <c r="J97" i="110"/>
  <c r="J96" i="110"/>
  <c r="J95" i="110"/>
  <c r="J94" i="110"/>
  <c r="J87" i="110"/>
  <c r="J86" i="110"/>
  <c r="J85" i="110"/>
  <c r="J84" i="110"/>
  <c r="J83" i="110"/>
  <c r="J82" i="110"/>
  <c r="J81" i="110"/>
  <c r="J80" i="110"/>
  <c r="J79" i="110"/>
  <c r="J74" i="110"/>
  <c r="J73" i="110"/>
  <c r="J72" i="110"/>
  <c r="J71" i="110"/>
  <c r="J70" i="110"/>
  <c r="J69" i="110"/>
  <c r="J68" i="110"/>
  <c r="J67" i="110"/>
  <c r="J66" i="110"/>
  <c r="J44" i="110"/>
  <c r="J43" i="110"/>
  <c r="J31" i="110"/>
  <c r="J30" i="110"/>
  <c r="J29" i="110"/>
  <c r="J27" i="110"/>
  <c r="J23" i="110"/>
  <c r="J385" i="110"/>
  <c r="J245" i="110"/>
  <c r="J284" i="110"/>
  <c r="J271" i="110"/>
  <c r="E12" i="43"/>
  <c r="F12" i="43" s="1"/>
  <c r="C12" i="43"/>
  <c r="B12" i="43"/>
  <c r="J220" i="110"/>
  <c r="J221" i="110"/>
  <c r="J222" i="110"/>
  <c r="E12" i="36"/>
  <c r="F12" i="36" s="1"/>
  <c r="C12" i="36"/>
  <c r="B12" i="36"/>
  <c r="J178" i="110"/>
  <c r="J211" i="110"/>
  <c r="J210" i="110"/>
  <c r="J209" i="110"/>
  <c r="J208" i="110"/>
  <c r="J207" i="110"/>
  <c r="J206" i="110"/>
  <c r="J205" i="110"/>
  <c r="J198" i="110"/>
  <c r="J197" i="110"/>
  <c r="J196" i="110"/>
  <c r="J195" i="110"/>
  <c r="J194" i="110"/>
  <c r="J193" i="110"/>
  <c r="J192" i="110"/>
  <c r="J191" i="110"/>
  <c r="J190" i="110"/>
  <c r="J185" i="110"/>
  <c r="J184" i="110"/>
  <c r="J183" i="110"/>
  <c r="J182" i="110"/>
  <c r="J181" i="110"/>
  <c r="J180" i="110"/>
  <c r="J179" i="110"/>
  <c r="J172" i="110"/>
  <c r="J171" i="110"/>
  <c r="J170" i="110"/>
  <c r="J169" i="110"/>
  <c r="J168" i="110"/>
  <c r="J167" i="110"/>
  <c r="J166" i="110"/>
  <c r="J165" i="110"/>
  <c r="J164" i="110"/>
  <c r="J204" i="110"/>
  <c r="J156" i="110"/>
  <c r="J155" i="110"/>
  <c r="J154" i="110"/>
  <c r="J153" i="110"/>
  <c r="J152" i="110"/>
  <c r="J151" i="110"/>
  <c r="J150" i="110"/>
  <c r="J149" i="110"/>
  <c r="J143" i="110"/>
  <c r="J142" i="110"/>
  <c r="J141" i="110"/>
  <c r="J140" i="110"/>
  <c r="J139" i="110"/>
  <c r="J138" i="110"/>
  <c r="J137" i="110"/>
  <c r="J130" i="110"/>
  <c r="J129" i="110"/>
  <c r="J117" i="110"/>
  <c r="J116" i="110"/>
  <c r="J127" i="110"/>
  <c r="J136" i="110"/>
  <c r="B7" i="118"/>
  <c r="B7" i="114"/>
  <c r="J114" i="110"/>
  <c r="B7" i="112"/>
  <c r="J128" i="110"/>
  <c r="J115" i="110"/>
  <c r="J126" i="110"/>
  <c r="J113" i="110"/>
  <c r="J10" i="110"/>
  <c r="B438" i="110"/>
  <c r="B440" i="110" s="1"/>
  <c r="B422" i="110"/>
  <c r="B409" i="110"/>
  <c r="B396" i="110"/>
  <c r="B383" i="110"/>
  <c r="B367" i="110"/>
  <c r="B354" i="110"/>
  <c r="B337" i="110"/>
  <c r="B324" i="110"/>
  <c r="B311" i="110"/>
  <c r="B295" i="110"/>
  <c r="B282" i="110"/>
  <c r="B269" i="110"/>
  <c r="B256" i="110"/>
  <c r="B243" i="110"/>
  <c r="B230" i="110"/>
  <c r="B217" i="110"/>
  <c r="B201" i="110"/>
  <c r="B188" i="110"/>
  <c r="B175" i="110"/>
  <c r="B162" i="110"/>
  <c r="B146" i="110"/>
  <c r="B133" i="110"/>
  <c r="B120" i="110"/>
  <c r="B107" i="110"/>
  <c r="B90" i="110"/>
  <c r="B77" i="110"/>
  <c r="B64" i="110"/>
  <c r="B47" i="110"/>
  <c r="B34" i="110"/>
  <c r="B21" i="110"/>
  <c r="B8" i="110"/>
  <c r="B7" i="122"/>
  <c r="B7" i="121"/>
  <c r="I438" i="110"/>
  <c r="I422" i="110"/>
  <c r="I409" i="110"/>
  <c r="I396" i="110"/>
  <c r="I383" i="110"/>
  <c r="I367" i="110"/>
  <c r="I354" i="110"/>
  <c r="I337" i="110"/>
  <c r="I324" i="110"/>
  <c r="I311" i="110"/>
  <c r="I295" i="110"/>
  <c r="I282" i="110"/>
  <c r="I269" i="110"/>
  <c r="I256" i="110"/>
  <c r="I243" i="110"/>
  <c r="I230" i="110"/>
  <c r="I217" i="110"/>
  <c r="I201" i="110"/>
  <c r="I188" i="110"/>
  <c r="I175" i="110"/>
  <c r="I162" i="110"/>
  <c r="I146" i="110"/>
  <c r="I133" i="110"/>
  <c r="I120" i="110"/>
  <c r="I107" i="110"/>
  <c r="I90" i="110"/>
  <c r="I77" i="110"/>
  <c r="I64" i="110"/>
  <c r="I47" i="110"/>
  <c r="I34" i="110"/>
  <c r="I21" i="110"/>
  <c r="I8" i="110"/>
  <c r="B7" i="86"/>
  <c r="B7" i="85"/>
  <c r="B7" i="84"/>
  <c r="J19" i="110"/>
  <c r="J8" i="110" s="1"/>
  <c r="D9" i="2" s="1"/>
  <c r="B7" i="3" s="1"/>
  <c r="C15" i="108"/>
  <c r="B15" i="108"/>
  <c r="C14" i="108"/>
  <c r="B14" i="108"/>
  <c r="C13" i="108"/>
  <c r="B13" i="108"/>
  <c r="C22" i="108"/>
  <c r="B22" i="108"/>
  <c r="C19" i="108"/>
  <c r="B19" i="108"/>
  <c r="C16" i="108"/>
  <c r="B16" i="108"/>
  <c r="C12" i="108"/>
  <c r="B12" i="108"/>
  <c r="C11" i="108"/>
  <c r="B11" i="108"/>
  <c r="B7" i="108"/>
  <c r="B6" i="108"/>
  <c r="B5" i="108"/>
  <c r="A25" i="108" s="1"/>
  <c r="C13" i="107"/>
  <c r="B13" i="107"/>
  <c r="C20" i="107"/>
  <c r="B20" i="107"/>
  <c r="C17" i="107"/>
  <c r="B17" i="107"/>
  <c r="C14" i="107"/>
  <c r="B14" i="107"/>
  <c r="C12" i="107"/>
  <c r="B12" i="107"/>
  <c r="C11" i="107"/>
  <c r="B11" i="107"/>
  <c r="B7" i="107"/>
  <c r="B6" i="107"/>
  <c r="B5" i="107"/>
  <c r="A23" i="107" s="1"/>
  <c r="C16" i="106"/>
  <c r="B16" i="106"/>
  <c r="C15" i="106"/>
  <c r="B15" i="106"/>
  <c r="C14" i="106"/>
  <c r="B14" i="106"/>
  <c r="C13" i="106"/>
  <c r="B13" i="106"/>
  <c r="C23" i="106"/>
  <c r="B23" i="106"/>
  <c r="C20" i="106"/>
  <c r="B20" i="106"/>
  <c r="C17" i="106"/>
  <c r="B17" i="106"/>
  <c r="C12" i="106"/>
  <c r="B12" i="106"/>
  <c r="C11" i="106"/>
  <c r="B11" i="106"/>
  <c r="B6" i="106"/>
  <c r="B5" i="106"/>
  <c r="A26" i="106" s="1"/>
  <c r="C19" i="105"/>
  <c r="B19" i="105"/>
  <c r="C18" i="105"/>
  <c r="B18" i="105"/>
  <c r="C17" i="105"/>
  <c r="B17" i="105"/>
  <c r="C14" i="105"/>
  <c r="B14" i="105"/>
  <c r="C11" i="105"/>
  <c r="B11" i="105"/>
  <c r="B7" i="105"/>
  <c r="B6" i="105"/>
  <c r="B5" i="105"/>
  <c r="A22" i="105" s="1"/>
  <c r="C19" i="104"/>
  <c r="B19" i="104"/>
  <c r="C18" i="104"/>
  <c r="B18" i="104"/>
  <c r="C17" i="104"/>
  <c r="B17" i="104"/>
  <c r="C14" i="104"/>
  <c r="B14" i="104"/>
  <c r="C11" i="104"/>
  <c r="B11" i="104"/>
  <c r="B7" i="104"/>
  <c r="B6" i="104"/>
  <c r="B5" i="104"/>
  <c r="A22" i="104" s="1"/>
  <c r="C19" i="103"/>
  <c r="B19" i="103"/>
  <c r="C18" i="103"/>
  <c r="B18" i="103"/>
  <c r="C17" i="103"/>
  <c r="B17" i="103"/>
  <c r="C14" i="103"/>
  <c r="B14" i="103"/>
  <c r="C11" i="103"/>
  <c r="B11" i="103"/>
  <c r="B7" i="103"/>
  <c r="B6" i="103"/>
  <c r="B5" i="103"/>
  <c r="A22" i="103" s="1"/>
  <c r="C21" i="102"/>
  <c r="B21" i="102"/>
  <c r="C20" i="102"/>
  <c r="B20" i="102"/>
  <c r="C17" i="102"/>
  <c r="B17" i="102"/>
  <c r="C14" i="102"/>
  <c r="B14" i="102"/>
  <c r="C13" i="102"/>
  <c r="B13" i="102"/>
  <c r="C12" i="102"/>
  <c r="B12" i="102"/>
  <c r="C11" i="102"/>
  <c r="B11" i="102"/>
  <c r="B7" i="102"/>
  <c r="B6" i="102"/>
  <c r="B5" i="102"/>
  <c r="A24" i="102" s="1"/>
  <c r="C13" i="100"/>
  <c r="B13" i="100"/>
  <c r="C21" i="100"/>
  <c r="B21" i="100"/>
  <c r="C20" i="100"/>
  <c r="B20" i="100"/>
  <c r="C17" i="100"/>
  <c r="B17" i="100"/>
  <c r="C14" i="100"/>
  <c r="B14" i="100"/>
  <c r="C12" i="100"/>
  <c r="B12" i="100"/>
  <c r="C11" i="100"/>
  <c r="B11" i="100"/>
  <c r="B7" i="100"/>
  <c r="B6" i="100"/>
  <c r="B5" i="100"/>
  <c r="A24" i="100" s="1"/>
  <c r="C19" i="99"/>
  <c r="B19" i="99"/>
  <c r="C18" i="99"/>
  <c r="B18" i="99"/>
  <c r="C17" i="99"/>
  <c r="B17" i="99"/>
  <c r="C14" i="99"/>
  <c r="B14" i="99"/>
  <c r="C11" i="99"/>
  <c r="B11" i="99"/>
  <c r="B7" i="99"/>
  <c r="B6" i="99"/>
  <c r="B5" i="99"/>
  <c r="A22" i="99" s="1"/>
  <c r="C13" i="98"/>
  <c r="B13" i="98"/>
  <c r="C21" i="98"/>
  <c r="B21" i="98"/>
  <c r="C20" i="98"/>
  <c r="B20" i="98"/>
  <c r="C17" i="98"/>
  <c r="B17" i="98"/>
  <c r="C14" i="98"/>
  <c r="B14" i="98"/>
  <c r="C12" i="98"/>
  <c r="B12" i="98"/>
  <c r="C11" i="98"/>
  <c r="B11" i="98"/>
  <c r="B7" i="98"/>
  <c r="B6" i="98"/>
  <c r="B5" i="98"/>
  <c r="A24" i="98" s="1"/>
  <c r="C13" i="97"/>
  <c r="B13" i="97"/>
  <c r="C21" i="97"/>
  <c r="B21" i="97"/>
  <c r="C20" i="97"/>
  <c r="B20" i="97"/>
  <c r="C17" i="97"/>
  <c r="B17" i="97"/>
  <c r="C14" i="97"/>
  <c r="B14" i="97"/>
  <c r="C12" i="97"/>
  <c r="B12" i="97"/>
  <c r="C11" i="97"/>
  <c r="B11" i="97"/>
  <c r="B7" i="97"/>
  <c r="B6" i="97"/>
  <c r="B5" i="97"/>
  <c r="A24" i="97" s="1"/>
  <c r="C15" i="96"/>
  <c r="B15" i="96"/>
  <c r="C14" i="96"/>
  <c r="B14" i="96"/>
  <c r="C13" i="96"/>
  <c r="B13" i="96"/>
  <c r="C22" i="96"/>
  <c r="B22" i="96"/>
  <c r="C19" i="96"/>
  <c r="B19" i="96"/>
  <c r="C16" i="96"/>
  <c r="B16" i="96"/>
  <c r="C12" i="96"/>
  <c r="B12" i="96"/>
  <c r="C11" i="96"/>
  <c r="B11" i="96"/>
  <c r="B7" i="96"/>
  <c r="B6" i="96"/>
  <c r="B5" i="96"/>
  <c r="A25" i="96" s="1"/>
  <c r="C13" i="94"/>
  <c r="B13" i="94"/>
  <c r="C21" i="94"/>
  <c r="B21" i="94"/>
  <c r="C20" i="94"/>
  <c r="B20" i="94"/>
  <c r="C17" i="94"/>
  <c r="B17" i="94"/>
  <c r="C14" i="94"/>
  <c r="B14" i="94"/>
  <c r="C12" i="94"/>
  <c r="B12" i="94"/>
  <c r="C11" i="94"/>
  <c r="B11" i="94"/>
  <c r="B6" i="94"/>
  <c r="B5" i="94"/>
  <c r="A24" i="94" s="1"/>
  <c r="C13" i="93"/>
  <c r="B13" i="93"/>
  <c r="C20" i="93"/>
  <c r="B20" i="93"/>
  <c r="C17" i="93"/>
  <c r="B17" i="93"/>
  <c r="C14" i="93"/>
  <c r="B14" i="93"/>
  <c r="C12" i="93"/>
  <c r="B12" i="93"/>
  <c r="C11" i="93"/>
  <c r="B11" i="93"/>
  <c r="B7" i="93"/>
  <c r="B6" i="93"/>
  <c r="B5" i="93"/>
  <c r="A23" i="93" s="1"/>
  <c r="C18" i="92"/>
  <c r="B18" i="92"/>
  <c r="C15" i="92"/>
  <c r="B15" i="92"/>
  <c r="C12" i="92"/>
  <c r="B12" i="92"/>
  <c r="C11" i="92"/>
  <c r="B11" i="92"/>
  <c r="B7" i="92"/>
  <c r="B6" i="92"/>
  <c r="B5" i="92"/>
  <c r="A21" i="92" s="1"/>
  <c r="C13" i="91"/>
  <c r="B13" i="91"/>
  <c r="C20" i="91"/>
  <c r="B20" i="91"/>
  <c r="C17" i="91"/>
  <c r="B17" i="91"/>
  <c r="C14" i="91"/>
  <c r="B14" i="91"/>
  <c r="C12" i="91"/>
  <c r="B12" i="91"/>
  <c r="C11" i="91"/>
  <c r="B11" i="91"/>
  <c r="B7" i="91"/>
  <c r="B6" i="91"/>
  <c r="B5" i="91"/>
  <c r="A23" i="91" s="1"/>
  <c r="B19" i="90"/>
  <c r="C19" i="90"/>
  <c r="C18" i="90"/>
  <c r="B18" i="90"/>
  <c r="C15" i="90"/>
  <c r="B15" i="90"/>
  <c r="C12" i="90"/>
  <c r="B12" i="90"/>
  <c r="C11" i="90"/>
  <c r="B11" i="90"/>
  <c r="B7" i="90"/>
  <c r="B6" i="90"/>
  <c r="B5" i="90"/>
  <c r="A22" i="90" s="1"/>
  <c r="C13" i="88"/>
  <c r="B13" i="88"/>
  <c r="C21" i="88"/>
  <c r="B21" i="88"/>
  <c r="C20" i="88"/>
  <c r="B20" i="88"/>
  <c r="C17" i="88"/>
  <c r="B17" i="88"/>
  <c r="C14" i="88"/>
  <c r="B14" i="88"/>
  <c r="C12" i="88"/>
  <c r="B12" i="88"/>
  <c r="C11" i="88"/>
  <c r="B11" i="88"/>
  <c r="B7" i="88"/>
  <c r="B6" i="88"/>
  <c r="B5" i="88"/>
  <c r="A24" i="88" s="1"/>
  <c r="C19" i="87"/>
  <c r="B19" i="87"/>
  <c r="C18" i="87"/>
  <c r="B18" i="87"/>
  <c r="C17" i="87"/>
  <c r="B17" i="87"/>
  <c r="C14" i="87"/>
  <c r="B14" i="87"/>
  <c r="C11" i="87"/>
  <c r="B11" i="87"/>
  <c r="B7" i="87"/>
  <c r="B6" i="87"/>
  <c r="B5" i="87"/>
  <c r="A22" i="87" s="1"/>
  <c r="C21" i="82"/>
  <c r="B21" i="82"/>
  <c r="C20" i="82"/>
  <c r="B20" i="82"/>
  <c r="C19" i="82"/>
  <c r="B19" i="82"/>
  <c r="C16" i="82"/>
  <c r="B16" i="82"/>
  <c r="C11" i="82"/>
  <c r="B11" i="82"/>
  <c r="B7" i="82"/>
  <c r="B6" i="82"/>
  <c r="B5" i="82"/>
  <c r="A24" i="82" s="1"/>
  <c r="C21" i="81"/>
  <c r="B21" i="81"/>
  <c r="C20" i="81"/>
  <c r="B20" i="81"/>
  <c r="C19" i="81"/>
  <c r="B19" i="81"/>
  <c r="C16" i="81"/>
  <c r="B16" i="81"/>
  <c r="C11" i="81"/>
  <c r="B11" i="81"/>
  <c r="B6" i="81"/>
  <c r="B5" i="81"/>
  <c r="A24" i="81" s="1"/>
  <c r="B18" i="80"/>
  <c r="C18" i="80"/>
  <c r="C17" i="80"/>
  <c r="B17" i="80"/>
  <c r="C14" i="80"/>
  <c r="B14" i="80"/>
  <c r="C11" i="80"/>
  <c r="B11" i="80"/>
  <c r="B7" i="80"/>
  <c r="B6" i="80"/>
  <c r="B5" i="80"/>
  <c r="A21" i="80" s="1"/>
  <c r="C17" i="78"/>
  <c r="B17" i="78"/>
  <c r="C14" i="78"/>
  <c r="B14" i="78"/>
  <c r="C11" i="78"/>
  <c r="B11" i="78"/>
  <c r="B7" i="78"/>
  <c r="B6" i="78"/>
  <c r="B5" i="78"/>
  <c r="A20" i="78" s="1"/>
  <c r="C21" i="77"/>
  <c r="B21" i="77"/>
  <c r="C18" i="77"/>
  <c r="B18" i="77"/>
  <c r="C15" i="77"/>
  <c r="B15" i="77"/>
  <c r="C13" i="77"/>
  <c r="B13" i="77"/>
  <c r="C12" i="77"/>
  <c r="B12" i="77"/>
  <c r="B7" i="77"/>
  <c r="B6" i="77"/>
  <c r="B5" i="77"/>
  <c r="A24" i="77" s="1"/>
  <c r="C14" i="76"/>
  <c r="B14" i="76"/>
  <c r="C13" i="76"/>
  <c r="B13" i="76"/>
  <c r="C20" i="76"/>
  <c r="B20" i="76"/>
  <c r="C17" i="76"/>
  <c r="B17" i="76"/>
  <c r="C12" i="76"/>
  <c r="B12" i="76"/>
  <c r="C11" i="76"/>
  <c r="B11" i="76"/>
  <c r="B7" i="76"/>
  <c r="B6" i="76"/>
  <c r="B5" i="76"/>
  <c r="A24" i="76" s="1"/>
  <c r="C21" i="75"/>
  <c r="B21" i="75"/>
  <c r="C20" i="75"/>
  <c r="B20" i="75"/>
  <c r="C17" i="75"/>
  <c r="B17" i="75"/>
  <c r="C12" i="75"/>
  <c r="B12" i="75"/>
  <c r="C11" i="75"/>
  <c r="B11" i="75"/>
  <c r="B7" i="75"/>
  <c r="B6" i="75"/>
  <c r="B5" i="75"/>
  <c r="A24" i="75" s="1"/>
  <c r="C19" i="74"/>
  <c r="B19" i="74"/>
  <c r="C18" i="74"/>
  <c r="B18" i="74"/>
  <c r="C15" i="74"/>
  <c r="B15" i="74"/>
  <c r="C12" i="74"/>
  <c r="B12" i="74"/>
  <c r="C11" i="74"/>
  <c r="B11" i="74"/>
  <c r="B7" i="74"/>
  <c r="B6" i="74"/>
  <c r="B5" i="74"/>
  <c r="A22" i="74" s="1"/>
  <c r="C21" i="73"/>
  <c r="B21" i="73"/>
  <c r="C20" i="73"/>
  <c r="B20" i="73"/>
  <c r="C19" i="73"/>
  <c r="B19" i="73"/>
  <c r="C16" i="73"/>
  <c r="B16" i="73"/>
  <c r="C13" i="73"/>
  <c r="B13" i="73"/>
  <c r="C11" i="73"/>
  <c r="B11" i="73"/>
  <c r="B7" i="73"/>
  <c r="B6" i="73"/>
  <c r="B5" i="73"/>
  <c r="A24" i="73" s="1"/>
  <c r="C21" i="72"/>
  <c r="B21" i="72"/>
  <c r="C20" i="72"/>
  <c r="B20" i="72"/>
  <c r="C19" i="72"/>
  <c r="B19" i="72"/>
  <c r="C16" i="72"/>
  <c r="B16" i="72"/>
  <c r="C13" i="72"/>
  <c r="B13" i="72"/>
  <c r="C11" i="72"/>
  <c r="B11" i="72"/>
  <c r="B7" i="72"/>
  <c r="B6" i="72"/>
  <c r="B5" i="72"/>
  <c r="A24" i="72" s="1"/>
  <c r="C26" i="71"/>
  <c r="B26" i="71"/>
  <c r="C17" i="71"/>
  <c r="B17" i="71"/>
  <c r="C16" i="71"/>
  <c r="B16" i="71"/>
  <c r="C15" i="71"/>
  <c r="B15" i="71"/>
  <c r="C14" i="71"/>
  <c r="B14" i="71"/>
  <c r="C13" i="71"/>
  <c r="B13" i="71"/>
  <c r="C27" i="71"/>
  <c r="B27" i="71"/>
  <c r="C25" i="71"/>
  <c r="B25" i="71"/>
  <c r="C24" i="71"/>
  <c r="B24" i="71"/>
  <c r="C21" i="71"/>
  <c r="B21" i="71"/>
  <c r="C18" i="71"/>
  <c r="B18" i="71"/>
  <c r="C12" i="71"/>
  <c r="B12" i="71"/>
  <c r="C11" i="71"/>
  <c r="B11" i="71"/>
  <c r="B7" i="71"/>
  <c r="B6" i="71"/>
  <c r="B5" i="71"/>
  <c r="A33" i="71" s="1"/>
  <c r="C14" i="70"/>
  <c r="B14" i="70"/>
  <c r="C11" i="70"/>
  <c r="B11" i="70"/>
  <c r="B6" i="70"/>
  <c r="B5" i="70"/>
  <c r="A17" i="70" s="1"/>
  <c r="C19" i="68"/>
  <c r="B19" i="68"/>
  <c r="C18" i="68"/>
  <c r="B18" i="68"/>
  <c r="C15" i="68"/>
  <c r="B15" i="68"/>
  <c r="C12" i="68"/>
  <c r="B12" i="68"/>
  <c r="C11" i="68"/>
  <c r="B11" i="68"/>
  <c r="B6" i="68"/>
  <c r="B5" i="68"/>
  <c r="A22" i="68" s="1"/>
  <c r="C14" i="67"/>
  <c r="B14" i="67"/>
  <c r="C13" i="67"/>
  <c r="B13" i="67"/>
  <c r="C21" i="67"/>
  <c r="B21" i="67"/>
  <c r="C18" i="67"/>
  <c r="B18" i="67"/>
  <c r="C15" i="67"/>
  <c r="B15" i="67"/>
  <c r="C12" i="67"/>
  <c r="B12" i="67"/>
  <c r="C11" i="67"/>
  <c r="B11" i="67"/>
  <c r="B6" i="67"/>
  <c r="B5" i="67"/>
  <c r="A24" i="67" s="1"/>
  <c r="C15" i="66"/>
  <c r="B15" i="66"/>
  <c r="C14" i="66"/>
  <c r="B14" i="66"/>
  <c r="C13" i="66"/>
  <c r="B13" i="66"/>
  <c r="C22" i="66"/>
  <c r="B22" i="66"/>
  <c r="C19" i="66"/>
  <c r="B19" i="66"/>
  <c r="C16" i="66"/>
  <c r="B16" i="66"/>
  <c r="C12" i="66"/>
  <c r="B12" i="66"/>
  <c r="C11" i="66"/>
  <c r="B11" i="66"/>
  <c r="B6" i="66"/>
  <c r="B5" i="66"/>
  <c r="A25" i="66" s="1"/>
  <c r="C12" i="65"/>
  <c r="B12" i="65"/>
  <c r="C21" i="65"/>
  <c r="B21" i="65"/>
  <c r="C20" i="65"/>
  <c r="B20" i="65"/>
  <c r="C17" i="65"/>
  <c r="B17" i="65"/>
  <c r="C14" i="65"/>
  <c r="B14" i="65"/>
  <c r="C13" i="65"/>
  <c r="B13" i="65"/>
  <c r="C11" i="65"/>
  <c r="B11" i="65"/>
  <c r="B6" i="65"/>
  <c r="B5" i="65"/>
  <c r="A24" i="65" s="1"/>
  <c r="C11" i="63"/>
  <c r="B11" i="63"/>
  <c r="B6" i="63"/>
  <c r="B5" i="63"/>
  <c r="A19" i="63" s="1"/>
  <c r="C17" i="62"/>
  <c r="B17" i="62"/>
  <c r="C15" i="62"/>
  <c r="B15" i="62"/>
  <c r="C14" i="62"/>
  <c r="B14" i="62"/>
  <c r="C11" i="62"/>
  <c r="B11" i="62"/>
  <c r="B6" i="62"/>
  <c r="B5" i="62"/>
  <c r="A20" i="62" s="1"/>
  <c r="C17" i="61"/>
  <c r="B17" i="61"/>
  <c r="C14" i="61"/>
  <c r="B14" i="61"/>
  <c r="C11" i="61"/>
  <c r="B11" i="61"/>
  <c r="B7" i="61"/>
  <c r="B6" i="61"/>
  <c r="B5" i="61"/>
  <c r="A20" i="61" s="1"/>
  <c r="C17" i="60"/>
  <c r="B17" i="60"/>
  <c r="C14" i="60"/>
  <c r="B14" i="60"/>
  <c r="C11" i="60"/>
  <c r="B11" i="60"/>
  <c r="B7" i="60"/>
  <c r="B6" i="60"/>
  <c r="B5" i="60"/>
  <c r="A20" i="60" s="1"/>
  <c r="C13" i="59"/>
  <c r="B13" i="59"/>
  <c r="C20" i="59"/>
  <c r="B20" i="59"/>
  <c r="C17" i="59"/>
  <c r="B17" i="59"/>
  <c r="C14" i="59"/>
  <c r="B14" i="59"/>
  <c r="C12" i="59"/>
  <c r="B12" i="59"/>
  <c r="C11" i="59"/>
  <c r="B11" i="59"/>
  <c r="B7" i="59"/>
  <c r="B6" i="59"/>
  <c r="B5" i="59"/>
  <c r="A23" i="59" s="1"/>
  <c r="C17" i="58"/>
  <c r="B17" i="58"/>
  <c r="C14" i="58"/>
  <c r="B14" i="58"/>
  <c r="C11" i="58"/>
  <c r="B11" i="58"/>
  <c r="B7" i="58"/>
  <c r="B6" i="58"/>
  <c r="B5" i="58"/>
  <c r="A20" i="58" s="1"/>
  <c r="C22" i="57"/>
  <c r="B22" i="57"/>
  <c r="C19" i="57"/>
  <c r="B19" i="57"/>
  <c r="B7" i="57"/>
  <c r="B6" i="57"/>
  <c r="B5" i="57"/>
  <c r="A25" i="57" s="1"/>
  <c r="C23" i="54"/>
  <c r="B23" i="54"/>
  <c r="C21" i="54"/>
  <c r="B21" i="54"/>
  <c r="C20" i="54"/>
  <c r="B20" i="54"/>
  <c r="C17" i="54"/>
  <c r="B17" i="54"/>
  <c r="C13" i="54"/>
  <c r="B13" i="54"/>
  <c r="C11" i="54"/>
  <c r="B11" i="54"/>
  <c r="B6" i="54"/>
  <c r="B5" i="54"/>
  <c r="A26" i="54" s="1"/>
  <c r="C18" i="53"/>
  <c r="B18" i="53"/>
  <c r="C17" i="53"/>
  <c r="B17" i="53"/>
  <c r="C14" i="53"/>
  <c r="B14" i="53"/>
  <c r="C11" i="53"/>
  <c r="B11" i="53"/>
  <c r="B6" i="53"/>
  <c r="B5" i="53"/>
  <c r="A21" i="53" s="1"/>
  <c r="C22" i="52"/>
  <c r="B22" i="52"/>
  <c r="C21" i="52"/>
  <c r="B21" i="52"/>
  <c r="C18" i="52"/>
  <c r="B18" i="52"/>
  <c r="C11" i="52"/>
  <c r="B11" i="52"/>
  <c r="B6" i="52"/>
  <c r="C18" i="51"/>
  <c r="B18" i="51"/>
  <c r="C17" i="51"/>
  <c r="B17" i="51"/>
  <c r="C14" i="51"/>
  <c r="B14" i="51"/>
  <c r="C11" i="51"/>
  <c r="B11" i="51"/>
  <c r="B6" i="51"/>
  <c r="B5" i="51"/>
  <c r="A21" i="51" s="1"/>
  <c r="C18" i="50"/>
  <c r="B18" i="50"/>
  <c r="C17" i="50"/>
  <c r="B17" i="50"/>
  <c r="C14" i="50"/>
  <c r="B14" i="50"/>
  <c r="C11" i="50"/>
  <c r="B11" i="50"/>
  <c r="B6" i="50"/>
  <c r="B5" i="50"/>
  <c r="A21" i="50" s="1"/>
  <c r="C18" i="49"/>
  <c r="B18" i="49"/>
  <c r="C17" i="49"/>
  <c r="B17" i="49"/>
  <c r="C14" i="49"/>
  <c r="B14" i="49"/>
  <c r="C11" i="49"/>
  <c r="B11" i="49"/>
  <c r="B6" i="49"/>
  <c r="B5" i="49"/>
  <c r="A21" i="49" s="1"/>
  <c r="C19" i="48"/>
  <c r="B19" i="48"/>
  <c r="C16" i="48"/>
  <c r="B16" i="48"/>
  <c r="C11" i="48"/>
  <c r="B11" i="48"/>
  <c r="B6" i="48"/>
  <c r="B5" i="48"/>
  <c r="A22" i="48" s="1"/>
  <c r="C18" i="47"/>
  <c r="B18" i="47"/>
  <c r="C15" i="47"/>
  <c r="B15" i="47"/>
  <c r="C14" i="47"/>
  <c r="B14" i="47"/>
  <c r="C11" i="47"/>
  <c r="B11" i="47"/>
  <c r="B6" i="47"/>
  <c r="B5" i="47"/>
  <c r="A21" i="47" s="1"/>
  <c r="C18" i="46"/>
  <c r="B18" i="46"/>
  <c r="C17" i="46"/>
  <c r="B17" i="46"/>
  <c r="C14" i="46"/>
  <c r="B14" i="46"/>
  <c r="C11" i="46"/>
  <c r="B11" i="46"/>
  <c r="B6" i="46"/>
  <c r="B5" i="46"/>
  <c r="A21" i="46" s="1"/>
  <c r="C19" i="45"/>
  <c r="B19" i="45"/>
  <c r="C16" i="45"/>
  <c r="B16" i="45"/>
  <c r="C13" i="45"/>
  <c r="B13" i="45"/>
  <c r="C12" i="45"/>
  <c r="B12" i="45"/>
  <c r="C11" i="45"/>
  <c r="B11" i="45"/>
  <c r="B6" i="45"/>
  <c r="B5" i="45"/>
  <c r="A22" i="45" s="1"/>
  <c r="C20" i="44"/>
  <c r="B20" i="44"/>
  <c r="C19" i="44"/>
  <c r="B19" i="44"/>
  <c r="C18" i="44"/>
  <c r="B18" i="44"/>
  <c r="C15" i="44"/>
  <c r="B15" i="44"/>
  <c r="C12" i="44"/>
  <c r="B12" i="44"/>
  <c r="C11" i="44"/>
  <c r="B11" i="44"/>
  <c r="B7" i="44"/>
  <c r="B6" i="44"/>
  <c r="B5" i="44"/>
  <c r="A23" i="44" s="1"/>
  <c r="C19" i="43"/>
  <c r="B19" i="43"/>
  <c r="C16" i="43"/>
  <c r="B16" i="43"/>
  <c r="C13" i="43"/>
  <c r="B13" i="43"/>
  <c r="C11" i="43"/>
  <c r="B11" i="43"/>
  <c r="B6" i="43"/>
  <c r="B5" i="43"/>
  <c r="A23" i="43" s="1"/>
  <c r="C20" i="42"/>
  <c r="B20" i="42"/>
  <c r="C19" i="42"/>
  <c r="B19" i="42"/>
  <c r="C18" i="42"/>
  <c r="B18" i="42"/>
  <c r="C15" i="42"/>
  <c r="B15" i="42"/>
  <c r="C12" i="42"/>
  <c r="B12" i="42"/>
  <c r="C11" i="42"/>
  <c r="B11" i="42"/>
  <c r="B6" i="42"/>
  <c r="B5" i="42"/>
  <c r="A23" i="42" s="1"/>
  <c r="C20" i="41"/>
  <c r="B20" i="41"/>
  <c r="C19" i="41"/>
  <c r="B19" i="41"/>
  <c r="C18" i="41"/>
  <c r="B18" i="41"/>
  <c r="C15" i="41"/>
  <c r="B15" i="41"/>
  <c r="C12" i="41"/>
  <c r="B12" i="41"/>
  <c r="C11" i="41"/>
  <c r="B11" i="41"/>
  <c r="B7" i="41"/>
  <c r="B6" i="41"/>
  <c r="B5" i="41"/>
  <c r="A23" i="41" s="1"/>
  <c r="C22" i="40"/>
  <c r="B22" i="40"/>
  <c r="C20" i="40"/>
  <c r="B20" i="40"/>
  <c r="C17" i="40"/>
  <c r="B17" i="40"/>
  <c r="C14" i="40"/>
  <c r="B14" i="40"/>
  <c r="C11" i="40"/>
  <c r="B11" i="40"/>
  <c r="B6" i="40"/>
  <c r="B5" i="40"/>
  <c r="A25" i="40" s="1"/>
  <c r="C18" i="39"/>
  <c r="B18" i="39"/>
  <c r="C15" i="39"/>
  <c r="B15" i="39"/>
  <c r="C12" i="39"/>
  <c r="B12" i="39"/>
  <c r="E11" i="39"/>
  <c r="F11" i="39" s="1"/>
  <c r="E12" i="39" s="1"/>
  <c r="F12" i="39" s="1"/>
  <c r="F13" i="39" s="1"/>
  <c r="H13" i="39" s="1"/>
  <c r="C11" i="39"/>
  <c r="B11" i="39"/>
  <c r="B7" i="39"/>
  <c r="B6" i="39"/>
  <c r="B5" i="39"/>
  <c r="A21" i="39" s="1"/>
  <c r="C21" i="38"/>
  <c r="B21" i="38"/>
  <c r="C20" i="38"/>
  <c r="B20" i="38"/>
  <c r="C16" i="38"/>
  <c r="B16" i="38"/>
  <c r="C13" i="38"/>
  <c r="B13" i="38"/>
  <c r="C12" i="38"/>
  <c r="B12" i="38"/>
  <c r="C11" i="38"/>
  <c r="B11" i="38"/>
  <c r="B6" i="38"/>
  <c r="B5" i="38"/>
  <c r="A28" i="38" s="1"/>
  <c r="C20" i="37"/>
  <c r="B20" i="37"/>
  <c r="C19" i="37"/>
  <c r="B19" i="37"/>
  <c r="C16" i="37"/>
  <c r="B16" i="37"/>
  <c r="C13" i="37"/>
  <c r="B13" i="37"/>
  <c r="C12" i="37"/>
  <c r="B12" i="37"/>
  <c r="E11" i="37"/>
  <c r="F11" i="37" s="1"/>
  <c r="C11" i="37"/>
  <c r="B11" i="37"/>
  <c r="B6" i="37"/>
  <c r="B5" i="37"/>
  <c r="A23" i="37" s="1"/>
  <c r="C21" i="36"/>
  <c r="B21" i="36"/>
  <c r="C20" i="36"/>
  <c r="B20" i="36"/>
  <c r="C19" i="36"/>
  <c r="B19" i="36"/>
  <c r="C16" i="36"/>
  <c r="B16" i="36"/>
  <c r="C13" i="36"/>
  <c r="B13" i="36"/>
  <c r="C11" i="36"/>
  <c r="B11" i="36"/>
  <c r="B6" i="36"/>
  <c r="B5" i="36"/>
  <c r="A24" i="36" s="1"/>
  <c r="C21" i="35"/>
  <c r="B21" i="35"/>
  <c r="C20" i="35"/>
  <c r="B20" i="35"/>
  <c r="C19" i="35"/>
  <c r="B19" i="35"/>
  <c r="C16" i="35"/>
  <c r="B16" i="35"/>
  <c r="C13" i="35"/>
  <c r="B13" i="35"/>
  <c r="C12" i="35"/>
  <c r="B12" i="35"/>
  <c r="C11" i="35"/>
  <c r="B11" i="35"/>
  <c r="B6" i="35"/>
  <c r="B5" i="35"/>
  <c r="A24" i="35" s="1"/>
  <c r="C15" i="34"/>
  <c r="B15" i="34"/>
  <c r="C16" i="34"/>
  <c r="B16" i="34"/>
  <c r="C14" i="34"/>
  <c r="B14" i="34"/>
  <c r="C11" i="34"/>
  <c r="B11" i="34"/>
  <c r="B7" i="34"/>
  <c r="B6" i="34"/>
  <c r="B5" i="34"/>
  <c r="A19" i="34" s="1"/>
  <c r="C12" i="33"/>
  <c r="B12" i="33"/>
  <c r="C21" i="33"/>
  <c r="B21" i="33"/>
  <c r="C20" i="33"/>
  <c r="B20" i="33"/>
  <c r="C17" i="33"/>
  <c r="B17" i="33"/>
  <c r="C14" i="33"/>
  <c r="B14" i="33"/>
  <c r="C13" i="33"/>
  <c r="B13" i="33"/>
  <c r="C11" i="33"/>
  <c r="B11" i="33"/>
  <c r="B7" i="33"/>
  <c r="B6" i="33"/>
  <c r="B5" i="33"/>
  <c r="A24" i="33" s="1"/>
  <c r="C20" i="32"/>
  <c r="B20" i="32"/>
  <c r="C18" i="32"/>
  <c r="B18" i="32"/>
  <c r="C15" i="32"/>
  <c r="B15" i="32"/>
  <c r="C12" i="32"/>
  <c r="B12" i="32"/>
  <c r="C11" i="32"/>
  <c r="B11" i="32"/>
  <c r="B7" i="32"/>
  <c r="B6" i="32"/>
  <c r="B5" i="32"/>
  <c r="A26" i="32" s="1"/>
  <c r="C15" i="31"/>
  <c r="B15" i="31"/>
  <c r="C14" i="31"/>
  <c r="B14" i="31"/>
  <c r="C11" i="31"/>
  <c r="B11" i="31"/>
  <c r="B7" i="31"/>
  <c r="B6" i="31"/>
  <c r="B5" i="31"/>
  <c r="A18" i="31" s="1"/>
  <c r="C18" i="30"/>
  <c r="B18" i="30"/>
  <c r="C17" i="30"/>
  <c r="B17" i="30"/>
  <c r="C14" i="30"/>
  <c r="B14" i="30"/>
  <c r="C11" i="30"/>
  <c r="B11" i="30"/>
  <c r="B7" i="30"/>
  <c r="B6" i="30"/>
  <c r="B5" i="30"/>
  <c r="A24" i="30" s="1"/>
  <c r="C15" i="29"/>
  <c r="B15" i="29"/>
  <c r="C14" i="29"/>
  <c r="B14" i="29"/>
  <c r="C11" i="29"/>
  <c r="B11" i="29"/>
  <c r="B6" i="29"/>
  <c r="B5" i="29"/>
  <c r="A18" i="29" s="1"/>
  <c r="C15" i="28"/>
  <c r="B15" i="28"/>
  <c r="C14" i="28"/>
  <c r="B14" i="28"/>
  <c r="C11" i="28"/>
  <c r="B11" i="28"/>
  <c r="B6" i="28"/>
  <c r="B5" i="28"/>
  <c r="A18" i="28" s="1"/>
  <c r="C16" i="27"/>
  <c r="B16" i="27"/>
  <c r="C15" i="27"/>
  <c r="B15" i="27"/>
  <c r="C14" i="27"/>
  <c r="B14" i="27"/>
  <c r="C11" i="27"/>
  <c r="B11" i="27"/>
  <c r="B7" i="27"/>
  <c r="B6" i="27"/>
  <c r="B5" i="27"/>
  <c r="A19" i="27" s="1"/>
  <c r="C14" i="26"/>
  <c r="B14" i="26"/>
  <c r="C11" i="26"/>
  <c r="B11" i="26"/>
  <c r="B6" i="26"/>
  <c r="B5" i="26"/>
  <c r="A17" i="26" s="1"/>
  <c r="C18" i="25"/>
  <c r="B18" i="25"/>
  <c r="C15" i="25"/>
  <c r="B15" i="25"/>
  <c r="C12" i="25"/>
  <c r="B12" i="25"/>
  <c r="C11" i="25"/>
  <c r="B11" i="25"/>
  <c r="B7" i="25"/>
  <c r="B6" i="25"/>
  <c r="B5" i="25"/>
  <c r="A21" i="25" s="1"/>
  <c r="C15" i="24"/>
  <c r="B15" i="24"/>
  <c r="C14" i="24"/>
  <c r="B14" i="24"/>
  <c r="C11" i="24"/>
  <c r="B11" i="24"/>
  <c r="B6" i="24"/>
  <c r="B5" i="24"/>
  <c r="A18" i="24" s="1"/>
  <c r="C19" i="22"/>
  <c r="B19" i="22"/>
  <c r="C18" i="22"/>
  <c r="B18" i="22"/>
  <c r="C15" i="22"/>
  <c r="B15" i="22"/>
  <c r="C12" i="22"/>
  <c r="B12" i="22"/>
  <c r="C11" i="22"/>
  <c r="B11" i="22"/>
  <c r="B6" i="22"/>
  <c r="B5" i="22"/>
  <c r="A22" i="22" s="1"/>
  <c r="C14" i="21"/>
  <c r="B14" i="21"/>
  <c r="C11" i="21"/>
  <c r="B11" i="21"/>
  <c r="B6" i="21"/>
  <c r="B5" i="21"/>
  <c r="A17" i="21" s="1"/>
  <c r="C14" i="20"/>
  <c r="B14" i="20"/>
  <c r="C11" i="20"/>
  <c r="B11" i="20"/>
  <c r="B6" i="20"/>
  <c r="B5" i="20"/>
  <c r="A18" i="20" s="1"/>
  <c r="C15" i="19"/>
  <c r="B15" i="19"/>
  <c r="C14" i="19"/>
  <c r="B14" i="19"/>
  <c r="C13" i="19"/>
  <c r="B13" i="19"/>
  <c r="C22" i="19"/>
  <c r="B22" i="19"/>
  <c r="C19" i="19"/>
  <c r="B19" i="19"/>
  <c r="C16" i="19"/>
  <c r="B16" i="19"/>
  <c r="C12" i="19"/>
  <c r="B12" i="19"/>
  <c r="C11" i="19"/>
  <c r="B11" i="19"/>
  <c r="B6" i="19"/>
  <c r="B5" i="19"/>
  <c r="A25" i="19" s="1"/>
  <c r="C19" i="18"/>
  <c r="B19" i="18"/>
  <c r="C16" i="18"/>
  <c r="B16" i="18"/>
  <c r="C12" i="18"/>
  <c r="B12" i="18"/>
  <c r="C11" i="18"/>
  <c r="B11" i="18"/>
  <c r="B6" i="18"/>
  <c r="B5" i="18"/>
  <c r="A22" i="18" s="1"/>
  <c r="C14" i="17"/>
  <c r="B14" i="17"/>
  <c r="C11" i="17"/>
  <c r="B11" i="17"/>
  <c r="B6" i="17"/>
  <c r="B5" i="17"/>
  <c r="A23" i="17" s="1"/>
  <c r="C15" i="16"/>
  <c r="B15" i="16"/>
  <c r="C14" i="16"/>
  <c r="B14" i="16"/>
  <c r="C11" i="16"/>
  <c r="B11" i="16"/>
  <c r="B6" i="16"/>
  <c r="B5" i="16"/>
  <c r="A18" i="16" s="1"/>
  <c r="C16" i="15"/>
  <c r="B16" i="15"/>
  <c r="C15" i="15"/>
  <c r="B15" i="15"/>
  <c r="C11" i="15"/>
  <c r="B11" i="15"/>
  <c r="B6" i="15"/>
  <c r="B5" i="15"/>
  <c r="A19" i="15" s="1"/>
  <c r="C12" i="14"/>
  <c r="B12" i="14"/>
  <c r="C18" i="14"/>
  <c r="B18" i="14"/>
  <c r="C17" i="14"/>
  <c r="B17" i="14"/>
  <c r="C16" i="14"/>
  <c r="B16" i="14"/>
  <c r="C15" i="14"/>
  <c r="B15" i="14"/>
  <c r="C11" i="14"/>
  <c r="B11" i="14"/>
  <c r="B6" i="14"/>
  <c r="B5" i="14"/>
  <c r="A21" i="14" s="1"/>
  <c r="B6" i="3"/>
  <c r="B5" i="3"/>
  <c r="A24" i="3" s="1"/>
  <c r="C21" i="3"/>
  <c r="B21" i="3"/>
  <c r="C18" i="3"/>
  <c r="B18" i="3"/>
  <c r="C15" i="3"/>
  <c r="B15" i="3"/>
  <c r="C14" i="3"/>
  <c r="B14" i="3"/>
  <c r="C13" i="3"/>
  <c r="B13" i="3"/>
  <c r="C12" i="3"/>
  <c r="B12" i="3"/>
  <c r="C11" i="3"/>
  <c r="B11" i="3"/>
  <c r="B7" i="94"/>
  <c r="E19" i="90"/>
  <c r="F19" i="90" s="1"/>
  <c r="E18" i="87"/>
  <c r="F18" i="87" s="1"/>
  <c r="E19" i="87"/>
  <c r="F19" i="87" s="1"/>
  <c r="E15" i="34"/>
  <c r="F15" i="34" s="1"/>
  <c r="F11" i="38"/>
  <c r="E17" i="71"/>
  <c r="F17" i="71" s="1"/>
  <c r="E12" i="107"/>
  <c r="F12" i="107" s="1"/>
  <c r="E13" i="66"/>
  <c r="F13" i="66" s="1"/>
  <c r="E12" i="76"/>
  <c r="F12" i="76" s="1"/>
  <c r="E11" i="74"/>
  <c r="F11" i="74" s="1"/>
  <c r="E13" i="71"/>
  <c r="F13" i="71" s="1"/>
  <c r="E13" i="76"/>
  <c r="F13" i="76" s="1"/>
  <c r="E16" i="66"/>
  <c r="F16" i="66" s="1"/>
  <c r="E11" i="70"/>
  <c r="F11" i="70" s="1"/>
  <c r="F12" i="70" s="1"/>
  <c r="H12" i="70" s="1"/>
  <c r="E11" i="30"/>
  <c r="F11" i="30" s="1"/>
  <c r="F12" i="30" s="1"/>
  <c r="H12" i="30" s="1"/>
  <c r="E11" i="96"/>
  <c r="F11" i="96" s="1"/>
  <c r="E16" i="96"/>
  <c r="F16" i="96" s="1"/>
  <c r="E13" i="96"/>
  <c r="F13" i="96" s="1"/>
  <c r="E12" i="74"/>
  <c r="F12" i="74" s="1"/>
  <c r="E11" i="78"/>
  <c r="F11" i="78" s="1"/>
  <c r="F12" i="78" s="1"/>
  <c r="H12" i="78" s="1"/>
  <c r="E13" i="77"/>
  <c r="F13" i="77" s="1"/>
  <c r="E12" i="90"/>
  <c r="F12" i="90" s="1"/>
  <c r="E12" i="25"/>
  <c r="F12" i="25" s="1"/>
  <c r="E11" i="25" s="1"/>
  <c r="F11" i="25" s="1"/>
  <c r="F13" i="25" s="1"/>
  <c r="H13" i="25" s="1"/>
  <c r="E15" i="67"/>
  <c r="F15" i="67" s="1"/>
  <c r="E17" i="14"/>
  <c r="F17" i="14" s="1"/>
  <c r="E15" i="14"/>
  <c r="E16" i="15"/>
  <c r="E14" i="96"/>
  <c r="F14" i="96" s="1"/>
  <c r="E13" i="107"/>
  <c r="F13" i="107" s="1"/>
  <c r="E13" i="106"/>
  <c r="F13" i="106" s="1"/>
  <c r="E12" i="108"/>
  <c r="F12" i="108" s="1"/>
  <c r="E12" i="93"/>
  <c r="F12" i="93" s="1"/>
  <c r="E14" i="107"/>
  <c r="F14" i="107" s="1"/>
  <c r="E14" i="108"/>
  <c r="F14" i="108" s="1"/>
  <c r="E15" i="106"/>
  <c r="F15" i="106" s="1"/>
  <c r="E16" i="108"/>
  <c r="F16" i="108" s="1"/>
  <c r="E17" i="106"/>
  <c r="F17" i="106" s="1"/>
  <c r="E11" i="93"/>
  <c r="F11" i="93" s="1"/>
  <c r="E15" i="96"/>
  <c r="F15" i="96" s="1"/>
  <c r="E11" i="91"/>
  <c r="F11" i="91" s="1"/>
  <c r="E14" i="102"/>
  <c r="F14" i="102" s="1"/>
  <c r="E14" i="98"/>
  <c r="F14" i="98" s="1"/>
  <c r="E14" i="100"/>
  <c r="F14" i="100" s="1"/>
  <c r="E14" i="88"/>
  <c r="F14" i="88" s="1"/>
  <c r="E14" i="97"/>
  <c r="F14" i="97" s="1"/>
  <c r="E14" i="94"/>
  <c r="F14" i="94" s="1"/>
  <c r="E12" i="92"/>
  <c r="F12" i="92" s="1"/>
  <c r="E13" i="94"/>
  <c r="F13" i="94" s="1"/>
  <c r="E13" i="98"/>
  <c r="F13" i="98" s="1"/>
  <c r="E13" i="100"/>
  <c r="F13" i="100" s="1"/>
  <c r="E13" i="88"/>
  <c r="F13" i="88" s="1"/>
  <c r="E13" i="102"/>
  <c r="F13" i="102" s="1"/>
  <c r="E13" i="97"/>
  <c r="F13" i="97" s="1"/>
  <c r="E12" i="91"/>
  <c r="F12" i="91" s="1"/>
  <c r="E12" i="100"/>
  <c r="F12" i="100" s="1"/>
  <c r="E12" i="88"/>
  <c r="F12" i="88" s="1"/>
  <c r="E12" i="97"/>
  <c r="F12" i="97" s="1"/>
  <c r="E12" i="102"/>
  <c r="F12" i="102" s="1"/>
  <c r="E12" i="94"/>
  <c r="F12" i="94" s="1"/>
  <c r="E12" i="98"/>
  <c r="F12" i="98" s="1"/>
  <c r="E11" i="108"/>
  <c r="F11" i="108" s="1"/>
  <c r="E11" i="106"/>
  <c r="F11" i="106" s="1"/>
  <c r="E13" i="91"/>
  <c r="F13" i="91" s="1"/>
  <c r="E13" i="93"/>
  <c r="F13" i="93" s="1"/>
  <c r="E15" i="77"/>
  <c r="E14" i="91"/>
  <c r="F14" i="91" s="1"/>
  <c r="E12" i="96"/>
  <c r="F12" i="96" s="1"/>
  <c r="E14" i="93"/>
  <c r="F14" i="93" s="1"/>
  <c r="E11" i="92"/>
  <c r="F11" i="92" s="1"/>
  <c r="E11" i="90"/>
  <c r="F11" i="90" s="1"/>
  <c r="E18" i="105"/>
  <c r="F18" i="105" s="1"/>
  <c r="E18" i="104"/>
  <c r="F18" i="104" s="1"/>
  <c r="E18" i="103"/>
  <c r="F18" i="103" s="1"/>
  <c r="E18" i="99"/>
  <c r="F18" i="99" s="1"/>
  <c r="E21" i="102"/>
  <c r="F21" i="102" s="1"/>
  <c r="E21" i="98"/>
  <c r="F21" i="98" s="1"/>
  <c r="E21" i="100"/>
  <c r="F21" i="100" s="1"/>
  <c r="E21" i="88"/>
  <c r="E21" i="97"/>
  <c r="F21" i="97" s="1"/>
  <c r="E21" i="94"/>
  <c r="F21" i="94" s="1"/>
  <c r="E12" i="106"/>
  <c r="F12" i="106" s="1"/>
  <c r="E11" i="107"/>
  <c r="F11" i="107" s="1"/>
  <c r="E13" i="108"/>
  <c r="F13" i="108" s="1"/>
  <c r="E14" i="106"/>
  <c r="F14" i="106" s="1"/>
  <c r="E16" i="106"/>
  <c r="F16" i="106" s="1"/>
  <c r="E15" i="108"/>
  <c r="F15" i="108" s="1"/>
  <c r="E11" i="105"/>
  <c r="F11" i="105" s="1"/>
  <c r="F12" i="105" s="1"/>
  <c r="H12" i="105" s="1"/>
  <c r="E11" i="104"/>
  <c r="F11" i="104" s="1"/>
  <c r="F12" i="104" s="1"/>
  <c r="H12" i="104" s="1"/>
  <c r="E11" i="103"/>
  <c r="F11" i="103" s="1"/>
  <c r="F12" i="103" s="1"/>
  <c r="H12" i="103" s="1"/>
  <c r="E11" i="99"/>
  <c r="F11" i="99" s="1"/>
  <c r="F12" i="99" s="1"/>
  <c r="H12" i="99" s="1"/>
  <c r="E19" i="99"/>
  <c r="F19" i="99" s="1"/>
  <c r="E19" i="105"/>
  <c r="F19" i="105" s="1"/>
  <c r="E19" i="104"/>
  <c r="F19" i="104" s="1"/>
  <c r="E19" i="103"/>
  <c r="F19" i="103" s="1"/>
  <c r="E20" i="82"/>
  <c r="E20" i="81"/>
  <c r="E11" i="87"/>
  <c r="F11" i="87" s="1"/>
  <c r="F12" i="87" s="1"/>
  <c r="H12" i="87" s="1"/>
  <c r="E21" i="75"/>
  <c r="F21" i="75" s="1"/>
  <c r="E21" i="81"/>
  <c r="F21" i="81" s="1"/>
  <c r="E21" i="82"/>
  <c r="E12" i="77"/>
  <c r="F12" i="77" s="1"/>
  <c r="E19" i="74"/>
  <c r="F19" i="74" s="1"/>
  <c r="E18" i="80"/>
  <c r="F18" i="80" s="1"/>
  <c r="E14" i="76"/>
  <c r="F14" i="76" s="1"/>
  <c r="E11" i="80"/>
  <c r="F11" i="80" s="1"/>
  <c r="F12" i="80" s="1"/>
  <c r="H12" i="80" s="1"/>
  <c r="E20" i="73"/>
  <c r="F20" i="73" s="1"/>
  <c r="E21" i="72"/>
  <c r="E18" i="71"/>
  <c r="F18" i="71" s="1"/>
  <c r="E13" i="73"/>
  <c r="F13" i="73" s="1"/>
  <c r="E13" i="72"/>
  <c r="F13" i="72" s="1"/>
  <c r="E20" i="72"/>
  <c r="E21" i="73"/>
  <c r="F21" i="73" s="1"/>
  <c r="E27" i="71"/>
  <c r="F27" i="71" s="1"/>
  <c r="E12" i="71"/>
  <c r="F12" i="71" s="1"/>
  <c r="E26" i="71"/>
  <c r="F26" i="71" s="1"/>
  <c r="E25" i="71"/>
  <c r="F25" i="71" s="1"/>
  <c r="E12" i="59"/>
  <c r="F12" i="59" s="1"/>
  <c r="E11" i="71"/>
  <c r="F11" i="71" s="1"/>
  <c r="E13" i="59"/>
  <c r="F13" i="59" s="1"/>
  <c r="E16" i="71"/>
  <c r="F16" i="71" s="1"/>
  <c r="E14" i="71"/>
  <c r="F14" i="71" s="1"/>
  <c r="E11" i="59"/>
  <c r="F11" i="59" s="1"/>
  <c r="E15" i="71"/>
  <c r="F15" i="71" s="1"/>
  <c r="E11" i="66"/>
  <c r="F11" i="66" s="1"/>
  <c r="E13" i="65"/>
  <c r="F13" i="65" s="1"/>
  <c r="E21" i="65"/>
  <c r="E17" i="62"/>
  <c r="E12" i="68"/>
  <c r="F12" i="68" s="1"/>
  <c r="E14" i="67"/>
  <c r="F14" i="67" s="1"/>
  <c r="E13" i="37"/>
  <c r="F13" i="37" s="1"/>
  <c r="E12" i="66"/>
  <c r="F12" i="66" s="1"/>
  <c r="E12" i="67"/>
  <c r="F12" i="67" s="1"/>
  <c r="E14" i="65"/>
  <c r="F14" i="65" s="1"/>
  <c r="E13" i="67"/>
  <c r="F13" i="67" s="1"/>
  <c r="E11" i="68"/>
  <c r="F11" i="68" s="1"/>
  <c r="E12" i="65"/>
  <c r="F12" i="65" s="1"/>
  <c r="E14" i="66"/>
  <c r="F14" i="66" s="1"/>
  <c r="E11" i="60"/>
  <c r="F11" i="60" s="1"/>
  <c r="F12" i="60" s="1"/>
  <c r="H12" i="60" s="1"/>
  <c r="E11" i="58"/>
  <c r="F11" i="58" s="1"/>
  <c r="F12" i="58" s="1"/>
  <c r="H12" i="58" s="1"/>
  <c r="E11" i="61"/>
  <c r="F11" i="61" s="1"/>
  <c r="F12" i="61" s="1"/>
  <c r="H12" i="61" s="1"/>
  <c r="E14" i="59"/>
  <c r="F14" i="59" s="1"/>
  <c r="E11" i="50"/>
  <c r="F11" i="50" s="1"/>
  <c r="F12" i="50" s="1"/>
  <c r="H12" i="50" s="1"/>
  <c r="E11" i="36"/>
  <c r="F11" i="36" s="1"/>
  <c r="E12" i="42"/>
  <c r="F12" i="42" s="1"/>
  <c r="E11" i="42" s="1"/>
  <c r="F11" i="42" s="1"/>
  <c r="F13" i="42" s="1"/>
  <c r="H13" i="42" s="1"/>
  <c r="E12" i="44"/>
  <c r="F12" i="44" s="1"/>
  <c r="E11" i="44" s="1"/>
  <c r="F11" i="44" s="1"/>
  <c r="F13" i="44" s="1"/>
  <c r="H13" i="44" s="1"/>
  <c r="E20" i="44"/>
  <c r="F20" i="44" s="1"/>
  <c r="E20" i="41"/>
  <c r="F20" i="41" s="1"/>
  <c r="E20" i="42"/>
  <c r="E22" i="40"/>
  <c r="E11" i="51"/>
  <c r="F11" i="51" s="1"/>
  <c r="F12" i="51" s="1"/>
  <c r="H12" i="51" s="1"/>
  <c r="E11" i="43"/>
  <c r="F11" i="43" s="1"/>
  <c r="E13" i="43" s="1"/>
  <c r="F13" i="43" s="1"/>
  <c r="E11" i="41"/>
  <c r="F11" i="41" s="1"/>
  <c r="E12" i="41" s="1"/>
  <c r="F12" i="41" s="1"/>
  <c r="F13" i="41" s="1"/>
  <c r="H13" i="41" s="1"/>
  <c r="E12" i="45"/>
  <c r="F12" i="45" s="1"/>
  <c r="E23" i="54"/>
  <c r="E13" i="54"/>
  <c r="F13" i="54" s="1"/>
  <c r="F11" i="49"/>
  <c r="F12" i="49" s="1"/>
  <c r="H12" i="49" s="1"/>
  <c r="E19" i="42"/>
  <c r="E19" i="41"/>
  <c r="F19" i="41" s="1"/>
  <c r="E19" i="44"/>
  <c r="F19" i="44" s="1"/>
  <c r="E15" i="47"/>
  <c r="F15" i="47" s="1"/>
  <c r="E11" i="48"/>
  <c r="F11" i="48" s="1"/>
  <c r="E11" i="54"/>
  <c r="F11" i="54" s="1"/>
  <c r="E11" i="52"/>
  <c r="F11" i="52" s="1"/>
  <c r="E11" i="46"/>
  <c r="F11" i="46" s="1"/>
  <c r="F12" i="46" s="1"/>
  <c r="H12" i="46" s="1"/>
  <c r="E21" i="38"/>
  <c r="E20" i="37"/>
  <c r="F20" i="37" s="1"/>
  <c r="E11" i="35"/>
  <c r="F11" i="35" s="1"/>
  <c r="E12" i="38"/>
  <c r="F12" i="38" s="1"/>
  <c r="E13" i="38" s="1"/>
  <c r="F13" i="38" s="1"/>
  <c r="E13" i="35"/>
  <c r="F13" i="35" s="1"/>
  <c r="E21" i="36"/>
  <c r="F21" i="36" s="1"/>
  <c r="E21" i="35"/>
  <c r="F21" i="35" s="1"/>
  <c r="E20" i="35"/>
  <c r="F20" i="35" s="1"/>
  <c r="E20" i="36"/>
  <c r="F20" i="36" s="1"/>
  <c r="E12" i="33"/>
  <c r="F12" i="33" s="1"/>
  <c r="E14" i="33"/>
  <c r="F14" i="33" s="1"/>
  <c r="E18" i="30"/>
  <c r="F18" i="30" s="1"/>
  <c r="E15" i="24"/>
  <c r="F15" i="24" s="1"/>
  <c r="E15" i="31"/>
  <c r="F15" i="31" s="1"/>
  <c r="E16" i="27"/>
  <c r="F16" i="27" s="1"/>
  <c r="E15" i="29"/>
  <c r="E12" i="32"/>
  <c r="F12" i="32" s="1"/>
  <c r="E11" i="32" s="1"/>
  <c r="F11" i="32" s="1"/>
  <c r="F13" i="32" s="1"/>
  <c r="H13" i="32" s="1"/>
  <c r="E13" i="33"/>
  <c r="F13" i="33" s="1"/>
  <c r="E15" i="27"/>
  <c r="F15" i="27" s="1"/>
  <c r="E21" i="33"/>
  <c r="F21" i="33" s="1"/>
  <c r="E19" i="22"/>
  <c r="F19" i="22" s="1"/>
  <c r="E20" i="32"/>
  <c r="F20" i="32" s="1"/>
  <c r="E12" i="22"/>
  <c r="F12" i="22" s="1"/>
  <c r="E11" i="22" s="1"/>
  <c r="F11" i="22" s="1"/>
  <c r="F13" i="22" s="1"/>
  <c r="H13" i="22" s="1"/>
  <c r="E16" i="34"/>
  <c r="F16" i="34" s="1"/>
  <c r="E16" i="19"/>
  <c r="F16" i="19" s="1"/>
  <c r="E15" i="19"/>
  <c r="F15" i="19" s="1"/>
  <c r="E14" i="19"/>
  <c r="F14" i="19" s="1"/>
  <c r="E13" i="19"/>
  <c r="F13" i="19" s="1"/>
  <c r="E11" i="19"/>
  <c r="F11" i="19" s="1"/>
  <c r="E16" i="14"/>
  <c r="E12" i="18"/>
  <c r="F12" i="18" s="1"/>
  <c r="F19" i="17"/>
  <c r="E12" i="3"/>
  <c r="F12" i="3" s="1"/>
  <c r="E15" i="3"/>
  <c r="F15" i="3" s="1"/>
  <c r="E13" i="3"/>
  <c r="F13" i="3" s="1"/>
  <c r="E11" i="3"/>
  <c r="F11" i="3" s="1"/>
  <c r="E14" i="3"/>
  <c r="F14" i="3" s="1"/>
  <c r="E19" i="68"/>
  <c r="F19" i="68" s="1"/>
  <c r="E15" i="62"/>
  <c r="E21" i="54"/>
  <c r="F21" i="54" s="1"/>
  <c r="E22" i="52"/>
  <c r="E18" i="50"/>
  <c r="F18" i="50" s="1"/>
  <c r="E18" i="47"/>
  <c r="E18" i="53"/>
  <c r="F18" i="53" s="1"/>
  <c r="E18" i="51"/>
  <c r="F18" i="51" s="1"/>
  <c r="E18" i="49"/>
  <c r="F18" i="49" s="1"/>
  <c r="E18" i="46"/>
  <c r="F18" i="46" s="1"/>
  <c r="E11" i="40"/>
  <c r="F11" i="40" s="1"/>
  <c r="E15" i="16"/>
  <c r="E15" i="28"/>
  <c r="F15" i="28" s="1"/>
  <c r="C17" i="38" l="1"/>
  <c r="F21" i="82"/>
  <c r="G75" i="111"/>
  <c r="F21" i="72"/>
  <c r="AD180" i="111"/>
  <c r="J98" i="111"/>
  <c r="H12" i="109"/>
  <c r="F13" i="109"/>
  <c r="F15" i="109" s="1"/>
  <c r="F57" i="2" s="1"/>
  <c r="F22" i="52"/>
  <c r="F19" i="42"/>
  <c r="F20" i="42"/>
  <c r="F16" i="23"/>
  <c r="F20" i="43"/>
  <c r="F17" i="63"/>
  <c r="H17" i="63" s="1"/>
  <c r="AD177" i="111"/>
  <c r="C345" i="110"/>
  <c r="J345" i="110" s="1"/>
  <c r="A284" i="110"/>
  <c r="B284" i="110" s="1"/>
  <c r="K233" i="111"/>
  <c r="L233" i="111" s="1"/>
  <c r="J177" i="110"/>
  <c r="C340" i="110"/>
  <c r="J340" i="110" s="1"/>
  <c r="A298" i="110"/>
  <c r="B298" i="110" s="1"/>
  <c r="E13" i="69"/>
  <c r="F13" i="69" s="1"/>
  <c r="F21" i="86"/>
  <c r="F22" i="40"/>
  <c r="X176" i="111"/>
  <c r="Y176" i="111" s="1"/>
  <c r="E11" i="72"/>
  <c r="F11" i="72" s="1"/>
  <c r="F14" i="72" s="1"/>
  <c r="H14" i="72" s="1"/>
  <c r="F14" i="75"/>
  <c r="F17" i="96"/>
  <c r="H17" i="96" s="1"/>
  <c r="E11" i="88"/>
  <c r="F11" i="88" s="1"/>
  <c r="F15" i="88" s="1"/>
  <c r="H15" i="88" s="1"/>
  <c r="E11" i="100"/>
  <c r="F11" i="100" s="1"/>
  <c r="F15" i="100" s="1"/>
  <c r="H15" i="100" s="1"/>
  <c r="F14" i="18"/>
  <c r="H14" i="18" s="1"/>
  <c r="F21" i="38"/>
  <c r="F15" i="93"/>
  <c r="H15" i="93" s="1"/>
  <c r="F13" i="74"/>
  <c r="H13" i="74" s="1"/>
  <c r="N16" i="75"/>
  <c r="F19" i="32"/>
  <c r="A299" i="110"/>
  <c r="B299" i="110" s="1"/>
  <c r="F13" i="68"/>
  <c r="H13" i="68" s="1"/>
  <c r="Z182" i="111"/>
  <c r="AB182" i="111" s="1"/>
  <c r="AC182" i="111" s="1"/>
  <c r="AD182" i="111"/>
  <c r="AA175" i="111"/>
  <c r="AA176" i="111"/>
  <c r="AC176" i="111" s="1"/>
  <c r="F20" i="17"/>
  <c r="F21" i="17" s="1"/>
  <c r="H21" i="17" s="1"/>
  <c r="B58" i="110"/>
  <c r="C52" i="111"/>
  <c r="B123" i="110" s="1"/>
  <c r="B39" i="110"/>
  <c r="C339" i="110"/>
  <c r="J339" i="110" s="1"/>
  <c r="C343" i="110"/>
  <c r="J343" i="110" s="1"/>
  <c r="F18" i="47"/>
  <c r="F13" i="90"/>
  <c r="H13" i="90" s="1"/>
  <c r="H68" i="111"/>
  <c r="F20" i="121"/>
  <c r="E11" i="122"/>
  <c r="F11" i="122" s="1"/>
  <c r="F14" i="122" s="1"/>
  <c r="H14" i="122" s="1"/>
  <c r="F16" i="15"/>
  <c r="F11" i="45"/>
  <c r="E13" i="45" s="1"/>
  <c r="F13" i="45" s="1"/>
  <c r="F14" i="45" s="1"/>
  <c r="H14" i="45" s="1"/>
  <c r="C346" i="110"/>
  <c r="J346" i="110" s="1"/>
  <c r="F20" i="81"/>
  <c r="J462" i="110"/>
  <c r="J451" i="110" s="1"/>
  <c r="H71" i="111"/>
  <c r="F15" i="77"/>
  <c r="F16" i="77" s="1"/>
  <c r="H16" i="77" s="1"/>
  <c r="G76" i="111"/>
  <c r="H28" i="111"/>
  <c r="E37" i="111" s="1"/>
  <c r="F21" i="88"/>
  <c r="P16" i="84"/>
  <c r="F15" i="56"/>
  <c r="B36" i="110"/>
  <c r="F20" i="72"/>
  <c r="E11" i="33"/>
  <c r="F11" i="33" s="1"/>
  <c r="F15" i="33" s="1"/>
  <c r="H15" i="33" s="1"/>
  <c r="C51" i="111"/>
  <c r="F100" i="111"/>
  <c r="E20" i="69"/>
  <c r="F20" i="69" s="1"/>
  <c r="F22" i="69" s="1"/>
  <c r="H22" i="69" s="1"/>
  <c r="F21" i="121"/>
  <c r="Z180" i="111"/>
  <c r="AB180" i="111" s="1"/>
  <c r="AC180" i="111" s="1"/>
  <c r="F19" i="116"/>
  <c r="F15" i="63"/>
  <c r="E14" i="54"/>
  <c r="F14" i="54" s="1"/>
  <c r="F15" i="54" s="1"/>
  <c r="H15" i="54" s="1"/>
  <c r="E11" i="97"/>
  <c r="F11" i="97" s="1"/>
  <c r="F15" i="97" s="1"/>
  <c r="H15" i="97" s="1"/>
  <c r="F16" i="14"/>
  <c r="F17" i="62"/>
  <c r="E11" i="98"/>
  <c r="F11" i="98" s="1"/>
  <c r="F15" i="98" s="1"/>
  <c r="H15" i="98" s="1"/>
  <c r="Z181" i="111"/>
  <c r="AB181" i="111" s="1"/>
  <c r="AC181" i="111" s="1"/>
  <c r="AA174" i="111"/>
  <c r="F22" i="38"/>
  <c r="F97" i="111"/>
  <c r="B49" i="110"/>
  <c r="E11" i="94"/>
  <c r="F11" i="94" s="1"/>
  <c r="F15" i="94" s="1"/>
  <c r="H15" i="94" s="1"/>
  <c r="AD176" i="111"/>
  <c r="E11" i="73"/>
  <c r="F11" i="73" s="1"/>
  <c r="F14" i="73" s="1"/>
  <c r="H14" i="73" s="1"/>
  <c r="F15" i="14"/>
  <c r="E12" i="19"/>
  <c r="F12" i="19" s="1"/>
  <c r="F17" i="19" s="1"/>
  <c r="H17" i="19" s="1"/>
  <c r="E11" i="65"/>
  <c r="F11" i="65" s="1"/>
  <c r="F15" i="65" s="1"/>
  <c r="H15" i="65" s="1"/>
  <c r="F13" i="92"/>
  <c r="H13" i="92" s="1"/>
  <c r="Z179" i="111"/>
  <c r="AB179" i="111" s="1"/>
  <c r="AC179" i="111" s="1"/>
  <c r="B56" i="110"/>
  <c r="F12" i="86"/>
  <c r="E11" i="86" s="1"/>
  <c r="F11" i="86" s="1"/>
  <c r="F14" i="86" s="1"/>
  <c r="H14" i="86" s="1"/>
  <c r="F15" i="62"/>
  <c r="F21" i="65"/>
  <c r="B112" i="110"/>
  <c r="B125" i="110"/>
  <c r="F107" i="1"/>
  <c r="F168" i="1"/>
  <c r="G168" i="1" s="1"/>
  <c r="F105" i="1"/>
  <c r="F109" i="1"/>
  <c r="J420" i="110"/>
  <c r="J409" i="110" s="1"/>
  <c r="L167" i="111"/>
  <c r="E13" i="36"/>
  <c r="F13" i="36" s="1"/>
  <c r="F14" i="36" s="1"/>
  <c r="H14" i="36" s="1"/>
  <c r="C341" i="110"/>
  <c r="J341" i="110" s="1"/>
  <c r="D14" i="84"/>
  <c r="F14" i="84" s="1"/>
  <c r="C62" i="111"/>
  <c r="K157" i="111"/>
  <c r="L157" i="111" s="1"/>
  <c r="A286" i="110"/>
  <c r="B286" i="110" s="1"/>
  <c r="E11" i="81"/>
  <c r="F11" i="81" s="1"/>
  <c r="F14" i="81" s="1"/>
  <c r="H14" i="81" s="1"/>
  <c r="F21" i="122"/>
  <c r="J32" i="110"/>
  <c r="J21" i="110" s="1"/>
  <c r="D10" i="2" s="1"/>
  <c r="B7" i="14" s="1"/>
  <c r="I6" i="14" s="1"/>
  <c r="O11" i="75"/>
  <c r="C53" i="111"/>
  <c r="K223" i="111"/>
  <c r="L223" i="111" s="1"/>
  <c r="J306" i="110"/>
  <c r="J295" i="110" s="1"/>
  <c r="AD183" i="111"/>
  <c r="F21" i="40"/>
  <c r="J75" i="110"/>
  <c r="J64" i="110" s="1"/>
  <c r="D13" i="2" s="1"/>
  <c r="B7" i="18" s="1"/>
  <c r="AD175" i="111"/>
  <c r="F12" i="75"/>
  <c r="C344" i="110"/>
  <c r="J344" i="110" s="1"/>
  <c r="E12" i="37"/>
  <c r="F12" i="37" s="1"/>
  <c r="F14" i="37" s="1"/>
  <c r="H14" i="37" s="1"/>
  <c r="F15" i="16"/>
  <c r="F20" i="82"/>
  <c r="Z173" i="111"/>
  <c r="AB173" i="111" s="1"/>
  <c r="AC173" i="111" s="1"/>
  <c r="X179" i="111"/>
  <c r="Y179" i="111" s="1"/>
  <c r="F17" i="56"/>
  <c r="G77" i="111"/>
  <c r="G78" i="111" s="1"/>
  <c r="D16" i="56"/>
  <c r="F16" i="56" s="1"/>
  <c r="H100" i="111"/>
  <c r="K145" i="111"/>
  <c r="E17" i="38"/>
  <c r="F17" i="38" s="1"/>
  <c r="F12" i="48"/>
  <c r="E13" i="48" s="1"/>
  <c r="F13" i="48" s="1"/>
  <c r="F14" i="48" s="1"/>
  <c r="H14" i="48" s="1"/>
  <c r="F13" i="84"/>
  <c r="J449" i="110"/>
  <c r="J438" i="110" s="1"/>
  <c r="F20" i="23"/>
  <c r="F21" i="23" s="1"/>
  <c r="H21" i="23" s="1"/>
  <c r="C69" i="111"/>
  <c r="C76" i="111" s="1"/>
  <c r="H16" i="116"/>
  <c r="F23" i="32"/>
  <c r="F24" i="32" s="1"/>
  <c r="H24" i="32" s="1"/>
  <c r="F20" i="85"/>
  <c r="E11" i="67"/>
  <c r="F11" i="67" s="1"/>
  <c r="F16" i="67" s="1"/>
  <c r="H16" i="67" s="1"/>
  <c r="J293" i="110"/>
  <c r="J282" i="110" s="1"/>
  <c r="D35" i="2" s="1"/>
  <c r="Z183" i="111"/>
  <c r="AB183" i="111" s="1"/>
  <c r="AC183" i="111" s="1"/>
  <c r="E14" i="55"/>
  <c r="F14" i="55" s="1"/>
  <c r="F15" i="55" s="1"/>
  <c r="H15" i="55" s="1"/>
  <c r="F19" i="71"/>
  <c r="H19" i="71" s="1"/>
  <c r="AD179" i="111"/>
  <c r="N16" i="84"/>
  <c r="C342" i="110"/>
  <c r="J342" i="110" s="1"/>
  <c r="F17" i="57"/>
  <c r="H17" i="57" s="1"/>
  <c r="F23" i="54"/>
  <c r="F18" i="106"/>
  <c r="H18" i="106" s="1"/>
  <c r="J88" i="110"/>
  <c r="J77" i="110" s="1"/>
  <c r="D14" i="2" s="1"/>
  <c r="B7" i="19" s="1"/>
  <c r="F15" i="59"/>
  <c r="H15" i="59" s="1"/>
  <c r="E11" i="102"/>
  <c r="F11" i="102" s="1"/>
  <c r="F15" i="102" s="1"/>
  <c r="H15" i="102" s="1"/>
  <c r="E15" i="66"/>
  <c r="F15" i="66" s="1"/>
  <c r="F17" i="66" s="1"/>
  <c r="H17" i="66" s="1"/>
  <c r="AC174" i="111"/>
  <c r="H137" i="111" s="1"/>
  <c r="I137" i="111" s="1"/>
  <c r="K137" i="111" s="1"/>
  <c r="L137" i="111" s="1"/>
  <c r="H69" i="111"/>
  <c r="E19" i="115"/>
  <c r="F19" i="115" s="1"/>
  <c r="F22" i="115" s="1"/>
  <c r="H22" i="115" s="1"/>
  <c r="L99" i="111"/>
  <c r="F21" i="76"/>
  <c r="H70" i="111"/>
  <c r="J99" i="111"/>
  <c r="F21" i="85"/>
  <c r="C359" i="110"/>
  <c r="J359" i="110" s="1"/>
  <c r="J365" i="110" s="1"/>
  <c r="J354" i="110" s="1"/>
  <c r="E11" i="76"/>
  <c r="F11" i="76" s="1"/>
  <c r="F15" i="76" s="1"/>
  <c r="H15" i="76" s="1"/>
  <c r="F13" i="75"/>
  <c r="J144" i="110"/>
  <c r="J133" i="110" s="1"/>
  <c r="D20" i="2" s="1"/>
  <c r="B7" i="28" s="1"/>
  <c r="J199" i="110"/>
  <c r="J188" i="110" s="1"/>
  <c r="J186" i="110"/>
  <c r="J175" i="110" s="1"/>
  <c r="D25" i="2" s="1"/>
  <c r="AC177" i="111"/>
  <c r="F99" i="111"/>
  <c r="J280" i="110"/>
  <c r="J269" i="110" s="1"/>
  <c r="D34" i="2" s="1"/>
  <c r="B7" i="49" s="1"/>
  <c r="B51" i="110"/>
  <c r="J335" i="110"/>
  <c r="J324" i="110" s="1"/>
  <c r="F12" i="85"/>
  <c r="E11" i="85" s="1"/>
  <c r="F11" i="85" s="1"/>
  <c r="F14" i="85" s="1"/>
  <c r="H14" i="85" s="1"/>
  <c r="K197" i="111"/>
  <c r="L197" i="111" s="1"/>
  <c r="J407" i="110"/>
  <c r="J396" i="110" s="1"/>
  <c r="J254" i="110"/>
  <c r="J243" i="110" s="1"/>
  <c r="F15" i="29"/>
  <c r="F15" i="91"/>
  <c r="H15" i="91" s="1"/>
  <c r="AC175" i="111"/>
  <c r="F19" i="117"/>
  <c r="K150" i="111"/>
  <c r="L150" i="111" s="1"/>
  <c r="F7" i="118"/>
  <c r="F14" i="43"/>
  <c r="H14" i="43" s="1"/>
  <c r="E12" i="35"/>
  <c r="F12" i="35" s="1"/>
  <c r="F14" i="35" s="1"/>
  <c r="H14" i="35" s="1"/>
  <c r="F17" i="108"/>
  <c r="H17" i="108" s="1"/>
  <c r="E14" i="40"/>
  <c r="F14" i="40" s="1"/>
  <c r="F15" i="40" s="1"/>
  <c r="H15" i="40" s="1"/>
  <c r="F14" i="38"/>
  <c r="H14" i="38" s="1"/>
  <c r="E15" i="52"/>
  <c r="F15" i="52" s="1"/>
  <c r="F16" i="52" s="1"/>
  <c r="H16" i="52" s="1"/>
  <c r="F16" i="3"/>
  <c r="H16" i="3" s="1"/>
  <c r="F15" i="107"/>
  <c r="H15" i="107" s="1"/>
  <c r="J45" i="110"/>
  <c r="J34" i="110" s="1"/>
  <c r="D11" i="2" s="1"/>
  <c r="B7" i="15" s="1"/>
  <c r="J8" i="15" s="1"/>
  <c r="J9" i="15" s="1"/>
  <c r="E12" i="112"/>
  <c r="F12" i="112" s="1"/>
  <c r="F14" i="112" s="1"/>
  <c r="H14" i="112" s="1"/>
  <c r="K54" i="111"/>
  <c r="G125" i="110" s="1"/>
  <c r="J125" i="110" s="1"/>
  <c r="G112" i="110"/>
  <c r="J112" i="110" s="1"/>
  <c r="F15" i="17"/>
  <c r="D16" i="17"/>
  <c r="F16" i="17" s="1"/>
  <c r="I219" i="110"/>
  <c r="J203" i="110"/>
  <c r="J212" i="110" s="1"/>
  <c r="J201" i="110" s="1"/>
  <c r="J394" i="110"/>
  <c r="J383" i="110" s="1"/>
  <c r="J433" i="110"/>
  <c r="J422" i="110" s="1"/>
  <c r="E11" i="82"/>
  <c r="F11" i="82" s="1"/>
  <c r="F14" i="82" s="1"/>
  <c r="H14" i="82" s="1"/>
  <c r="F21" i="116"/>
  <c r="H21" i="116" s="1"/>
  <c r="H18" i="120"/>
  <c r="E20" i="120"/>
  <c r="F20" i="120" s="1"/>
  <c r="F22" i="120" s="1"/>
  <c r="H22" i="120" s="1"/>
  <c r="G148" i="110"/>
  <c r="I148" i="110" s="1"/>
  <c r="J148" i="110" s="1"/>
  <c r="J157" i="110" s="1"/>
  <c r="J146" i="110" s="1"/>
  <c r="D21" i="2" s="1"/>
  <c r="J51" i="111"/>
  <c r="G110" i="110"/>
  <c r="J110" i="110" s="1"/>
  <c r="K52" i="111"/>
  <c r="G123" i="110" s="1"/>
  <c r="J123" i="110" s="1"/>
  <c r="J173" i="110"/>
  <c r="E11" i="121"/>
  <c r="F11" i="121" s="1"/>
  <c r="F14" i="121" s="1"/>
  <c r="H14" i="121" s="1"/>
  <c r="G92" i="110"/>
  <c r="J92" i="110" s="1"/>
  <c r="J101" i="110" s="1"/>
  <c r="J90" i="110" s="1"/>
  <c r="D15" i="2" s="1"/>
  <c r="B7" i="20" s="1"/>
  <c r="E39" i="111"/>
  <c r="G61" i="110" s="1"/>
  <c r="J61" i="110" s="1"/>
  <c r="J62" i="110" s="1"/>
  <c r="J47" i="110" s="1"/>
  <c r="D12" i="2" s="1"/>
  <c r="O16" i="84"/>
  <c r="O11" i="84"/>
  <c r="F15" i="69"/>
  <c r="H15" i="69" s="1"/>
  <c r="G111" i="110"/>
  <c r="J111" i="110" s="1"/>
  <c r="K53" i="111"/>
  <c r="G124" i="110" s="1"/>
  <c r="J124" i="110" s="1"/>
  <c r="E13" i="120"/>
  <c r="F13" i="120" s="1"/>
  <c r="F15" i="120" s="1"/>
  <c r="H15" i="120" s="1"/>
  <c r="L97" i="111"/>
  <c r="L100" i="111"/>
  <c r="X182" i="111"/>
  <c r="Y182" i="111" s="1"/>
  <c r="X183" i="111"/>
  <c r="Y183" i="111" s="1"/>
  <c r="X177" i="111"/>
  <c r="Y177" i="111" s="1"/>
  <c r="H97" i="111"/>
  <c r="F98" i="111"/>
  <c r="D25" i="38"/>
  <c r="F25" i="38" s="1"/>
  <c r="J100" i="111"/>
  <c r="D27" i="2"/>
  <c r="B7" i="43" s="1"/>
  <c r="X180" i="111"/>
  <c r="Y180" i="111" s="1"/>
  <c r="C71" i="111"/>
  <c r="J97" i="111"/>
  <c r="D24" i="38"/>
  <c r="F24" i="38" s="1"/>
  <c r="D26" i="2"/>
  <c r="AD181" i="111"/>
  <c r="X173" i="111"/>
  <c r="B38" i="110"/>
  <c r="A285" i="110"/>
  <c r="B285" i="110" s="1"/>
  <c r="D23" i="38"/>
  <c r="F23" i="38" s="1"/>
  <c r="X181" i="111"/>
  <c r="Y181" i="111" s="1"/>
  <c r="AA178" i="111"/>
  <c r="AC178" i="111" s="1"/>
  <c r="G104" i="1"/>
  <c r="C64" i="111"/>
  <c r="C63" i="111"/>
  <c r="D51" i="2"/>
  <c r="F116" i="1"/>
  <c r="D50" i="2"/>
  <c r="B7" i="70" s="1"/>
  <c r="C371" i="110"/>
  <c r="J371" i="110" s="1"/>
  <c r="J378" i="110" s="1"/>
  <c r="J367" i="110" s="1"/>
  <c r="H98" i="111"/>
  <c r="C316" i="110"/>
  <c r="J316" i="110" s="1"/>
  <c r="J322" i="110" s="1"/>
  <c r="J311" i="110" s="1"/>
  <c r="X175" i="111"/>
  <c r="Y175" i="111" s="1"/>
  <c r="AD174" i="111"/>
  <c r="F106" i="1"/>
  <c r="B110" i="110"/>
  <c r="D32" i="2"/>
  <c r="B7" i="47" s="1"/>
  <c r="X174" i="111"/>
  <c r="Y174" i="111" s="1"/>
  <c r="P11" i="75"/>
  <c r="X178" i="111"/>
  <c r="F24" i="120" l="1"/>
  <c r="F6" i="120" s="1"/>
  <c r="F7" i="120" s="1"/>
  <c r="H23" i="115"/>
  <c r="E11" i="77"/>
  <c r="F11" i="77" s="1"/>
  <c r="H139" i="111"/>
  <c r="I139" i="111" s="1"/>
  <c r="K139" i="111" s="1"/>
  <c r="L139" i="111" s="1"/>
  <c r="B109" i="110"/>
  <c r="B148" i="110"/>
  <c r="C68" i="111"/>
  <c r="B122" i="110"/>
  <c r="F198" i="111"/>
  <c r="I198" i="111" s="1"/>
  <c r="K198" i="111" s="1"/>
  <c r="L198" i="111" s="1"/>
  <c r="L199" i="111" s="1"/>
  <c r="L200" i="111" s="1"/>
  <c r="J349" i="110"/>
  <c r="J337" i="110" s="1"/>
  <c r="F214" i="111"/>
  <c r="I214" i="111" s="1"/>
  <c r="K214" i="111" s="1"/>
  <c r="L214" i="111" s="1"/>
  <c r="L215" i="111" s="1"/>
  <c r="L216" i="111" s="1"/>
  <c r="F24" i="69"/>
  <c r="F6" i="69" s="1"/>
  <c r="F7" i="69" s="1"/>
  <c r="H138" i="111"/>
  <c r="I138" i="111" s="1"/>
  <c r="K138" i="111" s="1"/>
  <c r="L138" i="111" s="1"/>
  <c r="E11" i="84"/>
  <c r="F11" i="84" s="1"/>
  <c r="F15" i="84" s="1"/>
  <c r="H15" i="84" s="1"/>
  <c r="E11" i="75"/>
  <c r="F11" i="75" s="1"/>
  <c r="F15" i="75" s="1"/>
  <c r="H15" i="75" s="1"/>
  <c r="D40" i="2"/>
  <c r="B7" i="55" s="1"/>
  <c r="C70" i="111"/>
  <c r="B124" i="110"/>
  <c r="B111" i="110"/>
  <c r="G109" i="1"/>
  <c r="E11" i="23"/>
  <c r="F11" i="23" s="1"/>
  <c r="F12" i="23" s="1"/>
  <c r="E15" i="22"/>
  <c r="F15" i="22" s="1"/>
  <c r="F16" i="22" s="1"/>
  <c r="E11" i="17"/>
  <c r="F11" i="17" s="1"/>
  <c r="F12" i="17" s="1"/>
  <c r="E11" i="15"/>
  <c r="F11" i="15" s="1"/>
  <c r="E11" i="24"/>
  <c r="F11" i="24" s="1"/>
  <c r="F12" i="24" s="1"/>
  <c r="E12" i="15"/>
  <c r="F12" i="15" s="1"/>
  <c r="D44" i="2"/>
  <c r="B7" i="62" s="1"/>
  <c r="G105" i="1"/>
  <c r="E12" i="14"/>
  <c r="F12" i="14" s="1"/>
  <c r="D39" i="2"/>
  <c r="B7" i="54" s="1"/>
  <c r="D48" i="2"/>
  <c r="B7" i="65" s="1"/>
  <c r="D45" i="2"/>
  <c r="B7" i="63" s="1"/>
  <c r="G107" i="1"/>
  <c r="E11" i="14"/>
  <c r="F11" i="14" s="1"/>
  <c r="C134" i="111"/>
  <c r="F143" i="111" s="1"/>
  <c r="D36" i="2"/>
  <c r="B7" i="53" s="1"/>
  <c r="D49" i="2"/>
  <c r="B7" i="66" s="1"/>
  <c r="F23" i="116"/>
  <c r="F6" i="116" s="1"/>
  <c r="F7" i="116" s="1"/>
  <c r="B7" i="29"/>
  <c r="B7" i="24"/>
  <c r="B7" i="17"/>
  <c r="B7" i="16"/>
  <c r="F158" i="111"/>
  <c r="I158" i="111" s="1"/>
  <c r="K158" i="111" s="1"/>
  <c r="L158" i="111" s="1"/>
  <c r="L159" i="111" s="1"/>
  <c r="F224" i="111"/>
  <c r="I224" i="111" s="1"/>
  <c r="K224" i="111" s="1"/>
  <c r="L224" i="111" s="1"/>
  <c r="L225" i="111" s="1"/>
  <c r="F151" i="111"/>
  <c r="I151" i="111" s="1"/>
  <c r="K151" i="111" s="1"/>
  <c r="L151" i="111" s="1"/>
  <c r="L152" i="111" s="1"/>
  <c r="F234" i="111"/>
  <c r="I234" i="111" s="1"/>
  <c r="K234" i="111" s="1"/>
  <c r="L234" i="111" s="1"/>
  <c r="L235" i="111" s="1"/>
  <c r="Y173" i="111"/>
  <c r="F111" i="1"/>
  <c r="F110" i="1"/>
  <c r="F114" i="1"/>
  <c r="F115" i="1"/>
  <c r="F113" i="1"/>
  <c r="G106" i="1"/>
  <c r="F108" i="1"/>
  <c r="F112" i="1"/>
  <c r="E14" i="53"/>
  <c r="F14" i="53" s="1"/>
  <c r="F15" i="53" s="1"/>
  <c r="E14" i="51"/>
  <c r="F14" i="51" s="1"/>
  <c r="F15" i="51" s="1"/>
  <c r="G109" i="110"/>
  <c r="J109" i="110" s="1"/>
  <c r="J118" i="110" s="1"/>
  <c r="J107" i="110" s="1"/>
  <c r="D18" i="2" s="1"/>
  <c r="K51" i="111"/>
  <c r="G122" i="110" s="1"/>
  <c r="J122" i="110" s="1"/>
  <c r="J131" i="110" s="1"/>
  <c r="J120" i="110" s="1"/>
  <c r="D19" i="2" s="1"/>
  <c r="B7" i="51"/>
  <c r="B7" i="50"/>
  <c r="B7" i="37"/>
  <c r="B7" i="42"/>
  <c r="Y178" i="111"/>
  <c r="F140" i="111"/>
  <c r="I140" i="111" s="1"/>
  <c r="K140" i="111" s="1"/>
  <c r="L140" i="111" s="1"/>
  <c r="F118" i="1"/>
  <c r="G118" i="1" s="1"/>
  <c r="F117" i="1"/>
  <c r="G116" i="1"/>
  <c r="J162" i="110"/>
  <c r="D24" i="2" s="1"/>
  <c r="F258" i="110"/>
  <c r="J258" i="110" s="1"/>
  <c r="J267" i="110" s="1"/>
  <c r="J256" i="110" s="1"/>
  <c r="D33" i="2" s="1"/>
  <c r="B7" i="48" s="1"/>
  <c r="I232" i="110"/>
  <c r="J232" i="110" s="1"/>
  <c r="J241" i="110" s="1"/>
  <c r="J230" i="110" s="1"/>
  <c r="D31" i="2" s="1"/>
  <c r="J219" i="110"/>
  <c r="J228" i="110" s="1"/>
  <c r="J217" i="110" s="1"/>
  <c r="D30" i="2" s="1"/>
  <c r="B7" i="45" s="1"/>
  <c r="D24" i="45" s="1"/>
  <c r="B7" i="68"/>
  <c r="B7" i="81"/>
  <c r="B7" i="40"/>
  <c r="B7" i="36"/>
  <c r="D41" i="2"/>
  <c r="B7" i="56" s="1"/>
  <c r="B7" i="106" l="1"/>
  <c r="L141" i="111"/>
  <c r="C75" i="111"/>
  <c r="C133" i="111"/>
  <c r="F142" i="111" s="1"/>
  <c r="H12" i="24"/>
  <c r="E14" i="24"/>
  <c r="F14" i="24" s="1"/>
  <c r="F16" i="24" s="1"/>
  <c r="H16" i="24" s="1"/>
  <c r="E14" i="17"/>
  <c r="F14" i="17" s="1"/>
  <c r="F17" i="17" s="1"/>
  <c r="H17" i="17" s="1"/>
  <c r="H12" i="17"/>
  <c r="E18" i="22"/>
  <c r="F18" i="22" s="1"/>
  <c r="F20" i="22" s="1"/>
  <c r="H20" i="22" s="1"/>
  <c r="H16" i="22"/>
  <c r="E14" i="23"/>
  <c r="F14" i="23" s="1"/>
  <c r="F17" i="23" s="1"/>
  <c r="H17" i="23" s="1"/>
  <c r="H12" i="23"/>
  <c r="F13" i="14"/>
  <c r="F13" i="15"/>
  <c r="B7" i="67"/>
  <c r="C77" i="111"/>
  <c r="C135" i="111"/>
  <c r="F144" i="111" s="1"/>
  <c r="L143" i="111"/>
  <c r="L144" i="111"/>
  <c r="L142" i="111"/>
  <c r="E17" i="107"/>
  <c r="F17" i="107" s="1"/>
  <c r="F18" i="107" s="1"/>
  <c r="E20" i="106"/>
  <c r="F20" i="106" s="1"/>
  <c r="F21" i="106" s="1"/>
  <c r="G114" i="1"/>
  <c r="E19" i="108"/>
  <c r="F19" i="108" s="1"/>
  <c r="F20" i="108" s="1"/>
  <c r="E21" i="71"/>
  <c r="F21" i="71" s="1"/>
  <c r="F22" i="71" s="1"/>
  <c r="E14" i="104"/>
  <c r="F14" i="104" s="1"/>
  <c r="F15" i="104" s="1"/>
  <c r="G111" i="1"/>
  <c r="E16" i="86"/>
  <c r="F16" i="86" s="1"/>
  <c r="F17" i="86" s="1"/>
  <c r="E14" i="103"/>
  <c r="F14" i="103" s="1"/>
  <c r="F15" i="103" s="1"/>
  <c r="E16" i="122"/>
  <c r="F16" i="122" s="1"/>
  <c r="F17" i="122" s="1"/>
  <c r="E16" i="85"/>
  <c r="F16" i="85" s="1"/>
  <c r="F17" i="85" s="1"/>
  <c r="E11" i="114"/>
  <c r="F11" i="114" s="1"/>
  <c r="F12" i="114" s="1"/>
  <c r="E16" i="121"/>
  <c r="F16" i="121" s="1"/>
  <c r="F17" i="121" s="1"/>
  <c r="E14" i="105"/>
  <c r="F14" i="105" s="1"/>
  <c r="F15" i="105" s="1"/>
  <c r="E17" i="93"/>
  <c r="F17" i="93" s="1"/>
  <c r="F18" i="93" s="1"/>
  <c r="E17" i="59"/>
  <c r="F17" i="59" s="1"/>
  <c r="F18" i="59" s="1"/>
  <c r="E14" i="46"/>
  <c r="F14" i="46" s="1"/>
  <c r="F15" i="46" s="1"/>
  <c r="E14" i="99"/>
  <c r="F14" i="99" s="1"/>
  <c r="F15" i="99" s="1"/>
  <c r="E16" i="81"/>
  <c r="F16" i="81" s="1"/>
  <c r="F17" i="81" s="1"/>
  <c r="E14" i="78"/>
  <c r="F14" i="78" s="1"/>
  <c r="F15" i="78" s="1"/>
  <c r="E18" i="77"/>
  <c r="F18" i="77" s="1"/>
  <c r="F19" i="77" s="1"/>
  <c r="E16" i="73"/>
  <c r="F16" i="73" s="1"/>
  <c r="F17" i="73" s="1"/>
  <c r="E15" i="25"/>
  <c r="F15" i="25" s="1"/>
  <c r="F16" i="25" s="1"/>
  <c r="E15" i="90"/>
  <c r="F15" i="90" s="1"/>
  <c r="F16" i="90" s="1"/>
  <c r="E14" i="30"/>
  <c r="F14" i="30" s="1"/>
  <c r="F15" i="30" s="1"/>
  <c r="E15" i="92"/>
  <c r="F15" i="92" s="1"/>
  <c r="F16" i="92" s="1"/>
  <c r="E14" i="70"/>
  <c r="F14" i="70" s="1"/>
  <c r="F15" i="70" s="1"/>
  <c r="H15" i="70" s="1"/>
  <c r="F17" i="70" s="1"/>
  <c r="F6" i="70" s="1"/>
  <c r="E19" i="57"/>
  <c r="F19" i="57" s="1"/>
  <c r="F20" i="57" s="1"/>
  <c r="E17" i="33"/>
  <c r="F17" i="33" s="1"/>
  <c r="F18" i="33" s="1"/>
  <c r="E11" i="29"/>
  <c r="F11" i="29" s="1"/>
  <c r="F12" i="29" s="1"/>
  <c r="E15" i="68"/>
  <c r="F15" i="68" s="1"/>
  <c r="F16" i="68" s="1"/>
  <c r="E17" i="65"/>
  <c r="F17" i="65" s="1"/>
  <c r="F18" i="65" s="1"/>
  <c r="E11" i="27"/>
  <c r="F11" i="27" s="1"/>
  <c r="F12" i="27" s="1"/>
  <c r="E11" i="63"/>
  <c r="F11" i="63" s="1"/>
  <c r="F12" i="63" s="1"/>
  <c r="E16" i="18"/>
  <c r="F16" i="18" s="1"/>
  <c r="F17" i="18" s="1"/>
  <c r="E17" i="91"/>
  <c r="F17" i="91" s="1"/>
  <c r="F18" i="91" s="1"/>
  <c r="E16" i="82"/>
  <c r="F16" i="82" s="1"/>
  <c r="F17" i="82" s="1"/>
  <c r="E16" i="72"/>
  <c r="F16" i="72" s="1"/>
  <c r="F17" i="72" s="1"/>
  <c r="E14" i="61"/>
  <c r="F14" i="61" s="1"/>
  <c r="F15" i="61" s="1"/>
  <c r="E14" i="60"/>
  <c r="F14" i="60" s="1"/>
  <c r="F15" i="60" s="1"/>
  <c r="E14" i="50"/>
  <c r="F14" i="50" s="1"/>
  <c r="F15" i="50" s="1"/>
  <c r="E16" i="48"/>
  <c r="F16" i="48" s="1"/>
  <c r="F17" i="48" s="1"/>
  <c r="E17" i="76"/>
  <c r="F17" i="76" s="1"/>
  <c r="F18" i="76" s="1"/>
  <c r="E14" i="49"/>
  <c r="F14" i="49" s="1"/>
  <c r="F15" i="49" s="1"/>
  <c r="E15" i="39"/>
  <c r="F15" i="39" s="1"/>
  <c r="F16" i="39" s="1"/>
  <c r="E15" i="32"/>
  <c r="F15" i="32" s="1"/>
  <c r="F16" i="32" s="1"/>
  <c r="G115" i="1"/>
  <c r="E15" i="74"/>
  <c r="F15" i="74" s="1"/>
  <c r="F16" i="74" s="1"/>
  <c r="B7" i="22"/>
  <c r="B7" i="26"/>
  <c r="G110" i="1"/>
  <c r="E16" i="112"/>
  <c r="F16" i="112" s="1"/>
  <c r="F17" i="112" s="1"/>
  <c r="E15" i="117"/>
  <c r="F15" i="117" s="1"/>
  <c r="F16" i="117" s="1"/>
  <c r="E16" i="45"/>
  <c r="F16" i="45" s="1"/>
  <c r="F17" i="45" s="1"/>
  <c r="E14" i="80"/>
  <c r="F14" i="80" s="1"/>
  <c r="F15" i="80" s="1"/>
  <c r="E11" i="34"/>
  <c r="F11" i="34" s="1"/>
  <c r="F12" i="34" s="1"/>
  <c r="E11" i="31"/>
  <c r="F11" i="31" s="1"/>
  <c r="F12" i="31" s="1"/>
  <c r="E14" i="58"/>
  <c r="F14" i="58" s="1"/>
  <c r="F15" i="58" s="1"/>
  <c r="E11" i="26"/>
  <c r="F11" i="26" s="1"/>
  <c r="F12" i="26" s="1"/>
  <c r="E16" i="35"/>
  <c r="F16" i="35" s="1"/>
  <c r="F17" i="35" s="1"/>
  <c r="E17" i="88"/>
  <c r="F17" i="88" s="1"/>
  <c r="F18" i="88" s="1"/>
  <c r="E16" i="43"/>
  <c r="F16" i="43" s="1"/>
  <c r="F17" i="43" s="1"/>
  <c r="E17" i="40"/>
  <c r="F17" i="40" s="1"/>
  <c r="F18" i="40" s="1"/>
  <c r="E16" i="36"/>
  <c r="F16" i="36" s="1"/>
  <c r="F17" i="36" s="1"/>
  <c r="B7" i="52"/>
  <c r="B7" i="46"/>
  <c r="B7" i="23"/>
  <c r="B7" i="21"/>
  <c r="H15" i="51"/>
  <c r="E17" i="51"/>
  <c r="F17" i="51" s="1"/>
  <c r="F19" i="51" s="1"/>
  <c r="H19" i="51" s="1"/>
  <c r="E17" i="53"/>
  <c r="F17" i="53" s="1"/>
  <c r="F19" i="53" s="1"/>
  <c r="H19" i="53" s="1"/>
  <c r="H15" i="53"/>
  <c r="B7" i="38"/>
  <c r="B7" i="35"/>
  <c r="G112" i="1"/>
  <c r="E16" i="37"/>
  <c r="F16" i="37" s="1"/>
  <c r="F17" i="37" s="1"/>
  <c r="E15" i="42"/>
  <c r="F15" i="42" s="1"/>
  <c r="F16" i="42" s="1"/>
  <c r="E15" i="41"/>
  <c r="F15" i="41" s="1"/>
  <c r="F16" i="41" s="1"/>
  <c r="E15" i="44"/>
  <c r="F15" i="44" s="1"/>
  <c r="F16" i="44" s="1"/>
  <c r="E19" i="96"/>
  <c r="F19" i="96" s="1"/>
  <c r="F20" i="96" s="1"/>
  <c r="E17" i="84"/>
  <c r="F17" i="84" s="1"/>
  <c r="F18" i="84" s="1"/>
  <c r="E17" i="55"/>
  <c r="F17" i="55" s="1"/>
  <c r="F18" i="55" s="1"/>
  <c r="E11" i="56"/>
  <c r="F11" i="56" s="1"/>
  <c r="F12" i="56" s="1"/>
  <c r="G108" i="1"/>
  <c r="E18" i="67"/>
  <c r="F18" i="67" s="1"/>
  <c r="F19" i="67" s="1"/>
  <c r="E11" i="62"/>
  <c r="F11" i="62" s="1"/>
  <c r="F12" i="62" s="1"/>
  <c r="E11" i="47"/>
  <c r="F11" i="47" s="1"/>
  <c r="F12" i="47" s="1"/>
  <c r="E17" i="75"/>
  <c r="F17" i="75" s="1"/>
  <c r="F18" i="75" s="1"/>
  <c r="E11" i="28"/>
  <c r="F11" i="28" s="1"/>
  <c r="F12" i="28" s="1"/>
  <c r="E14" i="87"/>
  <c r="F14" i="87" s="1"/>
  <c r="F15" i="87" s="1"/>
  <c r="E19" i="19"/>
  <c r="F19" i="19" s="1"/>
  <c r="F20" i="19" s="1"/>
  <c r="E11" i="21"/>
  <c r="E11" i="16"/>
  <c r="F11" i="16" s="1"/>
  <c r="F12" i="16" s="1"/>
  <c r="E17" i="54"/>
  <c r="F17" i="54" s="1"/>
  <c r="F18" i="54" s="1"/>
  <c r="E18" i="3"/>
  <c r="F18" i="3" s="1"/>
  <c r="F19" i="3" s="1"/>
  <c r="G117" i="1"/>
  <c r="E24" i="115"/>
  <c r="F24" i="115" s="1"/>
  <c r="F25" i="115" s="1"/>
  <c r="H25" i="115" s="1"/>
  <c r="G113" i="1"/>
  <c r="E17" i="102"/>
  <c r="F17" i="102" s="1"/>
  <c r="F18" i="102" s="1"/>
  <c r="E17" i="97"/>
  <c r="F17" i="97" s="1"/>
  <c r="F18" i="97" s="1"/>
  <c r="E17" i="98"/>
  <c r="F17" i="98" s="1"/>
  <c r="F18" i="98" s="1"/>
  <c r="E17" i="100"/>
  <c r="F17" i="100" s="1"/>
  <c r="F18" i="100" s="1"/>
  <c r="E17" i="94"/>
  <c r="F17" i="94" s="1"/>
  <c r="F18" i="94" s="1"/>
  <c r="E16" i="38"/>
  <c r="F16" i="38" s="1"/>
  <c r="F18" i="38" s="1"/>
  <c r="E18" i="52"/>
  <c r="F18" i="52" s="1"/>
  <c r="F19" i="52" s="1"/>
  <c r="E19" i="66"/>
  <c r="F19" i="66" s="1"/>
  <c r="F20" i="66" s="1"/>
  <c r="E11" i="20"/>
  <c r="F11" i="20" s="1"/>
  <c r="F12" i="20" s="1"/>
  <c r="H26" i="115" l="1"/>
  <c r="F27" i="115" s="1"/>
  <c r="F23" i="17"/>
  <c r="F6" i="17" s="1"/>
  <c r="E12" i="2" s="1"/>
  <c r="F12" i="2" s="1"/>
  <c r="F18" i="24"/>
  <c r="F6" i="24" s="1"/>
  <c r="F7" i="24" s="1"/>
  <c r="F21" i="53"/>
  <c r="F6" i="53" s="1"/>
  <c r="F7" i="53" s="1"/>
  <c r="F23" i="23"/>
  <c r="F6" i="23" s="1"/>
  <c r="F7" i="23" s="1"/>
  <c r="F22" i="22"/>
  <c r="F6" i="22" s="1"/>
  <c r="F7" i="22" s="1"/>
  <c r="L145" i="111"/>
  <c r="E15" i="15"/>
  <c r="F15" i="15" s="1"/>
  <c r="F17" i="15" s="1"/>
  <c r="H17" i="15" s="1"/>
  <c r="H13" i="15"/>
  <c r="H13" i="14"/>
  <c r="E18" i="14"/>
  <c r="F18" i="14" s="1"/>
  <c r="F19" i="14" s="1"/>
  <c r="H19" i="14" s="1"/>
  <c r="H18" i="33"/>
  <c r="E20" i="33"/>
  <c r="F20" i="33" s="1"/>
  <c r="F22" i="33" s="1"/>
  <c r="H22" i="33" s="1"/>
  <c r="H12" i="62"/>
  <c r="E14" i="62"/>
  <c r="F14" i="62" s="1"/>
  <c r="F18" i="62" s="1"/>
  <c r="H18" i="62" s="1"/>
  <c r="E17" i="49"/>
  <c r="F17" i="49" s="1"/>
  <c r="F19" i="49" s="1"/>
  <c r="H19" i="49" s="1"/>
  <c r="H15" i="49"/>
  <c r="H15" i="78"/>
  <c r="E17" i="78"/>
  <c r="F17" i="78" s="1"/>
  <c r="F18" i="78" s="1"/>
  <c r="H18" i="78" s="1"/>
  <c r="H19" i="67"/>
  <c r="E21" i="67"/>
  <c r="F21" i="67" s="1"/>
  <c r="F22" i="67" s="1"/>
  <c r="H22" i="67" s="1"/>
  <c r="H17" i="45"/>
  <c r="E19" i="45"/>
  <c r="F19" i="45" s="1"/>
  <c r="F20" i="45" s="1"/>
  <c r="H20" i="45" s="1"/>
  <c r="H16" i="117"/>
  <c r="E18" i="117"/>
  <c r="F18" i="117" s="1"/>
  <c r="F21" i="117" s="1"/>
  <c r="H21" i="117" s="1"/>
  <c r="H17" i="48"/>
  <c r="E19" i="48"/>
  <c r="F19" i="48" s="1"/>
  <c r="F20" i="48" s="1"/>
  <c r="H20" i="48" s="1"/>
  <c r="E14" i="29"/>
  <c r="F14" i="29" s="1"/>
  <c r="F16" i="29" s="1"/>
  <c r="H16" i="29" s="1"/>
  <c r="H12" i="29"/>
  <c r="E17" i="99"/>
  <c r="F17" i="99" s="1"/>
  <c r="F20" i="99" s="1"/>
  <c r="H20" i="99" s="1"/>
  <c r="H15" i="99"/>
  <c r="F22" i="99" s="1"/>
  <c r="F6" i="99" s="1"/>
  <c r="F7" i="99" s="1"/>
  <c r="H15" i="104"/>
  <c r="E17" i="104"/>
  <c r="F17" i="104" s="1"/>
  <c r="F20" i="104" s="1"/>
  <c r="H20" i="104" s="1"/>
  <c r="H15" i="46"/>
  <c r="E17" i="46"/>
  <c r="F17" i="46" s="1"/>
  <c r="F19" i="46" s="1"/>
  <c r="H19" i="46" s="1"/>
  <c r="E17" i="50"/>
  <c r="F17" i="50" s="1"/>
  <c r="F19" i="50" s="1"/>
  <c r="H19" i="50" s="1"/>
  <c r="H15" i="50"/>
  <c r="H18" i="40"/>
  <c r="E20" i="40"/>
  <c r="F20" i="40" s="1"/>
  <c r="F23" i="40" s="1"/>
  <c r="H23" i="40" s="1"/>
  <c r="H18" i="59"/>
  <c r="E20" i="59"/>
  <c r="F20" i="59" s="1"/>
  <c r="F21" i="59" s="1"/>
  <c r="H21" i="59" s="1"/>
  <c r="E22" i="57"/>
  <c r="F22" i="57" s="1"/>
  <c r="F23" i="57" s="1"/>
  <c r="H23" i="57" s="1"/>
  <c r="H20" i="57"/>
  <c r="F25" i="57" s="1"/>
  <c r="F6" i="57" s="1"/>
  <c r="F7" i="57" s="1"/>
  <c r="E24" i="71"/>
  <c r="F24" i="71" s="1"/>
  <c r="F28" i="71" s="1"/>
  <c r="H28" i="71" s="1"/>
  <c r="H22" i="71"/>
  <c r="E21" i="52"/>
  <c r="F21" i="52" s="1"/>
  <c r="F23" i="52" s="1"/>
  <c r="H23" i="52" s="1"/>
  <c r="H19" i="52"/>
  <c r="E14" i="16"/>
  <c r="F14" i="16" s="1"/>
  <c r="F16" i="16" s="1"/>
  <c r="H16" i="16" s="1"/>
  <c r="H12" i="16"/>
  <c r="H18" i="84"/>
  <c r="E20" i="84"/>
  <c r="F20" i="84" s="1"/>
  <c r="F22" i="84" s="1"/>
  <c r="H22" i="84" s="1"/>
  <c r="E19" i="43"/>
  <c r="F19" i="43" s="1"/>
  <c r="F21" i="43" s="1"/>
  <c r="H21" i="43" s="1"/>
  <c r="H17" i="43"/>
  <c r="H15" i="61"/>
  <c r="E17" i="61"/>
  <c r="F17" i="61" s="1"/>
  <c r="F18" i="61" s="1"/>
  <c r="H18" i="61" s="1"/>
  <c r="E50" i="2"/>
  <c r="F50" i="2" s="1"/>
  <c r="F7" i="70"/>
  <c r="E20" i="93"/>
  <c r="F20" i="93" s="1"/>
  <c r="F21" i="93" s="1"/>
  <c r="H21" i="93" s="1"/>
  <c r="H18" i="93"/>
  <c r="F23" i="93" s="1"/>
  <c r="F6" i="93" s="1"/>
  <c r="F7" i="93" s="1"/>
  <c r="H20" i="108"/>
  <c r="E22" i="108"/>
  <c r="F22" i="108" s="1"/>
  <c r="F23" i="108" s="1"/>
  <c r="H23" i="108" s="1"/>
  <c r="H12" i="20"/>
  <c r="E14" i="20"/>
  <c r="F14" i="20" s="1"/>
  <c r="F16" i="20" s="1"/>
  <c r="H16" i="20" s="1"/>
  <c r="E20" i="54"/>
  <c r="F20" i="54" s="1"/>
  <c r="F24" i="54" s="1"/>
  <c r="H24" i="54" s="1"/>
  <c r="H18" i="54"/>
  <c r="H15" i="60"/>
  <c r="E17" i="60"/>
  <c r="F17" i="60" s="1"/>
  <c r="F18" i="60" s="1"/>
  <c r="H18" i="60" s="1"/>
  <c r="H18" i="38"/>
  <c r="E20" i="38"/>
  <c r="F20" i="38" s="1"/>
  <c r="F26" i="38" s="1"/>
  <c r="H26" i="38" s="1"/>
  <c r="F11" i="21"/>
  <c r="F12" i="21" s="1"/>
  <c r="J5" i="21"/>
  <c r="E22" i="96"/>
  <c r="F22" i="96" s="1"/>
  <c r="F23" i="96" s="1"/>
  <c r="H23" i="96" s="1"/>
  <c r="H20" i="96"/>
  <c r="E20" i="88"/>
  <c r="F20" i="88" s="1"/>
  <c r="F22" i="88" s="1"/>
  <c r="H22" i="88" s="1"/>
  <c r="H18" i="88"/>
  <c r="F24" i="88" s="1"/>
  <c r="F6" i="88" s="1"/>
  <c r="F7" i="88" s="1"/>
  <c r="E19" i="72"/>
  <c r="F19" i="72" s="1"/>
  <c r="F22" i="72" s="1"/>
  <c r="H22" i="72" s="1"/>
  <c r="H17" i="72"/>
  <c r="E18" i="92"/>
  <c r="F18" i="92" s="1"/>
  <c r="F19" i="92" s="1"/>
  <c r="H19" i="92" s="1"/>
  <c r="H16" i="92"/>
  <c r="F21" i="92" s="1"/>
  <c r="F6" i="92" s="1"/>
  <c r="F7" i="92" s="1"/>
  <c r="E17" i="105"/>
  <c r="F17" i="105" s="1"/>
  <c r="F20" i="105" s="1"/>
  <c r="H20" i="105" s="1"/>
  <c r="H15" i="105"/>
  <c r="E14" i="56"/>
  <c r="F14" i="56" s="1"/>
  <c r="F18" i="56" s="1"/>
  <c r="H18" i="56" s="1"/>
  <c r="H12" i="56"/>
  <c r="E20" i="55"/>
  <c r="F20" i="55" s="1"/>
  <c r="F24" i="55" s="1"/>
  <c r="H24" i="55" s="1"/>
  <c r="H18" i="55"/>
  <c r="E36" i="2"/>
  <c r="F36" i="2" s="1"/>
  <c r="H16" i="44"/>
  <c r="E18" i="44"/>
  <c r="F18" i="44" s="1"/>
  <c r="F21" i="44" s="1"/>
  <c r="H21" i="44" s="1"/>
  <c r="E19" i="35"/>
  <c r="F19" i="35" s="1"/>
  <c r="F22" i="35" s="1"/>
  <c r="H22" i="35" s="1"/>
  <c r="H17" i="35"/>
  <c r="H17" i="82"/>
  <c r="E19" i="82"/>
  <c r="F19" i="82" s="1"/>
  <c r="F22" i="82" s="1"/>
  <c r="H22" i="82" s="1"/>
  <c r="H15" i="30"/>
  <c r="E17" i="30"/>
  <c r="F17" i="30" s="1"/>
  <c r="F19" i="30" s="1"/>
  <c r="H19" i="30" s="1"/>
  <c r="H17" i="121"/>
  <c r="E19" i="121"/>
  <c r="F19" i="121" s="1"/>
  <c r="F22" i="121" s="1"/>
  <c r="H22" i="121" s="1"/>
  <c r="H21" i="106"/>
  <c r="E23" i="106"/>
  <c r="F23" i="106" s="1"/>
  <c r="F24" i="106" s="1"/>
  <c r="H24" i="106" s="1"/>
  <c r="E22" i="66"/>
  <c r="F22" i="66" s="1"/>
  <c r="F23" i="66" s="1"/>
  <c r="H23" i="66" s="1"/>
  <c r="H20" i="66"/>
  <c r="E20" i="94"/>
  <c r="F20" i="94" s="1"/>
  <c r="F22" i="94" s="1"/>
  <c r="H22" i="94" s="1"/>
  <c r="H18" i="94"/>
  <c r="F24" i="94" s="1"/>
  <c r="F6" i="94" s="1"/>
  <c r="F7" i="94" s="1"/>
  <c r="E22" i="19"/>
  <c r="F22" i="19" s="1"/>
  <c r="F23" i="19" s="1"/>
  <c r="H23" i="19" s="1"/>
  <c r="H20" i="19"/>
  <c r="E20" i="100"/>
  <c r="F20" i="100" s="1"/>
  <c r="F22" i="100" s="1"/>
  <c r="H22" i="100" s="1"/>
  <c r="H18" i="100"/>
  <c r="H15" i="87"/>
  <c r="E17" i="87"/>
  <c r="F17" i="87" s="1"/>
  <c r="F20" i="87" s="1"/>
  <c r="H20" i="87" s="1"/>
  <c r="E18" i="41"/>
  <c r="F18" i="41" s="1"/>
  <c r="F21" i="41" s="1"/>
  <c r="H21" i="41" s="1"/>
  <c r="H16" i="41"/>
  <c r="F23" i="41" s="1"/>
  <c r="F6" i="41" s="1"/>
  <c r="F7" i="41" s="1"/>
  <c r="F21" i="51"/>
  <c r="F6" i="51" s="1"/>
  <c r="H12" i="26"/>
  <c r="E14" i="26"/>
  <c r="F14" i="26" s="1"/>
  <c r="F15" i="26" s="1"/>
  <c r="H15" i="26" s="1"/>
  <c r="H16" i="74"/>
  <c r="E18" i="74"/>
  <c r="F18" i="74" s="1"/>
  <c r="F20" i="74" s="1"/>
  <c r="H20" i="74" s="1"/>
  <c r="H18" i="91"/>
  <c r="E20" i="91"/>
  <c r="F20" i="91" s="1"/>
  <c r="F21" i="91" s="1"/>
  <c r="H21" i="91" s="1"/>
  <c r="E18" i="90"/>
  <c r="F18" i="90" s="1"/>
  <c r="F20" i="90" s="1"/>
  <c r="H20" i="90" s="1"/>
  <c r="H16" i="90"/>
  <c r="H12" i="114"/>
  <c r="E14" i="114"/>
  <c r="F14" i="114" s="1"/>
  <c r="F17" i="114" s="1"/>
  <c r="H17" i="114" s="1"/>
  <c r="E20" i="107"/>
  <c r="F20" i="107" s="1"/>
  <c r="F21" i="107" s="1"/>
  <c r="H21" i="107" s="1"/>
  <c r="H18" i="107"/>
  <c r="E20" i="98"/>
  <c r="F20" i="98" s="1"/>
  <c r="F22" i="98" s="1"/>
  <c r="H22" i="98" s="1"/>
  <c r="H18" i="98"/>
  <c r="H16" i="42"/>
  <c r="E18" i="42"/>
  <c r="F18" i="42" s="1"/>
  <c r="F21" i="42" s="1"/>
  <c r="H21" i="42" s="1"/>
  <c r="E19" i="18"/>
  <c r="F19" i="18" s="1"/>
  <c r="F20" i="18" s="1"/>
  <c r="H20" i="18" s="1"/>
  <c r="H17" i="18"/>
  <c r="H17" i="85"/>
  <c r="E19" i="85"/>
  <c r="F19" i="85" s="1"/>
  <c r="F22" i="85" s="1"/>
  <c r="H22" i="85" s="1"/>
  <c r="H17" i="36"/>
  <c r="E19" i="36"/>
  <c r="F19" i="36" s="1"/>
  <c r="F22" i="36" s="1"/>
  <c r="H22" i="36" s="1"/>
  <c r="H12" i="28"/>
  <c r="E14" i="28"/>
  <c r="F14" i="28" s="1"/>
  <c r="F16" i="28" s="1"/>
  <c r="H16" i="28" s="1"/>
  <c r="E17" i="58"/>
  <c r="F17" i="58" s="1"/>
  <c r="F18" i="58" s="1"/>
  <c r="H18" i="58" s="1"/>
  <c r="H15" i="58"/>
  <c r="H16" i="25"/>
  <c r="E18" i="25"/>
  <c r="F18" i="25" s="1"/>
  <c r="F19" i="25" s="1"/>
  <c r="H19" i="25" s="1"/>
  <c r="E20" i="97"/>
  <c r="F20" i="97" s="1"/>
  <c r="F22" i="97" s="1"/>
  <c r="H22" i="97" s="1"/>
  <c r="H18" i="97"/>
  <c r="E20" i="75"/>
  <c r="F20" i="75" s="1"/>
  <c r="F22" i="75" s="1"/>
  <c r="H22" i="75" s="1"/>
  <c r="H18" i="75"/>
  <c r="H17" i="37"/>
  <c r="E19" i="37"/>
  <c r="F19" i="37" s="1"/>
  <c r="F21" i="37" s="1"/>
  <c r="H21" i="37" s="1"/>
  <c r="E14" i="31"/>
  <c r="F14" i="31" s="1"/>
  <c r="F16" i="31" s="1"/>
  <c r="H16" i="31" s="1"/>
  <c r="H12" i="31"/>
  <c r="H16" i="32"/>
  <c r="E18" i="32"/>
  <c r="F18" i="32" s="1"/>
  <c r="F21" i="32" s="1"/>
  <c r="H21" i="32" s="1"/>
  <c r="E14" i="63"/>
  <c r="F14" i="63" s="1"/>
  <c r="H12" i="63"/>
  <c r="F19" i="63" s="1"/>
  <c r="F6" i="63" s="1"/>
  <c r="H17" i="73"/>
  <c r="E19" i="73"/>
  <c r="F19" i="73" s="1"/>
  <c r="F22" i="73" s="1"/>
  <c r="H22" i="73" s="1"/>
  <c r="E19" i="122"/>
  <c r="F19" i="122" s="1"/>
  <c r="F22" i="122" s="1"/>
  <c r="H22" i="122" s="1"/>
  <c r="H17" i="122"/>
  <c r="H19" i="3"/>
  <c r="E21" i="3"/>
  <c r="F21" i="3" s="1"/>
  <c r="F22" i="3" s="1"/>
  <c r="H22" i="3" s="1"/>
  <c r="E14" i="47"/>
  <c r="F14" i="47" s="1"/>
  <c r="F19" i="47" s="1"/>
  <c r="H19" i="47" s="1"/>
  <c r="H12" i="47"/>
  <c r="E14" i="27"/>
  <c r="F14" i="27" s="1"/>
  <c r="F17" i="27" s="1"/>
  <c r="H17" i="27" s="1"/>
  <c r="H12" i="27"/>
  <c r="H19" i="77"/>
  <c r="E21" i="77"/>
  <c r="F21" i="77" s="1"/>
  <c r="F22" i="77" s="1"/>
  <c r="H22" i="77" s="1"/>
  <c r="H15" i="103"/>
  <c r="E17" i="103"/>
  <c r="F17" i="103" s="1"/>
  <c r="F20" i="103" s="1"/>
  <c r="H20" i="103" s="1"/>
  <c r="H17" i="112"/>
  <c r="E19" i="112"/>
  <c r="F19" i="112" s="1"/>
  <c r="F22" i="112" s="1"/>
  <c r="H22" i="112" s="1"/>
  <c r="E14" i="34"/>
  <c r="F14" i="34" s="1"/>
  <c r="F17" i="34" s="1"/>
  <c r="H17" i="34" s="1"/>
  <c r="H12" i="34"/>
  <c r="E17" i="80"/>
  <c r="F17" i="80" s="1"/>
  <c r="F19" i="80" s="1"/>
  <c r="H19" i="80" s="1"/>
  <c r="H15" i="80"/>
  <c r="H17" i="86"/>
  <c r="E19" i="86"/>
  <c r="F19" i="86" s="1"/>
  <c r="F22" i="86" s="1"/>
  <c r="H22" i="86" s="1"/>
  <c r="H18" i="102"/>
  <c r="E20" i="102"/>
  <c r="F20" i="102" s="1"/>
  <c r="F22" i="102" s="1"/>
  <c r="H22" i="102" s="1"/>
  <c r="H16" i="39"/>
  <c r="E18" i="39"/>
  <c r="F18" i="39" s="1"/>
  <c r="F19" i="39" s="1"/>
  <c r="H19" i="39" s="1"/>
  <c r="E20" i="65"/>
  <c r="F20" i="65" s="1"/>
  <c r="F22" i="65" s="1"/>
  <c r="H22" i="65" s="1"/>
  <c r="H18" i="65"/>
  <c r="E20" i="76"/>
  <c r="F20" i="76" s="1"/>
  <c r="F22" i="76" s="1"/>
  <c r="H22" i="76" s="1"/>
  <c r="H18" i="76"/>
  <c r="H16" i="68"/>
  <c r="E18" i="68"/>
  <c r="F18" i="68" s="1"/>
  <c r="F20" i="68" s="1"/>
  <c r="H20" i="68" s="1"/>
  <c r="E19" i="81"/>
  <c r="F19" i="81" s="1"/>
  <c r="F22" i="81" s="1"/>
  <c r="H22" i="81" s="1"/>
  <c r="H17" i="81"/>
  <c r="F24" i="100" l="1"/>
  <c r="F6" i="100" s="1"/>
  <c r="F7" i="100" s="1"/>
  <c r="F24" i="35"/>
  <c r="F6" i="35" s="1"/>
  <c r="F7" i="35" s="1"/>
  <c r="F7" i="17"/>
  <c r="F29" i="115"/>
  <c r="F20" i="56"/>
  <c r="F6" i="56" s="1"/>
  <c r="F25" i="52"/>
  <c r="F21" i="14"/>
  <c r="F6" i="14" s="1"/>
  <c r="E18" i="2"/>
  <c r="F18" i="2" s="1"/>
  <c r="F24" i="76"/>
  <c r="F6" i="76" s="1"/>
  <c r="F7" i="76" s="1"/>
  <c r="F21" i="80"/>
  <c r="F6" i="80" s="1"/>
  <c r="F7" i="80" s="1"/>
  <c r="F21" i="47"/>
  <c r="F6" i="47" s="1"/>
  <c r="F7" i="47" s="1"/>
  <c r="F18" i="31"/>
  <c r="F6" i="31" s="1"/>
  <c r="F7" i="31" s="1"/>
  <c r="F25" i="66"/>
  <c r="F6" i="66" s="1"/>
  <c r="F7" i="66" s="1"/>
  <c r="F26" i="55"/>
  <c r="F6" i="55" s="1"/>
  <c r="E40" i="2" s="1"/>
  <c r="F40" i="2" s="1"/>
  <c r="F24" i="72"/>
  <c r="F6" i="72" s="1"/>
  <c r="F7" i="72" s="1"/>
  <c r="F25" i="96"/>
  <c r="F6" i="96" s="1"/>
  <c r="F7" i="96" s="1"/>
  <c r="F23" i="43"/>
  <c r="F6" i="43" s="1"/>
  <c r="F7" i="43" s="1"/>
  <c r="F21" i="50"/>
  <c r="F6" i="50" s="1"/>
  <c r="F7" i="50" s="1"/>
  <c r="F18" i="29"/>
  <c r="F6" i="29" s="1"/>
  <c r="F7" i="29" s="1"/>
  <c r="F19" i="15"/>
  <c r="F6" i="15" s="1"/>
  <c r="E11" i="2" s="1"/>
  <c r="F11" i="2" s="1"/>
  <c r="F23" i="107"/>
  <c r="F6" i="107" s="1"/>
  <c r="F7" i="107" s="1"/>
  <c r="F22" i="104"/>
  <c r="F6" i="104" s="1"/>
  <c r="F7" i="104" s="1"/>
  <c r="F24" i="73"/>
  <c r="F6" i="73" s="1"/>
  <c r="F7" i="73" s="1"/>
  <c r="F24" i="36"/>
  <c r="F6" i="36" s="1"/>
  <c r="F7" i="36" s="1"/>
  <c r="F24" i="67"/>
  <c r="F6" i="67" s="1"/>
  <c r="E49" i="2" s="1"/>
  <c r="F49" i="2" s="1"/>
  <c r="F24" i="86"/>
  <c r="F6" i="86" s="1"/>
  <c r="F7" i="86" s="1"/>
  <c r="F24" i="82"/>
  <c r="F6" i="82" s="1"/>
  <c r="F7" i="82" s="1"/>
  <c r="F26" i="32"/>
  <c r="F6" i="32" s="1"/>
  <c r="F7" i="32" s="1"/>
  <c r="F28" i="38"/>
  <c r="F6" i="38" s="1"/>
  <c r="E24" i="2" s="1"/>
  <c r="F24" i="2" s="1"/>
  <c r="F24" i="85"/>
  <c r="F6" i="85" s="1"/>
  <c r="F7" i="85" s="1"/>
  <c r="F7" i="14"/>
  <c r="E10" i="2"/>
  <c r="F10" i="2" s="1"/>
  <c r="F19" i="114"/>
  <c r="F6" i="114" s="1"/>
  <c r="F7" i="114" s="1"/>
  <c r="F23" i="91"/>
  <c r="F6" i="91" s="1"/>
  <c r="F7" i="91" s="1"/>
  <c r="F24" i="3"/>
  <c r="F6" i="3" s="1"/>
  <c r="E9" i="2" s="1"/>
  <c r="F9" i="2" s="1"/>
  <c r="F24" i="112"/>
  <c r="F6" i="112" s="1"/>
  <c r="F7" i="112" s="1"/>
  <c r="F22" i="103"/>
  <c r="F6" i="103" s="1"/>
  <c r="F7" i="103" s="1"/>
  <c r="F21" i="39"/>
  <c r="F6" i="39" s="1"/>
  <c r="F7" i="39" s="1"/>
  <c r="F23" i="37"/>
  <c r="F6" i="37" s="1"/>
  <c r="F7" i="37" s="1"/>
  <c r="F17" i="26"/>
  <c r="F6" i="26" s="1"/>
  <c r="E19" i="2" s="1"/>
  <c r="F19" i="2" s="1"/>
  <c r="F26" i="54"/>
  <c r="F6" i="54" s="1"/>
  <c r="E39" i="2" s="1"/>
  <c r="F39" i="2" s="1"/>
  <c r="F18" i="16"/>
  <c r="F6" i="16" s="1"/>
  <c r="F7" i="16" s="1"/>
  <c r="F21" i="49"/>
  <c r="F6" i="49" s="1"/>
  <c r="E34" i="2" s="1"/>
  <c r="F34" i="2" s="1"/>
  <c r="E41" i="2"/>
  <c r="F41" i="2" s="1"/>
  <c r="F7" i="56"/>
  <c r="F6" i="52"/>
  <c r="F7" i="52" s="1"/>
  <c r="E31" i="2"/>
  <c r="F31" i="2" s="1"/>
  <c r="F24" i="97"/>
  <c r="F6" i="97" s="1"/>
  <c r="F7" i="97" s="1"/>
  <c r="F22" i="18"/>
  <c r="F6" i="18" s="1"/>
  <c r="F24" i="30"/>
  <c r="F6" i="30" s="1"/>
  <c r="F7" i="30" s="1"/>
  <c r="E14" i="21"/>
  <c r="F14" i="21" s="1"/>
  <c r="F15" i="21" s="1"/>
  <c r="H15" i="21" s="1"/>
  <c r="H12" i="21"/>
  <c r="F21" i="46"/>
  <c r="F6" i="46" s="1"/>
  <c r="F7" i="46" s="1"/>
  <c r="F22" i="45"/>
  <c r="F6" i="45" s="1"/>
  <c r="F24" i="81"/>
  <c r="F6" i="81" s="1"/>
  <c r="F25" i="19"/>
  <c r="F6" i="19" s="1"/>
  <c r="F22" i="105"/>
  <c r="F6" i="105" s="1"/>
  <c r="F7" i="105" s="1"/>
  <c r="F33" i="71"/>
  <c r="F6" i="71" s="1"/>
  <c r="F7" i="71" s="1"/>
  <c r="F23" i="42"/>
  <c r="F6" i="42" s="1"/>
  <c r="F24" i="102"/>
  <c r="F6" i="102" s="1"/>
  <c r="F7" i="102" s="1"/>
  <c r="F24" i="77"/>
  <c r="F6" i="77" s="1"/>
  <c r="F7" i="77" s="1"/>
  <c r="F21" i="25"/>
  <c r="F6" i="25" s="1"/>
  <c r="F7" i="25" s="1"/>
  <c r="F22" i="74"/>
  <c r="F6" i="74" s="1"/>
  <c r="F7" i="74" s="1"/>
  <c r="F22" i="68"/>
  <c r="F6" i="68" s="1"/>
  <c r="F7" i="68" s="1"/>
  <c r="F19" i="27"/>
  <c r="F6" i="27" s="1"/>
  <c r="F7" i="27" s="1"/>
  <c r="F20" i="58"/>
  <c r="F6" i="58" s="1"/>
  <c r="F7" i="58" s="1"/>
  <c r="F24" i="98"/>
  <c r="F6" i="98" s="1"/>
  <c r="F7" i="98" s="1"/>
  <c r="F20" i="60"/>
  <c r="F6" i="60" s="1"/>
  <c r="F7" i="60" s="1"/>
  <c r="F20" i="61"/>
  <c r="F6" i="61" s="1"/>
  <c r="F7" i="61" s="1"/>
  <c r="F20" i="78"/>
  <c r="F6" i="78" s="1"/>
  <c r="F7" i="78" s="1"/>
  <c r="F7" i="51"/>
  <c r="E35" i="2"/>
  <c r="F35" i="2" s="1"/>
  <c r="F23" i="44"/>
  <c r="F6" i="44" s="1"/>
  <c r="F7" i="44" s="1"/>
  <c r="F23" i="59"/>
  <c r="F6" i="59" s="1"/>
  <c r="F7" i="59" s="1"/>
  <c r="E45" i="2"/>
  <c r="F45" i="2" s="1"/>
  <c r="F7" i="63"/>
  <c r="F18" i="28"/>
  <c r="F6" i="28" s="1"/>
  <c r="E21" i="2"/>
  <c r="F21" i="2" s="1"/>
  <c r="F19" i="34"/>
  <c r="F6" i="34" s="1"/>
  <c r="F7" i="34" s="1"/>
  <c r="F26" i="106"/>
  <c r="F6" i="106" s="1"/>
  <c r="F7" i="106" s="1"/>
  <c r="F18" i="20"/>
  <c r="F6" i="20" s="1"/>
  <c r="F24" i="84"/>
  <c r="F6" i="84" s="1"/>
  <c r="F7" i="84" s="1"/>
  <c r="F25" i="40"/>
  <c r="F6" i="40" s="1"/>
  <c r="F22" i="48"/>
  <c r="F6" i="48" s="1"/>
  <c r="F20" i="62"/>
  <c r="F6" i="62" s="1"/>
  <c r="F7" i="55"/>
  <c r="F24" i="65"/>
  <c r="F6" i="65" s="1"/>
  <c r="F24" i="122"/>
  <c r="F6" i="122" s="1"/>
  <c r="F7" i="122" s="1"/>
  <c r="F24" i="75"/>
  <c r="F6" i="75" s="1"/>
  <c r="F7" i="75" s="1"/>
  <c r="F22" i="90"/>
  <c r="F6" i="90" s="1"/>
  <c r="F7" i="90" s="1"/>
  <c r="F22" i="87"/>
  <c r="F6" i="87" s="1"/>
  <c r="F7" i="87" s="1"/>
  <c r="F24" i="121"/>
  <c r="F6" i="121" s="1"/>
  <c r="F7" i="121" s="1"/>
  <c r="F25" i="108"/>
  <c r="F6" i="108" s="1"/>
  <c r="F7" i="108" s="1"/>
  <c r="F23" i="117"/>
  <c r="F6" i="117" s="1"/>
  <c r="F7" i="117" s="1"/>
  <c r="F24" i="33"/>
  <c r="F6" i="33" s="1"/>
  <c r="F7" i="33" s="1"/>
  <c r="E27" i="2" l="1"/>
  <c r="F27" i="2" s="1"/>
  <c r="F58" i="2"/>
  <c r="F6" i="115"/>
  <c r="F7" i="67"/>
  <c r="F7" i="26"/>
  <c r="E32" i="2"/>
  <c r="F32" i="2" s="1"/>
  <c r="F7" i="15"/>
  <c r="F7" i="54"/>
  <c r="F7" i="38"/>
  <c r="F7" i="49"/>
  <c r="F7" i="3"/>
  <c r="F17" i="21"/>
  <c r="F6" i="21" s="1"/>
  <c r="F7" i="21" s="1"/>
  <c r="F42" i="2"/>
  <c r="E30" i="2"/>
  <c r="F30" i="2" s="1"/>
  <c r="F7" i="45"/>
  <c r="E20" i="2"/>
  <c r="F20" i="2" s="1"/>
  <c r="F22" i="2" s="1"/>
  <c r="F7" i="28"/>
  <c r="F7" i="65"/>
  <c r="E48" i="2"/>
  <c r="F48" i="2" s="1"/>
  <c r="E33" i="2"/>
  <c r="F33" i="2" s="1"/>
  <c r="F7" i="48"/>
  <c r="E14" i="2"/>
  <c r="F14" i="2" s="1"/>
  <c r="F7" i="19"/>
  <c r="F7" i="81"/>
  <c r="E51" i="2"/>
  <c r="F51" i="2" s="1"/>
  <c r="F7" i="40"/>
  <c r="E25" i="2"/>
  <c r="F25" i="2" s="1"/>
  <c r="F7" i="62"/>
  <c r="E44" i="2"/>
  <c r="F44" i="2" s="1"/>
  <c r="F46" i="2" s="1"/>
  <c r="E13" i="2"/>
  <c r="F13" i="2" s="1"/>
  <c r="F7" i="18"/>
  <c r="F7" i="20"/>
  <c r="E15" i="2"/>
  <c r="F15" i="2" s="1"/>
  <c r="F7" i="42"/>
  <c r="E26" i="2"/>
  <c r="F26" i="2" s="1"/>
  <c r="F16" i="2" l="1"/>
  <c r="F53" i="2" s="1"/>
  <c r="F28" i="2"/>
  <c r="F37" i="2"/>
  <c r="F52" i="2"/>
  <c r="I85" i="111" l="1"/>
  <c r="F6" i="109" l="1"/>
  <c r="F54" i="2" l="1"/>
  <c r="F55" i="2"/>
  <c r="F56" i="2" l="1"/>
  <c r="F60" i="2" l="1"/>
  <c r="F61" i="2" l="1"/>
  <c r="F62" i="2" s="1"/>
  <c r="H6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Gilberto Fernández González</author>
    <author>Paola</author>
  </authors>
  <commentList>
    <comment ref="D4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PREFERIBLE POLIGONO 50CM MAS GRANDE QUE EL ELEMENTO INCLUIR SUPERFICIE DE CORTE </t>
        </r>
      </text>
    </comment>
    <comment ref="E32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Medir en civil a partir de imagen</t>
        </r>
      </text>
    </comment>
    <comment ref="D46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INGRESAR DIAMETRO Y LONGITUDES DE CAISON SEGÚN SECTOR</t>
        </r>
      </text>
    </comment>
    <comment ref="H51" authorId="1" shapeId="0" xr:uid="{00000000-0006-0000-0700-000004000000}">
      <text>
        <r>
          <rPr>
            <b/>
            <sz val="9"/>
            <color indexed="81"/>
            <rFont val="Tahoma"/>
            <family val="2"/>
          </rPr>
          <t>Datos de Movimientos de tierra del Civil 3D redondeado a 1 cifra decimal</t>
        </r>
      </text>
    </comment>
  </commentList>
</comments>
</file>

<file path=xl/sharedStrings.xml><?xml version="1.0" encoding="utf-8"?>
<sst xmlns="http://schemas.openxmlformats.org/spreadsheetml/2006/main" count="4802" uniqueCount="815">
  <si>
    <t>CLAVE</t>
  </si>
  <si>
    <t>TIPO</t>
  </si>
  <si>
    <t>DESCRICIÓN</t>
  </si>
  <si>
    <t>UNIDAD</t>
  </si>
  <si>
    <t>CANT</t>
  </si>
  <si>
    <t>V. UNITARIO</t>
  </si>
  <si>
    <t>V. PARCIAL</t>
  </si>
  <si>
    <t>M001</t>
  </si>
  <si>
    <t>MATERIALES</t>
  </si>
  <si>
    <t>KG</t>
  </si>
  <si>
    <t>M002</t>
  </si>
  <si>
    <t>Aditivos (antisol, plastificante, acelerante)</t>
  </si>
  <si>
    <t>M2</t>
  </si>
  <si>
    <t>M003</t>
  </si>
  <si>
    <t>Agua</t>
  </si>
  <si>
    <t>M004</t>
  </si>
  <si>
    <t>M005</t>
  </si>
  <si>
    <t>Alambron</t>
  </si>
  <si>
    <t>M006</t>
  </si>
  <si>
    <t>Alambre de pua</t>
  </si>
  <si>
    <t>ROLLO</t>
  </si>
  <si>
    <t>M007</t>
  </si>
  <si>
    <t>M008</t>
  </si>
  <si>
    <t>Marco y tapa en concreto caja de inspeccion</t>
  </si>
  <si>
    <t>ML</t>
  </si>
  <si>
    <t>M009</t>
  </si>
  <si>
    <t>Material arcilloso de alta plasticidad</t>
  </si>
  <si>
    <t>M3</t>
  </si>
  <si>
    <t>M010</t>
  </si>
  <si>
    <t>Arena de rio</t>
  </si>
  <si>
    <t>M011</t>
  </si>
  <si>
    <t>UND</t>
  </si>
  <si>
    <t>M012</t>
  </si>
  <si>
    <t>Piedra Bolo</t>
  </si>
  <si>
    <t>M013</t>
  </si>
  <si>
    <t>Bolsacreto (2.40x1.20*0.35m)</t>
  </si>
  <si>
    <t>M014</t>
  </si>
  <si>
    <t>HORA</t>
  </si>
  <si>
    <t>M015</t>
  </si>
  <si>
    <t>M016</t>
  </si>
  <si>
    <t>M017</t>
  </si>
  <si>
    <t>Carro tanque de agua (1000 galones)</t>
  </si>
  <si>
    <t>M018</t>
  </si>
  <si>
    <t>Cemento gris x 50 Kg</t>
  </si>
  <si>
    <t>M019</t>
  </si>
  <si>
    <t>M020</t>
  </si>
  <si>
    <t>Concreto 3000 psi 200kg/cm2</t>
  </si>
  <si>
    <t>M021</t>
  </si>
  <si>
    <t>M022</t>
  </si>
  <si>
    <t>M023</t>
  </si>
  <si>
    <t>Correctivos</t>
  </si>
  <si>
    <t>M024</t>
  </si>
  <si>
    <t>Detergentes y acidos</t>
  </si>
  <si>
    <t>M025</t>
  </si>
  <si>
    <t>Disposicion del material</t>
  </si>
  <si>
    <t>M026</t>
  </si>
  <si>
    <t>Emulsion CRL-1</t>
  </si>
  <si>
    <t>M027</t>
  </si>
  <si>
    <t>M028</t>
  </si>
  <si>
    <t>DIA</t>
  </si>
  <si>
    <t>M029</t>
  </si>
  <si>
    <t>Escolon de carrizo</t>
  </si>
  <si>
    <t>M030</t>
  </si>
  <si>
    <t>Estaca</t>
  </si>
  <si>
    <t>M031</t>
  </si>
  <si>
    <t>Fertilizantes</t>
  </si>
  <si>
    <t>M032</t>
  </si>
  <si>
    <t>Fibra de coco</t>
  </si>
  <si>
    <t>M033</t>
  </si>
  <si>
    <t>Gancho</t>
  </si>
  <si>
    <t>M034</t>
  </si>
  <si>
    <t>Geoesteras prefabricadas con hidromalla geoestera 50, de 0.20 m de espesor con funda para izado (incluye geocable de poliester para cierres, tensores y amarres)</t>
  </si>
  <si>
    <t>M035</t>
  </si>
  <si>
    <t>Geomalla uniaxial</t>
  </si>
  <si>
    <t>M036</t>
  </si>
  <si>
    <t>Geomanto permanente</t>
  </si>
  <si>
    <t>M037</t>
  </si>
  <si>
    <t>Geomanto no permanente</t>
  </si>
  <si>
    <t>M038</t>
  </si>
  <si>
    <t>Geomembrana HDPE cal 40</t>
  </si>
  <si>
    <t>M039</t>
  </si>
  <si>
    <t>M040</t>
  </si>
  <si>
    <t>Geotextil No Tejido 1600 Pavco</t>
  </si>
  <si>
    <t>M041</t>
  </si>
  <si>
    <t>Geomenbrana HDPE 40 MILS</t>
  </si>
  <si>
    <t>M042</t>
  </si>
  <si>
    <t>Geo textil tejido</t>
  </si>
  <si>
    <t>M043</t>
  </si>
  <si>
    <t>Grapa</t>
  </si>
  <si>
    <t>M044</t>
  </si>
  <si>
    <t>Hidroretenedor</t>
  </si>
  <si>
    <t>M045</t>
  </si>
  <si>
    <t>Instalacion electrica</t>
  </si>
  <si>
    <t>M046</t>
  </si>
  <si>
    <t>M047</t>
  </si>
  <si>
    <t>Semilla kikuyo</t>
  </si>
  <si>
    <t>M048</t>
  </si>
  <si>
    <t>Listón madera ordinaria 3x3x2.4 mts</t>
  </si>
  <si>
    <t>M049</t>
  </si>
  <si>
    <t>Lona Verde para Cerramiento</t>
  </si>
  <si>
    <t>M050</t>
  </si>
  <si>
    <t>M2 de campamento</t>
  </si>
  <si>
    <t>M051</t>
  </si>
  <si>
    <t>Malla electrosoldada calibre 10</t>
  </si>
  <si>
    <t>M052</t>
  </si>
  <si>
    <t>Madera Rolliza de 3 mts x 12 cms</t>
  </si>
  <si>
    <t>M053</t>
  </si>
  <si>
    <t>Caja en Malla Triple torsión Cal. 10 (dim. 2x1x1)</t>
  </si>
  <si>
    <t>M054</t>
  </si>
  <si>
    <t>M055</t>
  </si>
  <si>
    <t>M056</t>
  </si>
  <si>
    <t>Material Vegetal de reposicion</t>
  </si>
  <si>
    <t>M057</t>
  </si>
  <si>
    <t>Material vegetal</t>
  </si>
  <si>
    <t>M058</t>
  </si>
  <si>
    <t>Material de base (gradacion 1)</t>
  </si>
  <si>
    <t>M059</t>
  </si>
  <si>
    <t>Materiales para entibados (Incluye madera rolliza, tablas, tablon, puntillas)</t>
  </si>
  <si>
    <t>M060</t>
  </si>
  <si>
    <t>Material de prestamo para Relleno (puesto en obra)</t>
  </si>
  <si>
    <t>M061</t>
  </si>
  <si>
    <t>M062</t>
  </si>
  <si>
    <t>Mezcla fertil</t>
  </si>
  <si>
    <t>M063</t>
  </si>
  <si>
    <t>Microelementos</t>
  </si>
  <si>
    <t>M064</t>
  </si>
  <si>
    <t>Pie de amigo</t>
  </si>
  <si>
    <t>M065</t>
  </si>
  <si>
    <t>M066</t>
  </si>
  <si>
    <t>M067</t>
  </si>
  <si>
    <t>M068</t>
  </si>
  <si>
    <t>Puntilla corriente de 3"</t>
  </si>
  <si>
    <t>M069</t>
  </si>
  <si>
    <t>Puntilla Corriente de 2 1/2"</t>
  </si>
  <si>
    <t>M070</t>
  </si>
  <si>
    <t>M071</t>
  </si>
  <si>
    <t>Red polipropileno de 45mm (diam: 5mm)</t>
  </si>
  <si>
    <t>M072</t>
  </si>
  <si>
    <t>Sacos</t>
  </si>
  <si>
    <t>M073</t>
  </si>
  <si>
    <t>Semillas para empradizar</t>
  </si>
  <si>
    <t>M074</t>
  </si>
  <si>
    <t>Sika 1</t>
  </si>
  <si>
    <t>M075</t>
  </si>
  <si>
    <t>Ladrillo temosa</t>
  </si>
  <si>
    <t>M076</t>
  </si>
  <si>
    <t>Tierra negra abonada</t>
  </si>
  <si>
    <t>M077</t>
  </si>
  <si>
    <t>Triturado de 1/2"</t>
  </si>
  <si>
    <t>M078</t>
  </si>
  <si>
    <t>Triturado de 3/4"</t>
  </si>
  <si>
    <t>M079</t>
  </si>
  <si>
    <t>Popora de 4 agujeros conicos para cuña de 1/2"</t>
  </si>
  <si>
    <t>M080</t>
  </si>
  <si>
    <t>Platina metalica anclaje hr 3/4" 0.3*0.3</t>
  </si>
  <si>
    <t>M081</t>
  </si>
  <si>
    <t>M082</t>
  </si>
  <si>
    <t>Cuña de 1/2"</t>
  </si>
  <si>
    <t>M083</t>
  </si>
  <si>
    <t>Tuberia PVC Sanitario 6"</t>
  </si>
  <si>
    <t>M084</t>
  </si>
  <si>
    <t>Tubo Pvc Sanitario 2"</t>
  </si>
  <si>
    <t>M085</t>
  </si>
  <si>
    <t>Tubo Pvc Sanitario 4"</t>
  </si>
  <si>
    <t>M086</t>
  </si>
  <si>
    <t>Teja de zinc 2.5m x 0.8m</t>
  </si>
  <si>
    <t>M087</t>
  </si>
  <si>
    <t>Valla</t>
  </si>
  <si>
    <t>M088</t>
  </si>
  <si>
    <t>Valla de obra en lamina galvanizada</t>
  </si>
  <si>
    <t>M089</t>
  </si>
  <si>
    <t>Vetiver</t>
  </si>
  <si>
    <t>M090</t>
  </si>
  <si>
    <t>Concreto 1:2:3</t>
  </si>
  <si>
    <t>M091</t>
  </si>
  <si>
    <t>Desperdicio materiales</t>
  </si>
  <si>
    <t>(%)MAT</t>
  </si>
  <si>
    <t>M092</t>
  </si>
  <si>
    <t>M093</t>
  </si>
  <si>
    <t>Lechada para anclejes</t>
  </si>
  <si>
    <t>M094</t>
  </si>
  <si>
    <t>M095</t>
  </si>
  <si>
    <t>Válvula antirretorno 12"</t>
  </si>
  <si>
    <t>M096</t>
  </si>
  <si>
    <t>Tuberia concreto 36"</t>
  </si>
  <si>
    <t>M097</t>
  </si>
  <si>
    <t>M098</t>
  </si>
  <si>
    <t>Mortero 1:3</t>
  </si>
  <si>
    <t>MO001</t>
  </si>
  <si>
    <t>MANO DE OBRA</t>
  </si>
  <si>
    <t>Ayudante de Obra</t>
  </si>
  <si>
    <t>JOR</t>
  </si>
  <si>
    <t>MO002</t>
  </si>
  <si>
    <t>2 Cadeneros</t>
  </si>
  <si>
    <t>MO003</t>
  </si>
  <si>
    <t>Oficial de Obra</t>
  </si>
  <si>
    <t>MO004</t>
  </si>
  <si>
    <t>Topógrafo</t>
  </si>
  <si>
    <t>MO005</t>
  </si>
  <si>
    <t>Cuadrilla 1:3 (1Of+3 Ay)</t>
  </si>
  <si>
    <t>MO006</t>
  </si>
  <si>
    <t>Cuadrilla 1(1Ay)</t>
  </si>
  <si>
    <t>MO007</t>
  </si>
  <si>
    <t>Cuadrilla 1:1 (1Of+1 Ay)</t>
  </si>
  <si>
    <t>MO008</t>
  </si>
  <si>
    <t>Cuadrilla 1:2 (1Of+2 Ay)</t>
  </si>
  <si>
    <t>MO009</t>
  </si>
  <si>
    <t>Cuadrilla 1:6 (1Of+6 Ay)</t>
  </si>
  <si>
    <t>MO010</t>
  </si>
  <si>
    <t>Cuadrilla 1:4 (1Of+4 Ay)</t>
  </si>
  <si>
    <t>MO011</t>
  </si>
  <si>
    <t>Cuadrilla 1:7 (1Of+7 Ay)</t>
  </si>
  <si>
    <t>MO012</t>
  </si>
  <si>
    <t>Cuadrilla 1:5 (1Of+5 Ay)</t>
  </si>
  <si>
    <t>E001</t>
  </si>
  <si>
    <t>EQUIPOS</t>
  </si>
  <si>
    <t>Cinta y jalones</t>
  </si>
  <si>
    <t>E002</t>
  </si>
  <si>
    <t>Equipo de sellado manta de hormigon</t>
  </si>
  <si>
    <t>E003</t>
  </si>
  <si>
    <t>Pasamanos para andamio</t>
  </si>
  <si>
    <t>E004</t>
  </si>
  <si>
    <t>Polea de andamio colgante</t>
  </si>
  <si>
    <t>E005</t>
  </si>
  <si>
    <t>Tablero de 70 x 140</t>
  </si>
  <si>
    <t>E006</t>
  </si>
  <si>
    <t>Angulos para andamio</t>
  </si>
  <si>
    <t>E007</t>
  </si>
  <si>
    <t>E008</t>
  </si>
  <si>
    <t>Equipo de lanzado</t>
  </si>
  <si>
    <t>E009</t>
  </si>
  <si>
    <t>Equipo pilotes</t>
  </si>
  <si>
    <t>E010</t>
  </si>
  <si>
    <t>Equipo de tensionamiento</t>
  </si>
  <si>
    <t>E011</t>
  </si>
  <si>
    <t>Equipo de perforacion</t>
  </si>
  <si>
    <t>E012</t>
  </si>
  <si>
    <t>Equipo para encamisado</t>
  </si>
  <si>
    <t>E013</t>
  </si>
  <si>
    <t>Estacion para topografia</t>
  </si>
  <si>
    <t>E014</t>
  </si>
  <si>
    <t>Formaleta (cerchas, parales, tableros, maderas, chapetas, alineadores)</t>
  </si>
  <si>
    <t>E015</t>
  </si>
  <si>
    <t>Guadañadora</t>
  </si>
  <si>
    <t>E016</t>
  </si>
  <si>
    <t>Herramienta menor</t>
  </si>
  <si>
    <t>(%)MO</t>
  </si>
  <si>
    <t>E017</t>
  </si>
  <si>
    <t>Mezcladora de concreto de 2 bultos</t>
  </si>
  <si>
    <t>E018</t>
  </si>
  <si>
    <t>Nivel de precisión</t>
  </si>
  <si>
    <t>E019</t>
  </si>
  <si>
    <t>Retroexcavadora</t>
  </si>
  <si>
    <t>E020</t>
  </si>
  <si>
    <t>E021</t>
  </si>
  <si>
    <t>Vibrador para concreto</t>
  </si>
  <si>
    <t>E022</t>
  </si>
  <si>
    <t>Vibrocompactador Rana</t>
  </si>
  <si>
    <t>E023</t>
  </si>
  <si>
    <t>E024</t>
  </si>
  <si>
    <t>Andamio Colgante</t>
  </si>
  <si>
    <t>E025</t>
  </si>
  <si>
    <t>E026</t>
  </si>
  <si>
    <t>Planta generadora 7KVA</t>
  </si>
  <si>
    <t>E027</t>
  </si>
  <si>
    <t>karmix</t>
  </si>
  <si>
    <t>E028</t>
  </si>
  <si>
    <t>Equipo de bombeo</t>
  </si>
  <si>
    <t>E029</t>
  </si>
  <si>
    <t>Equipo para izado</t>
  </si>
  <si>
    <t>E030</t>
  </si>
  <si>
    <t>Equipo de termo fusion geomembrana</t>
  </si>
  <si>
    <t>E031</t>
  </si>
  <si>
    <t>Carro tanque irrigador de asfalto (capacidad 1000 GAL)</t>
  </si>
  <si>
    <t>E032</t>
  </si>
  <si>
    <t>Compresor (barrido y soplado)</t>
  </si>
  <si>
    <t>P001</t>
  </si>
  <si>
    <t>PMA</t>
  </si>
  <si>
    <t>T001</t>
  </si>
  <si>
    <t>TRANSPORTE</t>
  </si>
  <si>
    <t>Transporte de Material de Excavación</t>
  </si>
  <si>
    <t>T002</t>
  </si>
  <si>
    <t>Transporte de material en sitio</t>
  </si>
  <si>
    <t>T003</t>
  </si>
  <si>
    <t>C001</t>
  </si>
  <si>
    <t>CONCEPTO</t>
  </si>
  <si>
    <t>Construccion de camisa incluido Sistema odex</t>
  </si>
  <si>
    <t>ml</t>
  </si>
  <si>
    <t>ITEM</t>
  </si>
  <si>
    <t>C1</t>
  </si>
  <si>
    <t>PRELIMINARES</t>
  </si>
  <si>
    <t>1.00</t>
  </si>
  <si>
    <t>Campamento</t>
  </si>
  <si>
    <t>1.01</t>
  </si>
  <si>
    <t>Localización y Replanteo (Incluye equipos de precisión y/o Topogafía)</t>
  </si>
  <si>
    <t>1.02</t>
  </si>
  <si>
    <t>Desmonte y descapote</t>
  </si>
  <si>
    <t>1.03</t>
  </si>
  <si>
    <t>1.04</t>
  </si>
  <si>
    <t>Acarreo y retiro de escombros y sobrantes (al botadero y/o predio autorizado)</t>
  </si>
  <si>
    <t>1.05</t>
  </si>
  <si>
    <t>Valla Informativa (dim. 5.00 x 2.8 mts.)</t>
  </si>
  <si>
    <t>1.06</t>
  </si>
  <si>
    <t>Cerramiento con tela de polipropileno</t>
  </si>
  <si>
    <t>Demolición de estructuras existente</t>
  </si>
  <si>
    <t>SUBTOTAL</t>
  </si>
  <si>
    <t>C2</t>
  </si>
  <si>
    <t>MOVIMIENTO DE TIERRA</t>
  </si>
  <si>
    <t>2.01</t>
  </si>
  <si>
    <t>2.02</t>
  </si>
  <si>
    <t>2.03</t>
  </si>
  <si>
    <t>Retiro de Sobrantes (al botadero autorizado)</t>
  </si>
  <si>
    <t>2.04</t>
  </si>
  <si>
    <t>2.05</t>
  </si>
  <si>
    <t>Sobreacarreos Internos entre 0 y 200 mts.</t>
  </si>
  <si>
    <t>2.07</t>
  </si>
  <si>
    <t>Excavacion a mano en descolgado del talud para zapatas</t>
  </si>
  <si>
    <t>Excavación a tajo abierto en taludes-Excavación con acarreo libre-En material granular a cualquier profundidad</t>
  </si>
  <si>
    <t>2.10</t>
  </si>
  <si>
    <t>2.11</t>
  </si>
  <si>
    <t>2.12</t>
  </si>
  <si>
    <t>2.13</t>
  </si>
  <si>
    <t>2.14</t>
  </si>
  <si>
    <t>C3</t>
  </si>
  <si>
    <t>CONCRETOS</t>
  </si>
  <si>
    <t>3.01</t>
  </si>
  <si>
    <t>3.02</t>
  </si>
  <si>
    <t>3.03</t>
  </si>
  <si>
    <t>3.04</t>
  </si>
  <si>
    <t>Suministro y colocación de concreto lanzado Con mezcla húmeda de espesor 10 cm</t>
  </si>
  <si>
    <t>3.05</t>
  </si>
  <si>
    <t>Inyección de lechada para anclajes</t>
  </si>
  <si>
    <t>3.07</t>
  </si>
  <si>
    <t>Suministro y colocación de concretos F'c 4000 PSI con mezcla húmeda para zapatas</t>
  </si>
  <si>
    <t>3.10</t>
  </si>
  <si>
    <t>3.11</t>
  </si>
  <si>
    <t>C4</t>
  </si>
  <si>
    <t>ACEROS</t>
  </si>
  <si>
    <t>4.01</t>
  </si>
  <si>
    <t>Suministro y colocación Acero de refuerzo fy 4200 kg / cm2</t>
  </si>
  <si>
    <t>4.02</t>
  </si>
  <si>
    <t>Suministro y colocación de anclajes 3 cables D =5/8"</t>
  </si>
  <si>
    <t>4.03</t>
  </si>
  <si>
    <t>4.04</t>
  </si>
  <si>
    <t>Suministro y colocación malla electrosoldada calibre 10</t>
  </si>
  <si>
    <t>4.05</t>
  </si>
  <si>
    <t>4.06</t>
  </si>
  <si>
    <t>Suministro e instalacion de Popora de 3 agujeros conicos para cuña de 5/8"</t>
  </si>
  <si>
    <t>4.07</t>
  </si>
  <si>
    <t>C5</t>
  </si>
  <si>
    <t>DRENES</t>
  </si>
  <si>
    <t>5.01</t>
  </si>
  <si>
    <t>5.02</t>
  </si>
  <si>
    <t>5.03</t>
  </si>
  <si>
    <t>Encamisado en perforaciones horizontales para anclajes y drenes de penetración horizontal</t>
  </si>
  <si>
    <t>5.04</t>
  </si>
  <si>
    <t>5.05</t>
  </si>
  <si>
    <t>5.06</t>
  </si>
  <si>
    <t>5.07</t>
  </si>
  <si>
    <t>5.08</t>
  </si>
  <si>
    <t>C6</t>
  </si>
  <si>
    <t>PERFORACIONES HORIZONTALES</t>
  </si>
  <si>
    <t>6.01</t>
  </si>
  <si>
    <t>Perforaciones horizontales para anclajes de 0.00 a 20.00 m</t>
  </si>
  <si>
    <t>6.02</t>
  </si>
  <si>
    <t>Perforaciones horizontales para anclajes mayores a 20.00 m</t>
  </si>
  <si>
    <t>C7</t>
  </si>
  <si>
    <t>OBRAS COMPLEMENTARIAS</t>
  </si>
  <si>
    <t>7.01</t>
  </si>
  <si>
    <t>7.02</t>
  </si>
  <si>
    <t>7.03</t>
  </si>
  <si>
    <t>7.04</t>
  </si>
  <si>
    <t>7.05</t>
  </si>
  <si>
    <t>Limpieza general de la Obra</t>
  </si>
  <si>
    <t>7.07</t>
  </si>
  <si>
    <t>7.08</t>
  </si>
  <si>
    <t>7.09</t>
  </si>
  <si>
    <t>7.10</t>
  </si>
  <si>
    <t>7.11</t>
  </si>
  <si>
    <t>7.12</t>
  </si>
  <si>
    <t>7.13</t>
  </si>
  <si>
    <t>7.14</t>
  </si>
  <si>
    <t>7.15</t>
  </si>
  <si>
    <t>7.16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</si>
  <si>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</si>
  <si>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</si>
  <si>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</si>
  <si>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</si>
  <si>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</si>
  <si>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</si>
  <si>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</si>
  <si>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</si>
  <si>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</si>
  <si>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</si>
  <si>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</si>
  <si>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</si>
  <si>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</si>
  <si>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</si>
  <si>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</si>
  <si>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</si>
  <si>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</si>
  <si>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</si>
  <si>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</si>
  <si>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</si>
  <si>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</si>
  <si>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</si>
  <si>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C8</t>
  </si>
  <si>
    <t>8.01</t>
  </si>
  <si>
    <t>8.02</t>
  </si>
  <si>
    <t>8.03</t>
  </si>
  <si>
    <t>TOTAL COSTOS DIRECTOS (Redondeado a cero cifras decimales)</t>
  </si>
  <si>
    <t>ADMINISTRACION</t>
  </si>
  <si>
    <t>UTILIDAD</t>
  </si>
  <si>
    <t>ESQUEMA</t>
  </si>
  <si>
    <t>Sector</t>
  </si>
  <si>
    <t>Descripción</t>
  </si>
  <si>
    <t>Largo [m]</t>
  </si>
  <si>
    <t>Ancho [m]</t>
  </si>
  <si>
    <t>Alto [m]</t>
  </si>
  <si>
    <t>Área [m2]</t>
  </si>
  <si>
    <t>Volumen [m3]</t>
  </si>
  <si>
    <t>Peso [kg]</t>
  </si>
  <si>
    <t>Cantidad [und]</t>
  </si>
  <si>
    <t>Total</t>
  </si>
  <si>
    <t>TOTAL</t>
  </si>
  <si>
    <t>SECTOR</t>
  </si>
  <si>
    <t>Longitud [ml]</t>
  </si>
  <si>
    <t>Desperdicios</t>
  </si>
  <si>
    <t>Area [m2]</t>
  </si>
  <si>
    <t>Desperdicio / m2 [m3]</t>
  </si>
  <si>
    <t>Vol. Desperdicio [m3]</t>
  </si>
  <si>
    <t>Corte de Tierra[m3]</t>
  </si>
  <si>
    <t>[m]</t>
  </si>
  <si>
    <t>Profundidad</t>
  </si>
  <si>
    <t>Alto</t>
  </si>
  <si>
    <t>Diametro</t>
  </si>
  <si>
    <t>Vol. Por caison [m3]</t>
  </si>
  <si>
    <t>Cant. Caison [und]</t>
  </si>
  <si>
    <t>Vol. Exc. Caison [m3]</t>
  </si>
  <si>
    <t>SOLADOS</t>
  </si>
  <si>
    <t>A [m]</t>
  </si>
  <si>
    <t>B [m]</t>
  </si>
  <si>
    <t>C [m]</t>
  </si>
  <si>
    <t>[und]</t>
  </si>
  <si>
    <t>Longitud</t>
  </si>
  <si>
    <t>TIPO DE REFUERZO</t>
  </si>
  <si>
    <t>φ</t>
  </si>
  <si>
    <t>S@ [m]</t>
  </si>
  <si>
    <t>Long. Unit [m]</t>
  </si>
  <si>
    <t>Cant</t>
  </si>
  <si>
    <t>Long. / ml de viga [m]</t>
  </si>
  <si>
    <t>Peso Acero [kg/ml] de viga</t>
  </si>
  <si>
    <t>Barra</t>
  </si>
  <si>
    <t>Area</t>
  </si>
  <si>
    <t>Perimetro</t>
  </si>
  <si>
    <t>Masa [kg]</t>
  </si>
  <si>
    <t>Traslapo Clase A [cm]</t>
  </si>
  <si>
    <t>Traslapo Clase B [cm]</t>
  </si>
  <si>
    <t>Dmin Doblado</t>
  </si>
  <si>
    <t>Extension (e) 6db</t>
  </si>
  <si>
    <t>Longitud Dobles Gancho 135°</t>
  </si>
  <si>
    <t>Gancho 135° cm A o G [cm]</t>
  </si>
  <si>
    <t>mm</t>
  </si>
  <si>
    <t>cm</t>
  </si>
  <si>
    <t>mm2</t>
  </si>
  <si>
    <t>cm2</t>
  </si>
  <si>
    <t>[cm]</t>
  </si>
  <si>
    <t>fy</t>
  </si>
  <si>
    <t>MPA</t>
  </si>
  <si>
    <t>Yt</t>
  </si>
  <si>
    <t>Ye</t>
  </si>
  <si>
    <t>l</t>
  </si>
  <si>
    <t>fc</t>
  </si>
  <si>
    <t>Cantidad</t>
  </si>
  <si>
    <t>Ancho</t>
  </si>
  <si>
    <t>MUNICIPIO DE BUCARAMANGA</t>
  </si>
  <si>
    <t>ANALISIS DE PRECIOS UNITARIOS</t>
  </si>
  <si>
    <t>OBJETO CONTRATO</t>
  </si>
  <si>
    <t>CAPITULO</t>
  </si>
  <si>
    <t>ACTIVIDAD:</t>
  </si>
  <si>
    <t>ITEM:</t>
  </si>
  <si>
    <t>UNIDAD:</t>
  </si>
  <si>
    <t>VALOR UNITARIO:</t>
  </si>
  <si>
    <t>CANTIDAD:</t>
  </si>
  <si>
    <t>VALOR TOTAL:</t>
  </si>
  <si>
    <t>CANTIDAD</t>
  </si>
  <si>
    <t>EQUIPO</t>
  </si>
  <si>
    <t>AUXILIARES</t>
  </si>
  <si>
    <t>m060</t>
  </si>
  <si>
    <t>m007</t>
  </si>
  <si>
    <t>Filtro en Geotextil (NT-1600 o Similar) - 1,50 * 0,5 Mts.</t>
  </si>
  <si>
    <t>Cuña de 5/8"</t>
  </si>
  <si>
    <t>Popora de 4 agujeros conicos para cuña de 5/8"</t>
  </si>
  <si>
    <t>Centralizadores</t>
  </si>
  <si>
    <t>Tuberia PVC 1/2" y Accesorios</t>
  </si>
  <si>
    <t>Aux. Transporte</t>
  </si>
  <si>
    <t>Valor/día</t>
  </si>
  <si>
    <t>Valor /Dia [FP]</t>
  </si>
  <si>
    <t>Factor prestacional</t>
  </si>
  <si>
    <t>Auxiliar</t>
  </si>
  <si>
    <t>CAISSON 1,5 - 18</t>
  </si>
  <si>
    <t>CAISSON 1,5 - 20</t>
  </si>
  <si>
    <t>CAISSON 1,2 - 12</t>
  </si>
  <si>
    <t>ACERO</t>
  </si>
  <si>
    <t>VOLUMEN</t>
  </si>
  <si>
    <t>largo</t>
  </si>
  <si>
    <t>ACERO/Ml</t>
  </si>
  <si>
    <t>diametro cai + anillo</t>
  </si>
  <si>
    <t>E033</t>
  </si>
  <si>
    <t>Broca de Perforación 4"</t>
  </si>
  <si>
    <t>E034</t>
  </si>
  <si>
    <t>E035</t>
  </si>
  <si>
    <t>E036</t>
  </si>
  <si>
    <t>Tubería de Revenstimiento Diam = 70-114mm</t>
  </si>
  <si>
    <t>Trasegador Interno Diam = 70-114mm</t>
  </si>
  <si>
    <t>Trasegador Externo Diam = 70-114mm</t>
  </si>
  <si>
    <t>Geotextil No Tejido - 2500 o Similar</t>
  </si>
  <si>
    <t>Union en PVC Sanitario 2"</t>
  </si>
  <si>
    <t>E037</t>
  </si>
  <si>
    <t>E038</t>
  </si>
  <si>
    <t>E039</t>
  </si>
  <si>
    <t>Planta Electrica 5KVA</t>
  </si>
  <si>
    <t>Gato de Tensionamiento Max 200 Ton</t>
  </si>
  <si>
    <t>Bomba para gato de tensionamiento</t>
  </si>
  <si>
    <t>Estacas, Pintura, Tachuelas, Hilo (Ubicación Estructuras)</t>
  </si>
  <si>
    <t>Retroexcavadora Potencia 117KW</t>
  </si>
  <si>
    <t>E040</t>
  </si>
  <si>
    <t>Compresor 375CFM con Martillo de Perforacion</t>
  </si>
  <si>
    <t>Compresor 120HP con Martillo</t>
  </si>
  <si>
    <t>T004</t>
  </si>
  <si>
    <t>Transporte de Material sobrante</t>
  </si>
  <si>
    <t>Costo de Derechos Botadero</t>
  </si>
  <si>
    <t>Volqueta 6 M3 o Similar</t>
  </si>
  <si>
    <t>E041</t>
  </si>
  <si>
    <t>E042</t>
  </si>
  <si>
    <t>E043</t>
  </si>
  <si>
    <t>E044</t>
  </si>
  <si>
    <t>Compresor 375CFM</t>
  </si>
  <si>
    <t>Bomba Concreto 30m3/h 1150 PSI</t>
  </si>
  <si>
    <t>Tubería y magueras para bombeo de concreto</t>
  </si>
  <si>
    <t>Concreto de 4000 psi de planta</t>
  </si>
  <si>
    <t>Concreto de 3000 psi de planta</t>
  </si>
  <si>
    <t xml:space="preserve">Bomba Peristaltica </t>
  </si>
  <si>
    <t>Concreto de 2500 psi de planta</t>
  </si>
  <si>
    <t>Aditivo Reductor de Agua</t>
  </si>
  <si>
    <t>Equipo para llenado e inyección</t>
  </si>
  <si>
    <t>Alambre negro Calibre 18</t>
  </si>
  <si>
    <t>Suministro de Acero de 60000 psi y figurado</t>
  </si>
  <si>
    <t>Platina metalica anclaje HR 3/4" 0.2*0.2</t>
  </si>
  <si>
    <t>Suministro e instalación platinas metálicas en lamina HR E=3/4" 200x200mm</t>
  </si>
  <si>
    <t>Toron de Tensionamiento D=5/8"</t>
  </si>
  <si>
    <t>Perforación y construcción de drenes de penetración con tubería P.V.C. ranurada D=2" de 0.00 a 20.00 mts</t>
  </si>
  <si>
    <t>Perforación y construcción de drenes de penetración con tubería P.V.C. ranurada D=2" mayor a 20.00 mts</t>
  </si>
  <si>
    <t>C002</t>
  </si>
  <si>
    <t>Costo de rehubicación de vivienda</t>
  </si>
  <si>
    <t>6.03</t>
  </si>
  <si>
    <t>OBRAS</t>
  </si>
  <si>
    <t>Campamento para obras Sector 6</t>
  </si>
  <si>
    <t>Area 1</t>
  </si>
  <si>
    <t>Area 2</t>
  </si>
  <si>
    <t>Area 3</t>
  </si>
  <si>
    <t>SECCION</t>
  </si>
  <si>
    <t>AREA M2</t>
  </si>
  <si>
    <t>Valla informativa</t>
  </si>
  <si>
    <t>Perimetro 1</t>
  </si>
  <si>
    <t>Perimetro 2</t>
  </si>
  <si>
    <t>MOVIMIENTOS DE TIERRA</t>
  </si>
  <si>
    <t>Area Transversal [m2]</t>
  </si>
  <si>
    <t>ACERO PARA CAISSON VIGA 1 Y 2</t>
  </si>
  <si>
    <t>ACERO PARA CAISSON VIGA 3</t>
  </si>
  <si>
    <t>Caisson D=1.5m L=13m</t>
  </si>
  <si>
    <t>Caisson D=1.5m L=15m</t>
  </si>
  <si>
    <t>Material Sub base CBR=30%</t>
  </si>
  <si>
    <t>Material Sub base CBR=20%</t>
  </si>
  <si>
    <t>Rejilla para sumidero (0.5x0.22m)</t>
  </si>
  <si>
    <t>Tubería pvc 10"</t>
  </si>
  <si>
    <t>MO013</t>
  </si>
  <si>
    <t>Paletero (1)</t>
  </si>
  <si>
    <t>MES</t>
  </si>
  <si>
    <t>MO014</t>
  </si>
  <si>
    <t>Salario dos (2) Paleteros + Prestaciones</t>
  </si>
  <si>
    <t>MO015</t>
  </si>
  <si>
    <t>Paleteros (3)</t>
  </si>
  <si>
    <t>E045</t>
  </si>
  <si>
    <t>Vibrocompactador Tipo Benitin peso 0.7 a 1.5 Ton</t>
  </si>
  <si>
    <t>E046</t>
  </si>
  <si>
    <t>E047</t>
  </si>
  <si>
    <t>Motobomba 3" (incluye operario)</t>
  </si>
  <si>
    <t>E048</t>
  </si>
  <si>
    <t>Compresor (Ventitalación, Barrido y Soplado)</t>
  </si>
  <si>
    <t>E049</t>
  </si>
  <si>
    <t>Pluma Grua "Winche" (incluye operario)</t>
  </si>
  <si>
    <t>E050</t>
  </si>
  <si>
    <t>Linterna para casco obrero</t>
  </si>
  <si>
    <t>P002</t>
  </si>
  <si>
    <t>PMT</t>
  </si>
  <si>
    <t>Plan de manejo de trafico</t>
  </si>
  <si>
    <t>P003</t>
  </si>
  <si>
    <t>P004</t>
  </si>
  <si>
    <t>Señal Pare y Siga 30 cm</t>
  </si>
  <si>
    <t>P005</t>
  </si>
  <si>
    <t>Delineadores Tubulares (Colombinas H=1.30 m Base Caucho)</t>
  </si>
  <si>
    <t>P006</t>
  </si>
  <si>
    <t>Barreras Plasticas tipo Maletín Plastico (2.00x1.00 m)</t>
  </si>
  <si>
    <t>P007</t>
  </si>
  <si>
    <t>Cono PVC 70cm Cinta Reflectiva</t>
  </si>
  <si>
    <t>P008</t>
  </si>
  <si>
    <t>Señales moviles de aproximación</t>
  </si>
  <si>
    <t>P009</t>
  </si>
  <si>
    <t>Cinta plastica "Peligro, no pase"</t>
  </si>
  <si>
    <t>P010</t>
  </si>
  <si>
    <t>Chalecos Reflectivos</t>
  </si>
  <si>
    <t>P011</t>
  </si>
  <si>
    <t>Pitos para auxiliares de tránsito</t>
  </si>
  <si>
    <t>P012</t>
  </si>
  <si>
    <t>Impresión de Planos PMT</t>
  </si>
  <si>
    <t>P013</t>
  </si>
  <si>
    <t>Papelería, impresiones e informes</t>
  </si>
  <si>
    <t>T005</t>
  </si>
  <si>
    <t>Transporte de material granular</t>
  </si>
  <si>
    <t>M099</t>
  </si>
  <si>
    <t>M100</t>
  </si>
  <si>
    <t>M101</t>
  </si>
  <si>
    <t>Tubo Pvc Sanitario 3"</t>
  </si>
  <si>
    <t>Codo 45° Pvc Sanitario 2"</t>
  </si>
  <si>
    <t>Yee Reducida Pvc Sanitario 3" x 2"</t>
  </si>
  <si>
    <t>CONSULTORIA PARA LA ELABORACIÓN DE ESTUDIOS DETALLADOS DE AMENAZA, VULNERABILIDAD Y RIESGO POR MOVIMIENTOS EN MASA, INUNDACIÓN, Y AVENIDAS TORRENCIALES EN SECTORES PRIORIZADOS EN LAS COMUNAS UNO (CAMINOS DE PAZ I, CAMINOS DE PAZ II, LUZ DE ESPERANZA, CERVIUNIÓN) Y DOS (PUNTA BETTIM, MONEQUE) DEL MUNICIPIO DE BUCARAMANGA</t>
  </si>
  <si>
    <t>ESPECIALES</t>
  </si>
  <si>
    <t>Area 4</t>
  </si>
  <si>
    <t>Area Descapote [m2]</t>
  </si>
  <si>
    <t>prof. Descapote [m]</t>
  </si>
  <si>
    <t>volumen descapote [m3]</t>
  </si>
  <si>
    <t>Ancho interno canal [m]</t>
  </si>
  <si>
    <t>Espesor pared[m]</t>
  </si>
  <si>
    <t>Longitud Canal [m]</t>
  </si>
  <si>
    <t>Tipo 1</t>
  </si>
  <si>
    <t>Tipo 2</t>
  </si>
  <si>
    <t>AREA LOCALIZACIÓN Y DESCAPOTE</t>
  </si>
  <si>
    <t>VOLUMEN DESPERDICIOS Y DESCAPOTE</t>
  </si>
  <si>
    <t>Vol. Total Exacavación [m3]</t>
  </si>
  <si>
    <t>Volumen de Excavación + Expansión 25% [m3]</t>
  </si>
  <si>
    <t>Sobre acarreos internos (10% del vol total) [m3]</t>
  </si>
  <si>
    <t>Tipo Caison</t>
  </si>
  <si>
    <t>CONCRETO 4000 PSI PARA VIGA CABEZAL</t>
  </si>
  <si>
    <t>LONGITUD [ml]</t>
  </si>
  <si>
    <t>ANCHO [m]</t>
  </si>
  <si>
    <t>AREA CAISSON [m2]</t>
  </si>
  <si>
    <t>CANTIDAD CAISSON [und]</t>
  </si>
  <si>
    <t>AREA SOLADO [m2]</t>
  </si>
  <si>
    <t>Concreto Viga Cabezal [m3]</t>
  </si>
  <si>
    <t>Viga</t>
  </si>
  <si>
    <t>Unidad</t>
  </si>
  <si>
    <t>CALCULO ACERO VIGA CABEZAL</t>
  </si>
  <si>
    <t>CANTIDAD CAISSONS</t>
  </si>
  <si>
    <t>Tipo Caisson</t>
  </si>
  <si>
    <t>Long. Total Caissons [ml]</t>
  </si>
  <si>
    <t>TRASPORTE</t>
  </si>
  <si>
    <t>3.12</t>
  </si>
  <si>
    <t>3.13</t>
  </si>
  <si>
    <t>DEMOLICIÓN DE ESTRUCTURAS EXISTENTES</t>
  </si>
  <si>
    <t>Elemento</t>
  </si>
  <si>
    <t>Casa xx</t>
  </si>
  <si>
    <t>Casa 01</t>
  </si>
  <si>
    <t>Area de Poligono Casa [m2]</t>
  </si>
  <si>
    <t>No. de Pisos de casa [und]</t>
  </si>
  <si>
    <t>Area a demoler [m2]</t>
  </si>
  <si>
    <t>Demolición de estructuras existentes</t>
  </si>
  <si>
    <t>Volumen demolido [m3]</t>
  </si>
  <si>
    <t>REHUBICACIÓN DE VIVIENDAS</t>
  </si>
  <si>
    <t>Cantidad de viviendas a rehubicar [und]</t>
  </si>
  <si>
    <t>Volumen Total Casas Demolidas [m3]</t>
  </si>
  <si>
    <t>Volumen Total Estructuras Existentes Demolidas [m3]</t>
  </si>
  <si>
    <t>DEMOLICIÓN DE CASAS</t>
  </si>
  <si>
    <t>Caja de Inspección</t>
  </si>
  <si>
    <t>RESUMEN DEMOLICIÓN</t>
  </si>
  <si>
    <t>Tipo Demolción</t>
  </si>
  <si>
    <t>Volumen Demolido [m3]</t>
  </si>
  <si>
    <t>Casas</t>
  </si>
  <si>
    <t>Estructuras Existentes</t>
  </si>
  <si>
    <t>DEJAR ESTAS FILAS SOLO SI HAY DEMOLICIÓN</t>
  </si>
  <si>
    <t>CALCULO DE ACERO</t>
  </si>
  <si>
    <t>CANAL DISIPADOR 1,6x1,3</t>
  </si>
  <si>
    <t>CANAL 1,6x1,3</t>
  </si>
  <si>
    <t>CAJA DE INSPECCION 2.00 X 2.00m</t>
  </si>
  <si>
    <t>CANTIDAD DE DRENES DE PENETRECIÓN</t>
  </si>
  <si>
    <t>Longitud de 0 a 20 m [ml]</t>
  </si>
  <si>
    <t>Mayor  a 20 m [ml]</t>
  </si>
  <si>
    <t>TIPO DREN
Longitud [ml]</t>
  </si>
  <si>
    <t>Linea 1</t>
  </si>
  <si>
    <t>Linea 2</t>
  </si>
  <si>
    <t>Linea 3</t>
  </si>
  <si>
    <t>CANTIDAD DE ANCALJES</t>
  </si>
  <si>
    <t>Cant. Anclajes [und]</t>
  </si>
  <si>
    <t>Cant 4 Cables 5/8" [ml]</t>
  </si>
  <si>
    <t>Cant Grupos 4 Cuñas / Anclaje [und]</t>
  </si>
  <si>
    <t>Total Cuñas [und]</t>
  </si>
  <si>
    <t>Total de Poporas 4 Agujeros [und]</t>
  </si>
  <si>
    <t>Platinas / Anclaje [und]</t>
  </si>
  <si>
    <t>Total Platinas  [und]</t>
  </si>
  <si>
    <t>CALCULO ACCESORIOS ANCLAJES</t>
  </si>
  <si>
    <t>Muro 1</t>
  </si>
  <si>
    <t>Muro 2</t>
  </si>
  <si>
    <t>Muro 3</t>
  </si>
  <si>
    <t>TIPO ANCLAJE
Longitud [ml]</t>
  </si>
  <si>
    <t>MURO ANCLADO</t>
  </si>
  <si>
    <t>Cant Poporas 4 Agujeros / Ancalje [und]</t>
  </si>
  <si>
    <t>DESCRIPCIÓN</t>
  </si>
  <si>
    <t>Tensionamiento de anclajes 30 Ton</t>
  </si>
  <si>
    <t>Popora de 3 agujeros conicos para cuña de 5/8"</t>
  </si>
  <si>
    <t>Canal disipador en concreto de 4000 PSI (Alto: 2.0 m, Base: 2.0m, E=0.2m)</t>
  </si>
  <si>
    <t>Alto Canal [m]</t>
  </si>
  <si>
    <t>1.09</t>
  </si>
  <si>
    <t>C003</t>
  </si>
  <si>
    <t>Valor de Adquisición de Predios C10-11</t>
  </si>
  <si>
    <t>Implementación Lineamientos Ambientales</t>
  </si>
  <si>
    <t xml:space="preserve"> CARGO / OFICIO </t>
  </si>
  <si>
    <t xml:space="preserve"> SUELDO Y/O </t>
  </si>
  <si>
    <t>% DEDICACION</t>
  </si>
  <si>
    <t xml:space="preserve"> VALOR PARCIAL </t>
  </si>
  <si>
    <t xml:space="preserve">JORNAL MENSUAL </t>
  </si>
  <si>
    <t xml:space="preserve"> COSTOS  DE PERSONAL </t>
  </si>
  <si>
    <t xml:space="preserve">PERSONAL PROFESIONAL </t>
  </si>
  <si>
    <t xml:space="preserve">PERSONAL TECNICO Y ADMINISTRATIVO </t>
  </si>
  <si>
    <t xml:space="preserve">SUB TOTAL COSTO DE PERSONAL </t>
  </si>
  <si>
    <t xml:space="preserve">FACTOR MULTIPLICADOR </t>
  </si>
  <si>
    <t xml:space="preserve">TOTAL COSTOS PERSONAL </t>
  </si>
  <si>
    <t>COSTOS INDIRECTOS</t>
  </si>
  <si>
    <t xml:space="preserve"> CONCEPTO </t>
  </si>
  <si>
    <t>COSTO ($)</t>
  </si>
  <si>
    <t xml:space="preserve">SUB TOTAL COSTOS BASICOS </t>
  </si>
  <si>
    <t>IVA</t>
  </si>
  <si>
    <t xml:space="preserve">COSTO TOTAL </t>
  </si>
  <si>
    <t>DURACION TOTAL</t>
  </si>
  <si>
    <t>1.1</t>
  </si>
  <si>
    <t>1.2</t>
  </si>
  <si>
    <t>SUB TOTAL OTROS COSTOS INDIRECTOS</t>
  </si>
  <si>
    <t>CANT.</t>
  </si>
  <si>
    <t>PLANES DE MANEJO</t>
  </si>
  <si>
    <t>Tubería Alcantarrillado PVC 36"</t>
  </si>
  <si>
    <t>Cuneta disipadora en concreto de 4000 psi (Alto: 0.9m, Base: 0.8 m, E=0.1m)</t>
  </si>
  <si>
    <t>Cuneta en concreto de 4000 psi (Alto: 0.9m, Base: 0.8 m, E=0.1m)</t>
  </si>
  <si>
    <t>Poligono 1</t>
  </si>
  <si>
    <t>Poligono 2</t>
  </si>
  <si>
    <t>Disipador 1</t>
  </si>
  <si>
    <t>Disipador 2</t>
  </si>
  <si>
    <t>La Feria</t>
  </si>
  <si>
    <t>Total Perimetro Obra</t>
  </si>
  <si>
    <t>Area de obra</t>
  </si>
  <si>
    <t>Total Anclajes</t>
  </si>
  <si>
    <t>Acero de Refuerzo para total Anclajes</t>
  </si>
  <si>
    <t>Area Concreto Lanzado</t>
  </si>
  <si>
    <t>Cunetas Total Obra</t>
  </si>
  <si>
    <t>Filtro Para Cunetas Obra</t>
  </si>
  <si>
    <t>Disipador Itntermedio</t>
  </si>
  <si>
    <t>Disipador Extremo</t>
  </si>
  <si>
    <t>Poligono 3</t>
  </si>
  <si>
    <t>Disipador 3</t>
  </si>
  <si>
    <t>Area 5</t>
  </si>
  <si>
    <t>Area 6</t>
  </si>
  <si>
    <t>Micropilotes para Disipadores</t>
  </si>
  <si>
    <t>Acero Micropilotes</t>
  </si>
  <si>
    <t>Acero de Refuerzo para total Anclajes (Zapatas)</t>
  </si>
  <si>
    <t>M102</t>
  </si>
  <si>
    <t>Estructura Metalica  para valla</t>
  </si>
  <si>
    <t>Salario Minimo 2024</t>
  </si>
  <si>
    <t xml:space="preserve">Bateria de Baños </t>
  </si>
  <si>
    <t xml:space="preserve">Lanzador de concreto </t>
  </si>
  <si>
    <t>MO016</t>
  </si>
  <si>
    <t>m</t>
  </si>
  <si>
    <t>m3</t>
  </si>
  <si>
    <t>Kg</t>
  </si>
  <si>
    <t>L</t>
  </si>
  <si>
    <t>gal</t>
  </si>
  <si>
    <t>m2</t>
  </si>
  <si>
    <t>Glb</t>
  </si>
  <si>
    <t>Und</t>
  </si>
  <si>
    <t>m3-Km</t>
  </si>
  <si>
    <t>BLT</t>
  </si>
  <si>
    <t>lb</t>
  </si>
  <si>
    <t>Suministro e instalación de Cuñas de 5/8"</t>
  </si>
  <si>
    <t>Cuneta trapezoidal en manto de hormigón (B. Mayor: 0.9m; B. Menor: 0.5m; Altura: 0,2m)</t>
  </si>
  <si>
    <t xml:space="preserve">Manto de hormigon </t>
  </si>
  <si>
    <t>Micropilotes fundidos en sitio Diametro de 25 cm (incluye concreto de 4000 psi)</t>
  </si>
  <si>
    <t>Area 7</t>
  </si>
  <si>
    <t>Poligono 4</t>
  </si>
  <si>
    <t>Linea 4</t>
  </si>
  <si>
    <t>Muro 4</t>
  </si>
  <si>
    <t xml:space="preserve">VALOR INTERVENTORÍA </t>
  </si>
  <si>
    <t xml:space="preserve">VALOR TOTAL PROYECTO </t>
  </si>
  <si>
    <t xml:space="preserve">AJUSTES A ESTUDIOS Y DISEÑOS </t>
  </si>
  <si>
    <t>PRESUPUESTO OFICIAL</t>
  </si>
  <si>
    <t>Toron de Tensionamiento D=1/2"</t>
  </si>
  <si>
    <t>MESES</t>
  </si>
  <si>
    <t>CONSTRUCCIÓN DE OBRAS DE MITIGACIÓN DEL BARRIO LA FERIA, ASENTAMIENTO CAMILO TORRES Y CUYANITA ETAPA 1.  UBICADOS EN LA COMUNA 4 DEL MUNICIPIO DE BUCARAMANGA, SANTANDER</t>
  </si>
  <si>
    <t>ADMINISTRACIÓN DE LA INTERVENTORÍA</t>
  </si>
  <si>
    <t>VALOR TOTAL DE LA OBRA</t>
  </si>
  <si>
    <t xml:space="preserve">SUBTOTAL DE LA OBRA </t>
  </si>
  <si>
    <t>ADMINISTRACION 30%</t>
  </si>
  <si>
    <t xml:space="preserve">Barricada metalica tipo </t>
  </si>
  <si>
    <t>IMPLEMENTACION LINEAMIENTOS AMBIENTALES</t>
  </si>
  <si>
    <t>PLAN DE MANEJO DE TRAFICO</t>
  </si>
  <si>
    <t>PROPONENTE :</t>
  </si>
  <si>
    <t>PLAZO TOTAL DE LA INTERVENTORIA :</t>
  </si>
  <si>
    <t>% [Ofrecimiento del Proponente]</t>
  </si>
  <si>
    <t>Firma:</t>
  </si>
  <si>
    <t>[El proponente debera colocar Nombre completo y firma del representante legal]</t>
  </si>
  <si>
    <t>[El proponente debera colocar nombre de la unión temporal, consorcio, persona natural o jurídica, según aplique]</t>
  </si>
  <si>
    <t>Nombre y firma del representante legal del Proponente</t>
  </si>
  <si>
    <t>Nombre del Proponente</t>
  </si>
  <si>
    <t xml:space="preserve"> [agregar las filas necesarias]</t>
  </si>
  <si>
    <r>
      <rPr>
        <b/>
        <sz val="10"/>
        <rFont val="Arial Narrow"/>
        <family val="2"/>
      </rPr>
      <t>NOTA 1:</t>
    </r>
    <r>
      <rPr>
        <sz val="10"/>
        <rFont val="Arial Narrow"/>
        <family val="2"/>
      </rPr>
      <t xml:space="preserve"> Se debe presentar OFERTA ECONOMICA completa y firmada.</t>
    </r>
  </si>
  <si>
    <r>
      <t xml:space="preserve">NOTA 2: </t>
    </r>
    <r>
      <rPr>
        <sz val="10"/>
        <rFont val="Arial Narrow"/>
        <family val="2"/>
      </rPr>
      <t xml:space="preserve">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</si>
  <si>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0"/>
        <rFont val="Arial Narrow"/>
        <family val="2"/>
      </rPr>
      <t>NOTA 3:</t>
    </r>
    <r>
      <rPr>
        <sz val="10"/>
        <rFont val="Arial Narrow"/>
        <family val="2"/>
      </rPr>
      <t xml:space="preserve"> Al finalizar la oferta económica se deberá incluir una fila para disponer el valor total de la propuesta económica en letras y números.  La firma del proponente o su representante legal en ese caso irá con posterioridad al ofrecimiento del valor total.</t>
    </r>
  </si>
  <si>
    <r>
      <t>VALOR TOTAL PROPUESTA ECONOMICA (LETRAS Y NUMEROS):</t>
    </r>
    <r>
      <rPr>
        <sz val="10"/>
        <color theme="1"/>
        <rFont val="Arial Narrow"/>
        <family val="2"/>
      </rPr>
      <t xml:space="preserve"> __________________________________________________________</t>
    </r>
    <r>
      <rPr>
        <b/>
        <sz val="10"/>
        <color theme="1"/>
        <rFont val="Arial Narrow"/>
        <family val="2"/>
      </rPr>
      <t>_______</t>
    </r>
  </si>
  <si>
    <t>INTERVENTORIA A LA CONSTRUCCIÓN DE OBRAS DE MITIGACIÓN EN EL BARRIO CRISTAL BAJO DEL MUNICIPIO DE BUCARAMANGA,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</si>
</sst>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0"/>
    <numFmt numFmtId="165" formatCode="0.000"/>
    <numFmt numFmtId="166" formatCode="0.0"/>
    <numFmt numFmtId="167" formatCode="&quot;$&quot;\ #,##0.00"/>
    <numFmt numFmtId="168" formatCode="_-* #,##0.0000_-;\-* #,##0.0000_-;_-* &quot;-&quot;??_-;_-@_-"/>
    <numFmt numFmtId="169" formatCode="&quot;$&quot;\ #,##0.00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name val="Calibri"/>
      <family val="2"/>
      <scheme val="minor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9"/>
      <color indexed="81"/>
      <name val="Tahoma"/>
      <family val="2"/>
    </font>
    <font>
      <b/>
      <sz val="10"/>
      <color theme="1"/>
      <name val="Leelawadee"/>
      <family val="2"/>
    </font>
    <font>
      <sz val="10"/>
      <color theme="1"/>
      <name val="Leelawadee"/>
      <family val="2"/>
    </font>
    <font>
      <b/>
      <sz val="18"/>
      <color theme="1"/>
      <name val="Leelawadee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rgb="FFFF0000"/>
      <name val="Arial Narrow"/>
      <family val="2"/>
    </font>
    <font>
      <b/>
      <sz val="9"/>
      <color theme="0" tint="-0.14999847407452621"/>
      <name val="Arial Narrow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0"/>
      <color theme="0" tint="-0.249977111117893"/>
      <name val="Arial Narrow"/>
      <family val="2"/>
    </font>
    <font>
      <b/>
      <sz val="8"/>
      <color theme="0" tint="-0.34998626667073579"/>
      <name val="Arial Narrow"/>
      <family val="2"/>
    </font>
    <font>
      <b/>
      <sz val="10"/>
      <color theme="0" tint="-0.34998626667073579"/>
      <name val="Arial Narrow"/>
      <family val="2"/>
    </font>
    <font>
      <sz val="9"/>
      <color theme="0" tint="-0.249977111117893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20" fillId="0" borderId="0"/>
    <xf numFmtId="0" fontId="21" fillId="0" borderId="0"/>
    <xf numFmtId="0" fontId="22" fillId="0" borderId="0" applyNumberFormat="0" applyFill="0" applyBorder="0" applyProtection="0">
      <alignment vertical="top"/>
    </xf>
    <xf numFmtId="0" fontId="16" fillId="0" borderId="0"/>
  </cellStyleXfs>
  <cellXfs count="413">
    <xf numFmtId="0" fontId="0" fillId="0" borderId="0" xfId="0"/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44" fontId="4" fillId="3" borderId="3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/>
    </xf>
    <xf numFmtId="44" fontId="4" fillId="4" borderId="5" xfId="1" applyFont="1" applyFill="1" applyBorder="1" applyAlignment="1">
      <alignment horizontal="center" vertical="center"/>
    </xf>
    <xf numFmtId="44" fontId="4" fillId="4" borderId="6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44" fontId="4" fillId="0" borderId="3" xfId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44" fontId="4" fillId="0" borderId="7" xfId="1" applyFont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4" fontId="4" fillId="0" borderId="6" xfId="1" applyFont="1" applyBorder="1" applyAlignment="1">
      <alignment horizontal="right" vertical="center"/>
    </xf>
    <xf numFmtId="44" fontId="4" fillId="0" borderId="7" xfId="1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4" fontId="2" fillId="0" borderId="1" xfId="1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44" fontId="2" fillId="0" borderId="3" xfId="1" applyFont="1" applyFill="1" applyBorder="1" applyAlignment="1">
      <alignment horizontal="left" vertical="center"/>
    </xf>
    <xf numFmtId="44" fontId="4" fillId="2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2" fontId="2" fillId="0" borderId="5" xfId="0" applyNumberFormat="1" applyFont="1" applyBorder="1" applyAlignment="1">
      <alignment horizontal="center" vertical="center"/>
    </xf>
    <xf numFmtId="44" fontId="2" fillId="0" borderId="5" xfId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44" fontId="2" fillId="0" borderId="0" xfId="1" applyFont="1" applyFill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44" fontId="9" fillId="0" borderId="0" xfId="1" applyFont="1" applyFill="1" applyAlignment="1">
      <alignment horizontal="center" vertical="center"/>
    </xf>
    <xf numFmtId="44" fontId="8" fillId="0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  <xf numFmtId="44" fontId="4" fillId="0" borderId="0" xfId="1" applyFont="1" applyAlignment="1">
      <alignment horizontal="center" vertical="center"/>
    </xf>
    <xf numFmtId="0" fontId="10" fillId="6" borderId="1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2" fontId="14" fillId="8" borderId="1" xfId="0" applyNumberFormat="1" applyFont="1" applyFill="1" applyBorder="1" applyAlignment="1">
      <alignment horizontal="center" vertical="center"/>
    </xf>
    <xf numFmtId="1" fontId="14" fillId="8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 vertical="center" indent="1"/>
    </xf>
    <xf numFmtId="2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4" fontId="2" fillId="0" borderId="1" xfId="1" applyFont="1" applyBorder="1" applyAlignment="1">
      <alignment horizontal="left" vertical="center"/>
    </xf>
    <xf numFmtId="44" fontId="2" fillId="0" borderId="3" xfId="1" applyFont="1" applyBorder="1" applyAlignment="1">
      <alignment horizontal="left" vertical="center"/>
    </xf>
    <xf numFmtId="0" fontId="9" fillId="0" borderId="0" xfId="3" applyFont="1" applyAlignment="1">
      <alignment horizontal="right" vertical="center"/>
    </xf>
    <xf numFmtId="0" fontId="8" fillId="0" borderId="1" xfId="3" applyFont="1" applyFill="1" applyBorder="1" applyAlignment="1">
      <alignment horizontal="center" vertical="center"/>
    </xf>
    <xf numFmtId="44" fontId="2" fillId="0" borderId="4" xfId="1" applyFont="1" applyFill="1" applyBorder="1" applyAlignment="1">
      <alignment horizontal="center" vertical="center"/>
    </xf>
    <xf numFmtId="44" fontId="4" fillId="0" borderId="7" xfId="1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5" fontId="14" fillId="0" borderId="1" xfId="0" applyNumberFormat="1" applyFont="1" applyBorder="1" applyAlignment="1">
      <alignment horizontal="left" vertical="center" wrapText="1" indent="4"/>
    </xf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3" fillId="0" borderId="0" xfId="0" applyFont="1" applyAlignment="1">
      <alignment horizontal="right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9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3" fillId="0" borderId="1" xfId="0" applyFont="1" applyBorder="1" applyAlignment="1">
      <alignment vertical="center" wrapText="1"/>
    </xf>
    <xf numFmtId="0" fontId="2" fillId="12" borderId="0" xfId="0" applyFont="1" applyFill="1" applyAlignment="1">
      <alignment horizontal="center" vertical="center"/>
    </xf>
    <xf numFmtId="44" fontId="4" fillId="12" borderId="1" xfId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67" fontId="2" fillId="0" borderId="0" xfId="0" applyNumberFormat="1" applyFont="1" applyAlignment="1">
      <alignment vertical="center"/>
    </xf>
    <xf numFmtId="0" fontId="9" fillId="4" borderId="5" xfId="0" applyFont="1" applyFill="1" applyBorder="1" applyAlignment="1">
      <alignment vertical="center"/>
    </xf>
    <xf numFmtId="167" fontId="9" fillId="4" borderId="5" xfId="0" applyNumberFormat="1" applyFont="1" applyFill="1" applyBorder="1" applyAlignment="1">
      <alignment vertical="center"/>
    </xf>
    <xf numFmtId="0" fontId="8" fillId="4" borderId="5" xfId="0" applyFont="1" applyFill="1" applyBorder="1" applyAlignment="1">
      <alignment vertical="center"/>
    </xf>
    <xf numFmtId="0" fontId="4" fillId="12" borderId="0" xfId="0" applyFont="1" applyFill="1" applyAlignment="1">
      <alignment horizontal="left" vertical="center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44" fontId="2" fillId="0" borderId="0" xfId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168" fontId="2" fillId="0" borderId="0" xfId="4" applyNumberFormat="1" applyFont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9" fontId="2" fillId="0" borderId="10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right" vertical="center"/>
    </xf>
    <xf numFmtId="0" fontId="13" fillId="8" borderId="1" xfId="0" applyFont="1" applyFill="1" applyBorder="1" applyAlignment="1">
      <alignment horizontal="center" vertical="center" wrapText="1"/>
    </xf>
    <xf numFmtId="44" fontId="2" fillId="14" borderId="0" xfId="1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/>
    </xf>
    <xf numFmtId="42" fontId="2" fillId="0" borderId="0" xfId="7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44" fontId="2" fillId="12" borderId="0" xfId="1" applyFont="1" applyFill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2" fontId="8" fillId="0" borderId="20" xfId="0" applyNumberFormat="1" applyFont="1" applyBorder="1" applyAlignment="1">
      <alignment horizontal="center" vertical="center" wrapText="1"/>
    </xf>
    <xf numFmtId="9" fontId="8" fillId="0" borderId="20" xfId="5" applyFont="1" applyBorder="1" applyAlignment="1">
      <alignment horizontal="center" vertical="center" wrapText="1"/>
    </xf>
    <xf numFmtId="2" fontId="8" fillId="0" borderId="20" xfId="0" applyNumberFormat="1" applyFont="1" applyBorder="1" applyAlignment="1">
      <alignment horizontal="center" vertical="center"/>
    </xf>
    <xf numFmtId="9" fontId="8" fillId="0" borderId="20" xfId="5" applyFont="1" applyBorder="1" applyAlignment="1">
      <alignment horizontal="center" vertical="center"/>
    </xf>
    <xf numFmtId="44" fontId="2" fillId="12" borderId="0" xfId="0" applyNumberFormat="1" applyFont="1" applyFill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44" fontId="2" fillId="0" borderId="9" xfId="1" applyFont="1" applyBorder="1" applyAlignment="1">
      <alignment horizontal="right" vertical="center"/>
    </xf>
    <xf numFmtId="44" fontId="2" fillId="0" borderId="19" xfId="1" applyFont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44" fontId="4" fillId="0" borderId="5" xfId="1" applyFont="1" applyBorder="1" applyAlignment="1">
      <alignment horizontal="right" vertical="center"/>
    </xf>
    <xf numFmtId="44" fontId="4" fillId="0" borderId="12" xfId="1" applyFont="1" applyBorder="1" applyAlignment="1">
      <alignment horizontal="right" vertical="center"/>
    </xf>
    <xf numFmtId="167" fontId="8" fillId="4" borderId="22" xfId="0" applyNumberFormat="1" applyFont="1" applyFill="1" applyBorder="1" applyAlignment="1">
      <alignment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167" fontId="9" fillId="0" borderId="26" xfId="0" applyNumberFormat="1" applyFont="1" applyBorder="1" applyAlignment="1">
      <alignment horizontal="right" vertical="center"/>
    </xf>
    <xf numFmtId="0" fontId="8" fillId="8" borderId="25" xfId="0" applyFont="1" applyFill="1" applyBorder="1" applyAlignment="1">
      <alignment horizontal="center" vertical="center" wrapText="1"/>
    </xf>
    <xf numFmtId="2" fontId="9" fillId="15" borderId="26" xfId="4" applyNumberFormat="1" applyFont="1" applyFill="1" applyBorder="1" applyAlignment="1">
      <alignment horizontal="right" vertical="center"/>
    </xf>
    <xf numFmtId="0" fontId="8" fillId="8" borderId="27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horizontal="center" vertical="center" wrapText="1"/>
    </xf>
    <xf numFmtId="9" fontId="8" fillId="0" borderId="28" xfId="5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2" fontId="8" fillId="0" borderId="31" xfId="0" applyNumberFormat="1" applyFont="1" applyBorder="1" applyAlignment="1">
      <alignment horizontal="center" vertical="center" wrapText="1"/>
    </xf>
    <xf numFmtId="9" fontId="8" fillId="0" borderId="31" xfId="5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/>
    </xf>
    <xf numFmtId="9" fontId="8" fillId="0" borderId="28" xfId="5" applyFont="1" applyBorder="1" applyAlignment="1">
      <alignment horizontal="center" vertical="center"/>
    </xf>
    <xf numFmtId="0" fontId="8" fillId="8" borderId="30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167" fontId="9" fillId="5" borderId="34" xfId="0" applyNumberFormat="1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2" fillId="8" borderId="0" xfId="0" applyFont="1" applyFill="1" applyAlignment="1">
      <alignment vertical="center"/>
    </xf>
    <xf numFmtId="167" fontId="2" fillId="8" borderId="0" xfId="0" applyNumberFormat="1" applyFont="1" applyFill="1" applyAlignment="1">
      <alignment vertical="center"/>
    </xf>
    <xf numFmtId="0" fontId="2" fillId="8" borderId="0" xfId="0" applyFont="1" applyFill="1" applyAlignment="1">
      <alignment vertical="center" wrapText="1"/>
    </xf>
    <xf numFmtId="0" fontId="4" fillId="8" borderId="0" xfId="0" applyFont="1" applyFill="1" applyAlignment="1">
      <alignment vertical="center"/>
    </xf>
    <xf numFmtId="9" fontId="2" fillId="8" borderId="0" xfId="0" applyNumberFormat="1" applyFont="1" applyFill="1" applyAlignment="1">
      <alignment vertical="center" wrapText="1"/>
    </xf>
    <xf numFmtId="9" fontId="2" fillId="8" borderId="0" xfId="0" applyNumberFormat="1" applyFont="1" applyFill="1" applyAlignment="1">
      <alignment vertical="center"/>
    </xf>
    <xf numFmtId="8" fontId="2" fillId="8" borderId="0" xfId="0" applyNumberFormat="1" applyFont="1" applyFill="1" applyAlignment="1">
      <alignment vertical="center"/>
    </xf>
    <xf numFmtId="44" fontId="2" fillId="8" borderId="0" xfId="1" applyFont="1" applyFill="1" applyAlignment="1">
      <alignment vertical="center"/>
    </xf>
    <xf numFmtId="0" fontId="18" fillId="8" borderId="0" xfId="0" applyFont="1" applyFill="1" applyAlignment="1">
      <alignment vertical="center"/>
    </xf>
    <xf numFmtId="44" fontId="18" fillId="8" borderId="0" xfId="0" applyNumberFormat="1" applyFont="1" applyFill="1" applyAlignment="1">
      <alignment vertical="center"/>
    </xf>
    <xf numFmtId="169" fontId="2" fillId="8" borderId="0" xfId="0" applyNumberFormat="1" applyFont="1" applyFill="1" applyAlignment="1">
      <alignment vertical="center"/>
    </xf>
    <xf numFmtId="2" fontId="2" fillId="8" borderId="0" xfId="0" applyNumberFormat="1" applyFont="1" applyFill="1" applyAlignment="1">
      <alignment vertical="center"/>
    </xf>
    <xf numFmtId="44" fontId="8" fillId="0" borderId="29" xfId="0" applyNumberFormat="1" applyFont="1" applyBorder="1" applyAlignment="1">
      <alignment vertical="center"/>
    </xf>
    <xf numFmtId="44" fontId="8" fillId="0" borderId="26" xfId="0" applyNumberFormat="1" applyFont="1" applyBorder="1" applyAlignment="1">
      <alignment vertical="center"/>
    </xf>
    <xf numFmtId="44" fontId="8" fillId="0" borderId="32" xfId="0" applyNumberFormat="1" applyFont="1" applyBorder="1" applyAlignment="1">
      <alignment vertical="center"/>
    </xf>
    <xf numFmtId="44" fontId="8" fillId="0" borderId="29" xfId="0" applyNumberFormat="1" applyFont="1" applyBorder="1" applyAlignment="1">
      <alignment horizontal="right" vertical="center" wrapText="1"/>
    </xf>
    <xf numFmtId="44" fontId="8" fillId="0" borderId="26" xfId="0" applyNumberFormat="1" applyFont="1" applyBorder="1" applyAlignment="1">
      <alignment horizontal="right" vertical="center" wrapText="1"/>
    </xf>
    <xf numFmtId="44" fontId="8" fillId="0" borderId="32" xfId="0" applyNumberFormat="1" applyFont="1" applyBorder="1" applyAlignment="1">
      <alignment horizontal="right" vertical="center" wrapText="1"/>
    </xf>
    <xf numFmtId="44" fontId="9" fillId="0" borderId="26" xfId="0" applyNumberFormat="1" applyFont="1" applyBorder="1" applyAlignment="1">
      <alignment horizontal="right" vertical="center"/>
    </xf>
    <xf numFmtId="44" fontId="9" fillId="4" borderId="34" xfId="0" applyNumberFormat="1" applyFont="1" applyFill="1" applyBorder="1" applyAlignment="1">
      <alignment vertical="center"/>
    </xf>
    <xf numFmtId="44" fontId="9" fillId="2" borderId="37" xfId="0" applyNumberFormat="1" applyFont="1" applyFill="1" applyBorder="1" applyAlignment="1">
      <alignment vertical="center"/>
    </xf>
    <xf numFmtId="44" fontId="9" fillId="0" borderId="34" xfId="0" applyNumberFormat="1" applyFont="1" applyBorder="1" applyAlignment="1">
      <alignment vertical="center"/>
    </xf>
    <xf numFmtId="10" fontId="19" fillId="8" borderId="1" xfId="2" applyNumberFormat="1" applyFont="1" applyFill="1" applyBorder="1" applyAlignment="1">
      <alignment horizontal="center" vertical="center" wrapText="1"/>
    </xf>
    <xf numFmtId="0" fontId="8" fillId="8" borderId="0" xfId="12" applyFont="1" applyFill="1" applyAlignment="1">
      <alignment horizontal="left" vertical="center" wrapText="1"/>
    </xf>
    <xf numFmtId="0" fontId="8" fillId="8" borderId="43" xfId="13" applyFont="1" applyFill="1" applyBorder="1"/>
    <xf numFmtId="0" fontId="8" fillId="8" borderId="44" xfId="13" applyFont="1" applyFill="1" applyBorder="1"/>
    <xf numFmtId="0" fontId="8" fillId="8" borderId="45" xfId="13" applyFont="1" applyFill="1" applyBorder="1"/>
    <xf numFmtId="0" fontId="8" fillId="8" borderId="41" xfId="13" applyFont="1" applyFill="1" applyBorder="1" applyAlignment="1">
      <alignment horizontal="right"/>
    </xf>
    <xf numFmtId="0" fontId="8" fillId="8" borderId="0" xfId="13" applyFont="1" applyFill="1"/>
    <xf numFmtId="0" fontId="8" fillId="8" borderId="42" xfId="13" applyFont="1" applyFill="1" applyBorder="1"/>
    <xf numFmtId="0" fontId="25" fillId="8" borderId="0" xfId="13" applyFont="1" applyFill="1" applyAlignment="1">
      <alignment horizontal="center" vertical="center" wrapText="1"/>
    </xf>
    <xf numFmtId="0" fontId="8" fillId="8" borderId="41" xfId="15" applyNumberFormat="1" applyFont="1" applyFill="1" applyBorder="1" applyAlignment="1">
      <alignment vertical="center" wrapText="1"/>
    </xf>
    <xf numFmtId="0" fontId="8" fillId="8" borderId="42" xfId="15" applyNumberFormat="1" applyFont="1" applyFill="1" applyBorder="1" applyAlignment="1">
      <alignment vertical="center" wrapText="1"/>
    </xf>
    <xf numFmtId="0" fontId="9" fillId="8" borderId="0" xfId="13" applyFont="1" applyFill="1" applyAlignment="1">
      <alignment horizontal="center" vertical="center"/>
    </xf>
    <xf numFmtId="0" fontId="2" fillId="8" borderId="46" xfId="13" applyFont="1" applyFill="1" applyBorder="1"/>
    <xf numFmtId="0" fontId="8" fillId="8" borderId="17" xfId="13" applyFont="1" applyFill="1" applyBorder="1"/>
    <xf numFmtId="0" fontId="8" fillId="8" borderId="17" xfId="16" applyFont="1" applyFill="1" applyBorder="1" applyAlignment="1">
      <alignment horizontal="left" vertical="center"/>
    </xf>
    <xf numFmtId="0" fontId="2" fillId="8" borderId="17" xfId="13" applyFont="1" applyFill="1" applyBorder="1"/>
    <xf numFmtId="0" fontId="8" fillId="8" borderId="17" xfId="15" applyNumberFormat="1" applyFont="1" applyFill="1" applyBorder="1" applyAlignment="1">
      <alignment vertical="center" wrapText="1"/>
    </xf>
    <xf numFmtId="0" fontId="2" fillId="8" borderId="47" xfId="13" applyFont="1" applyFill="1" applyBorder="1"/>
    <xf numFmtId="0" fontId="23" fillId="8" borderId="0" xfId="13" applyFont="1" applyFill="1"/>
    <xf numFmtId="0" fontId="25" fillId="8" borderId="0" xfId="13" applyFont="1" applyFill="1" applyAlignment="1">
      <alignment horizontal="center" vertical="center" wrapText="1"/>
    </xf>
    <xf numFmtId="0" fontId="4" fillId="0" borderId="0" xfId="13" applyFont="1" applyAlignment="1">
      <alignment horizontal="left" vertical="top" wrapText="1"/>
    </xf>
    <xf numFmtId="0" fontId="9" fillId="8" borderId="41" xfId="13" applyFont="1" applyFill="1" applyBorder="1" applyAlignment="1">
      <alignment horizontal="center" vertical="center"/>
    </xf>
    <xf numFmtId="0" fontId="9" fillId="8" borderId="0" xfId="13" applyFont="1" applyFill="1" applyAlignment="1">
      <alignment horizontal="center" vertical="center"/>
    </xf>
    <xf numFmtId="0" fontId="24" fillId="8" borderId="41" xfId="13" applyFont="1" applyFill="1" applyBorder="1" applyAlignment="1">
      <alignment horizontal="center" vertical="center" wrapText="1"/>
    </xf>
    <xf numFmtId="0" fontId="24" fillId="8" borderId="0" xfId="13" applyFont="1" applyFill="1" applyAlignment="1">
      <alignment horizontal="center" vertical="center" wrapText="1"/>
    </xf>
    <xf numFmtId="0" fontId="26" fillId="8" borderId="9" xfId="13" applyFont="1" applyFill="1" applyBorder="1" applyAlignment="1">
      <alignment horizontal="center" vertical="center" wrapText="1"/>
    </xf>
    <xf numFmtId="0" fontId="26" fillId="8" borderId="9" xfId="15" applyFont="1" applyFill="1" applyBorder="1" applyAlignment="1">
      <alignment horizontal="center" vertical="center" wrapText="1"/>
    </xf>
    <xf numFmtId="0" fontId="9" fillId="8" borderId="12" xfId="15" applyNumberFormat="1" applyFont="1" applyFill="1" applyBorder="1" applyAlignment="1">
      <alignment horizontal="center" vertical="center" wrapText="1"/>
    </xf>
    <xf numFmtId="0" fontId="8" fillId="16" borderId="1" xfId="11" applyFont="1" applyFill="1" applyBorder="1" applyAlignment="1">
      <alignment horizontal="justify" vertical="center" wrapText="1"/>
    </xf>
    <xf numFmtId="0" fontId="9" fillId="16" borderId="1" xfId="11" applyFont="1" applyFill="1" applyBorder="1" applyAlignment="1">
      <alignment horizontal="justify" vertical="center" wrapText="1"/>
    </xf>
    <xf numFmtId="0" fontId="8" fillId="16" borderId="1" xfId="12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/>
    </xf>
    <xf numFmtId="0" fontId="9" fillId="13" borderId="2" xfId="0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9" fillId="13" borderId="22" xfId="0" applyFont="1" applyFill="1" applyBorder="1" applyAlignment="1">
      <alignment horizontal="left" vertical="center"/>
    </xf>
    <xf numFmtId="167" fontId="9" fillId="0" borderId="21" xfId="0" applyNumberFormat="1" applyFont="1" applyBorder="1" applyAlignment="1">
      <alignment horizontal="right" vertical="center" wrapText="1"/>
    </xf>
    <xf numFmtId="167" fontId="9" fillId="0" borderId="5" xfId="0" applyNumberFormat="1" applyFont="1" applyBorder="1" applyAlignment="1">
      <alignment horizontal="right" vertical="center" wrapText="1"/>
    </xf>
    <xf numFmtId="167" fontId="9" fillId="0" borderId="6" xfId="0" applyNumberFormat="1" applyFont="1" applyBorder="1" applyAlignment="1">
      <alignment horizontal="right" vertical="center" wrapText="1"/>
    </xf>
    <xf numFmtId="44" fontId="8" fillId="0" borderId="28" xfId="0" applyNumberFormat="1" applyFont="1" applyBorder="1" applyAlignment="1">
      <alignment horizontal="right" vertical="center" wrapText="1"/>
    </xf>
    <xf numFmtId="44" fontId="8" fillId="0" borderId="20" xfId="0" applyNumberFormat="1" applyFont="1" applyBorder="1" applyAlignment="1">
      <alignment horizontal="right" vertical="center" wrapText="1"/>
    </xf>
    <xf numFmtId="0" fontId="8" fillId="0" borderId="20" xfId="0" applyFont="1" applyBorder="1" applyAlignment="1">
      <alignment horizontal="justify" vertical="center" wrapText="1"/>
    </xf>
    <xf numFmtId="0" fontId="23" fillId="0" borderId="31" xfId="0" applyFont="1" applyBorder="1" applyAlignment="1">
      <alignment horizontal="justify" vertical="center" wrapText="1"/>
    </xf>
    <xf numFmtId="44" fontId="8" fillId="0" borderId="31" xfId="0" applyNumberFormat="1" applyFont="1" applyBorder="1" applyAlignment="1">
      <alignment horizontal="right" vertical="center" wrapText="1"/>
    </xf>
    <xf numFmtId="167" fontId="9" fillId="4" borderId="33" xfId="0" applyNumberFormat="1" applyFont="1" applyFill="1" applyBorder="1" applyAlignment="1">
      <alignment horizontal="right" vertical="center" wrapText="1"/>
    </xf>
    <xf numFmtId="167" fontId="9" fillId="4" borderId="1" xfId="0" applyNumberFormat="1" applyFont="1" applyFill="1" applyBorder="1" applyAlignment="1">
      <alignment horizontal="right" vertical="center" wrapText="1"/>
    </xf>
    <xf numFmtId="167" fontId="9" fillId="2" borderId="35" xfId="0" applyNumberFormat="1" applyFont="1" applyFill="1" applyBorder="1" applyAlignment="1">
      <alignment horizontal="right" vertical="center" wrapText="1"/>
    </xf>
    <xf numFmtId="167" fontId="9" fillId="2" borderId="36" xfId="0" applyNumberFormat="1" applyFont="1" applyFill="1" applyBorder="1" applyAlignment="1">
      <alignment horizontal="right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38" xfId="0" applyFont="1" applyBorder="1" applyAlignment="1">
      <alignment horizontal="right" vertical="center" wrapText="1"/>
    </xf>
    <xf numFmtId="0" fontId="9" fillId="0" borderId="39" xfId="0" applyFont="1" applyBorder="1" applyAlignment="1">
      <alignment horizontal="right" vertical="center" wrapText="1"/>
    </xf>
    <xf numFmtId="0" fontId="9" fillId="0" borderId="40" xfId="0" applyFont="1" applyBorder="1" applyAlignment="1">
      <alignment horizontal="right" vertical="center" wrapText="1"/>
    </xf>
    <xf numFmtId="0" fontId="9" fillId="15" borderId="38" xfId="0" applyFont="1" applyFill="1" applyBorder="1" applyAlignment="1">
      <alignment horizontal="right" vertical="center" wrapText="1"/>
    </xf>
    <xf numFmtId="0" fontId="9" fillId="15" borderId="39" xfId="0" applyFont="1" applyFill="1" applyBorder="1" applyAlignment="1">
      <alignment horizontal="right" vertical="center" wrapText="1"/>
    </xf>
    <xf numFmtId="0" fontId="9" fillId="15" borderId="40" xfId="0" applyFont="1" applyFill="1" applyBorder="1" applyAlignment="1">
      <alignment horizontal="right" vertical="center" wrapText="1"/>
    </xf>
    <xf numFmtId="0" fontId="9" fillId="4" borderId="21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9" fillId="4" borderId="21" xfId="0" applyFont="1" applyFill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0" fontId="9" fillId="4" borderId="22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167" fontId="9" fillId="5" borderId="34" xfId="0" applyNumberFormat="1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justify" vertical="center" wrapText="1"/>
    </xf>
    <xf numFmtId="2" fontId="8" fillId="8" borderId="20" xfId="4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34" xfId="0" applyFont="1" applyFill="1" applyBorder="1" applyAlignment="1">
      <alignment horizontal="left" vertical="center" wrapText="1"/>
    </xf>
    <xf numFmtId="0" fontId="8" fillId="0" borderId="28" xfId="0" applyFont="1" applyBorder="1" applyAlignment="1">
      <alignment horizontal="justify" vertical="center" wrapText="1"/>
    </xf>
    <xf numFmtId="0" fontId="8" fillId="0" borderId="28" xfId="0" applyFont="1" applyBorder="1" applyAlignment="1">
      <alignment vertical="center" wrapText="1"/>
    </xf>
    <xf numFmtId="44" fontId="8" fillId="8" borderId="20" xfId="0" applyNumberFormat="1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justify" vertical="center" wrapText="1"/>
    </xf>
    <xf numFmtId="44" fontId="8" fillId="0" borderId="20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34" xfId="0" applyFont="1" applyFill="1" applyBorder="1" applyAlignment="1">
      <alignment horizontal="left" vertical="center" wrapText="1"/>
    </xf>
    <xf numFmtId="2" fontId="8" fillId="8" borderId="28" xfId="4" applyNumberFormat="1" applyFont="1" applyFill="1" applyBorder="1" applyAlignment="1">
      <alignment horizontal="center" vertical="center" wrapText="1"/>
    </xf>
    <xf numFmtId="167" fontId="9" fillId="5" borderId="1" xfId="0" applyNumberFormat="1" applyFont="1" applyFill="1" applyBorder="1" applyAlignment="1">
      <alignment horizontal="center" vertical="center" wrapText="1"/>
    </xf>
    <xf numFmtId="44" fontId="8" fillId="8" borderId="28" xfId="0" applyNumberFormat="1" applyFont="1" applyFill="1" applyBorder="1" applyAlignment="1">
      <alignment horizontal="center" vertical="center" wrapText="1"/>
    </xf>
    <xf numFmtId="2" fontId="8" fillId="8" borderId="31" xfId="4" applyNumberFormat="1" applyFont="1" applyFill="1" applyBorder="1" applyAlignment="1">
      <alignment horizontal="center" vertical="center" wrapText="1"/>
    </xf>
    <xf numFmtId="44" fontId="8" fillId="0" borderId="31" xfId="0" applyNumberFormat="1" applyFont="1" applyBorder="1" applyAlignment="1">
      <alignment horizontal="center" vertical="center" wrapText="1"/>
    </xf>
    <xf numFmtId="167" fontId="8" fillId="0" borderId="23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167" fontId="8" fillId="0" borderId="2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4" fillId="12" borderId="2" xfId="0" applyFont="1" applyFill="1" applyBorder="1" applyAlignment="1">
      <alignment horizontal="right" vertical="center"/>
    </xf>
    <xf numFmtId="0" fontId="4" fillId="12" borderId="5" xfId="0" applyFont="1" applyFill="1" applyBorder="1" applyAlignment="1">
      <alignment horizontal="right" vertical="center"/>
    </xf>
    <xf numFmtId="0" fontId="4" fillId="12" borderId="6" xfId="0" applyFont="1" applyFill="1" applyBorder="1" applyAlignment="1">
      <alignment horizontal="right" vertical="center"/>
    </xf>
    <xf numFmtId="0" fontId="4" fillId="12" borderId="2" xfId="0" applyFont="1" applyFill="1" applyBorder="1" applyAlignment="1">
      <alignment horizontal="right" vertical="center" wrapText="1"/>
    </xf>
    <xf numFmtId="0" fontId="4" fillId="12" borderId="5" xfId="0" applyFont="1" applyFill="1" applyBorder="1" applyAlignment="1">
      <alignment horizontal="right" vertical="center" wrapText="1"/>
    </xf>
    <xf numFmtId="0" fontId="4" fillId="12" borderId="6" xfId="0" applyFont="1" applyFill="1" applyBorder="1" applyAlignment="1">
      <alignment horizontal="right" vertical="center" wrapText="1"/>
    </xf>
    <xf numFmtId="0" fontId="4" fillId="12" borderId="2" xfId="0" applyFont="1" applyFill="1" applyBorder="1" applyAlignment="1">
      <alignment horizontal="right" vertical="center" wrapText="1" indent="1"/>
    </xf>
    <xf numFmtId="0" fontId="4" fillId="12" borderId="5" xfId="0" applyFont="1" applyFill="1" applyBorder="1" applyAlignment="1">
      <alignment horizontal="right" vertical="center" wrapText="1" indent="1"/>
    </xf>
    <xf numFmtId="0" fontId="4" fillId="12" borderId="6" xfId="0" applyFont="1" applyFill="1" applyBorder="1" applyAlignment="1">
      <alignment horizontal="right" vertical="center" wrapText="1" indent="1"/>
    </xf>
    <xf numFmtId="0" fontId="9" fillId="0" borderId="1" xfId="3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0" fillId="7" borderId="0" xfId="0" applyFont="1" applyFill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15" fillId="11" borderId="0" xfId="0" applyFont="1" applyFill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0" fontId="13" fillId="0" borderId="16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4" fontId="2" fillId="0" borderId="1" xfId="0" applyNumberFormat="1" applyFont="1" applyBorder="1" applyAlignment="1">
      <alignment horizontal="left" vertical="center"/>
    </xf>
  </cellXfs>
  <cellStyles count="17">
    <cellStyle name="Hipervínculo" xfId="3" builtinId="8"/>
    <cellStyle name="Millares" xfId="4" builtinId="3"/>
    <cellStyle name="Millares 2 2" xfId="9" xr:uid="{00000000-0005-0000-0000-000002000000}"/>
    <cellStyle name="Moneda" xfId="1" builtinId="4"/>
    <cellStyle name="Moneda [0]" xfId="7" builtinId="7"/>
    <cellStyle name="Normal" xfId="0" builtinId="0"/>
    <cellStyle name="Normal 12 2" xfId="14" xr:uid="{29A4285B-5AC9-4E58-BB60-5958E8BF4D45}"/>
    <cellStyle name="Normal 2 10" xfId="10" xr:uid="{5673A4A5-01C7-4AEA-9E4C-D7F2C20F5279}"/>
    <cellStyle name="Normal 2 2" xfId="6" xr:uid="{00000000-0005-0000-0000-000006000000}"/>
    <cellStyle name="Normal 2 3" xfId="12" xr:uid="{7AFA4063-4FB6-47EC-BA65-D20FCDDAD718}"/>
    <cellStyle name="Normal 3" xfId="13" xr:uid="{30746844-5A92-4845-AF5F-FA229EFB2B4B}"/>
    <cellStyle name="Normal 3 11 2" xfId="15" xr:uid="{C853CB90-9743-44EB-A621-F027DA29EDCF}"/>
    <cellStyle name="Normal 3 11 3 2" xfId="11" xr:uid="{F2A8E1FC-04C8-4776-B05E-83948E479D13}"/>
    <cellStyle name="Normal 3 2 2" xfId="8" xr:uid="{00000000-0005-0000-0000-000007000000}"/>
    <cellStyle name="Normal_ESTABLECIMIENTO Y MANTENIMIENTO" xfId="16" xr:uid="{FEDE30D3-E3E1-47D3-87C2-0B0E03981E85}"/>
    <cellStyle name="Porcentaje" xfId="2" builtinId="5"/>
    <cellStyle name="Porcentaje 3" xfId="5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calcChain" Target="calcChain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theme" Target="theme/theme1.xml"/><Relationship Id="rId115" Type="http://schemas.microsoft.com/office/2006/relationships/vbaProject" Target="vbaProject.bin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#PPTO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hyperlink" Target="#PPTO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hyperlink" Target="#PPTO!A1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hyperlink" Target="#PPTO!A1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hyperlink" Target="#PPTO!A1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hyperlink" Target="#PPTO!A1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hyperlink" Target="#PPTO!A1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hyperlink" Target="#PPTO!A1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emf"/><Relationship Id="rId1" Type="http://schemas.openxmlformats.org/officeDocument/2006/relationships/hyperlink" Target="#PPTO!A1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emf"/><Relationship Id="rId1" Type="http://schemas.openxmlformats.org/officeDocument/2006/relationships/hyperlink" Target="#PPTO!A1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emf"/><Relationship Id="rId1" Type="http://schemas.openxmlformats.org/officeDocument/2006/relationships/hyperlink" Target="#PPTO!A1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hyperlink" Target="#PPTO!A1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hyperlink" Target="#PPT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9525</xdr:rowOff>
    </xdr:from>
    <xdr:to>
      <xdr:col>1</xdr:col>
      <xdr:colOff>1076096</xdr:colOff>
      <xdr:row>3</xdr:row>
      <xdr:rowOff>190425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19075"/>
          <a:ext cx="1828571" cy="600000"/>
        </a:xfrm>
        <a:prstGeom prst="rect">
          <a:avLst/>
        </a:prstGeom>
      </xdr:spPr>
    </xdr:pic>
    <xdr:clientData/>
  </xdr:twoCellAnchor>
  <xdr:twoCellAnchor>
    <xdr:from>
      <xdr:col>1</xdr:col>
      <xdr:colOff>1276350</xdr:colOff>
      <xdr:row>1</xdr:row>
      <xdr:rowOff>19050</xdr:rowOff>
    </xdr:from>
    <xdr:to>
      <xdr:col>5</xdr:col>
      <xdr:colOff>962025</xdr:colOff>
      <xdr:row>4</xdr:row>
      <xdr:rowOff>28575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257425" y="228600"/>
          <a:ext cx="5991225" cy="638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latin typeface="Arial Narrow" panose="020B0606020202030204" pitchFamily="34" charset="0"/>
            </a:rPr>
            <a:t>CONSTRUCCIÓN DE OBRAS DE MITIGACIÓN DEL BARRIO LA FERIA, ASENTAMIENTO CAMILO TORRES Y CUYANITA ETAPA 1.  UBICADOS EN LA COMUNA 4 DEL MUNICIPIO DE BUCARAMANGA, SANTANDER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295275</xdr:colOff>
      <xdr:row>46</xdr:row>
      <xdr:rowOff>180974</xdr:rowOff>
    </xdr:from>
    <xdr:to>
      <xdr:col>10</xdr:col>
      <xdr:colOff>3090407</xdr:colOff>
      <xdr:row>57</xdr:row>
      <xdr:rowOff>9524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D83E308-95C8-43FC-A199-79A1F64D1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63050" y="8705849"/>
          <a:ext cx="2795132" cy="1724025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47625</xdr:colOff>
      <xdr:row>76</xdr:row>
      <xdr:rowOff>83368</xdr:rowOff>
    </xdr:from>
    <xdr:to>
      <xdr:col>10</xdr:col>
      <xdr:colOff>3228355</xdr:colOff>
      <xdr:row>87</xdr:row>
      <xdr:rowOff>123824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E6AB7A1-B3ED-F61C-0282-4F6BA2A4D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15400" y="13075468"/>
          <a:ext cx="3180730" cy="1935931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161</xdr:row>
      <xdr:rowOff>133350</xdr:rowOff>
    </xdr:from>
    <xdr:to>
      <xdr:col>10</xdr:col>
      <xdr:colOff>2938007</xdr:colOff>
      <xdr:row>171</xdr:row>
      <xdr:rowOff>123825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54C54524-916E-4B87-8B23-52555D166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10650" y="64198500"/>
          <a:ext cx="2795132" cy="17240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</xdr:row>
      <xdr:rowOff>123825</xdr:rowOff>
    </xdr:from>
    <xdr:to>
      <xdr:col>0</xdr:col>
      <xdr:colOff>942975</xdr:colOff>
      <xdr:row>2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896E28-FEB2-473E-A806-3D7229FED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285750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10</xdr:col>
      <xdr:colOff>885825</xdr:colOff>
      <xdr:row>145</xdr:row>
      <xdr:rowOff>57150</xdr:rowOff>
    </xdr:from>
    <xdr:to>
      <xdr:col>10</xdr:col>
      <xdr:colOff>2819482</xdr:colOff>
      <xdr:row>155</xdr:row>
      <xdr:rowOff>155804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40504C-EB22-4012-A423-B26BF2FA2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753600" y="44167425"/>
          <a:ext cx="1933657" cy="20036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122465</xdr:colOff>
      <xdr:row>176</xdr:row>
      <xdr:rowOff>68036</xdr:rowOff>
    </xdr:from>
    <xdr:to>
      <xdr:col>33</xdr:col>
      <xdr:colOff>293640</xdr:colOff>
      <xdr:row>180</xdr:row>
      <xdr:rowOff>69593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1983EB7-E27C-421F-8B9B-40CFA1854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02365" y="18956111"/>
          <a:ext cx="2190476" cy="646658"/>
        </a:xfrm>
        <a:prstGeom prst="rect">
          <a:avLst/>
        </a:prstGeom>
      </xdr:spPr>
    </xdr:pic>
    <xdr:clientData/>
  </xdr:twoCellAnchor>
  <xdr:twoCellAnchor editAs="oneCell">
    <xdr:from>
      <xdr:col>31</xdr:col>
      <xdr:colOff>93650</xdr:colOff>
      <xdr:row>169</xdr:row>
      <xdr:rowOff>236124</xdr:rowOff>
    </xdr:from>
    <xdr:to>
      <xdr:col>33</xdr:col>
      <xdr:colOff>304319</xdr:colOff>
      <xdr:row>173</xdr:row>
      <xdr:rowOff>152875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B389B10-30DB-41B4-A463-5424B1234E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5750"/>
        <a:stretch/>
      </xdr:blipFill>
      <xdr:spPr>
        <a:xfrm>
          <a:off x="29773550" y="17495424"/>
          <a:ext cx="2229970" cy="114461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187</xdr:row>
      <xdr:rowOff>85725</xdr:rowOff>
    </xdr:from>
    <xdr:to>
      <xdr:col>10</xdr:col>
      <xdr:colOff>516188</xdr:colOff>
      <xdr:row>189</xdr:row>
      <xdr:rowOff>263010</xdr:rowOff>
    </xdr:to>
    <xdr:pic>
      <xdr:nvPicPr>
        <xdr:cNvPr id="14" name="Imagen 10">
          <a:extLst>
            <a:ext uri="{FF2B5EF4-FFF2-40B4-BE49-F238E27FC236}">
              <a16:creationId xmlns:a16="http://schemas.microsoft.com/office/drawing/2014/main" id="{11EC6350-48B5-4E2F-A588-292E32378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52975" y="7534275"/>
          <a:ext cx="4828115" cy="501135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</xdr:colOff>
      <xdr:row>203</xdr:row>
      <xdr:rowOff>104775</xdr:rowOff>
    </xdr:from>
    <xdr:to>
      <xdr:col>10</xdr:col>
      <xdr:colOff>607297</xdr:colOff>
      <xdr:row>205</xdr:row>
      <xdr:rowOff>282059</xdr:rowOff>
    </xdr:to>
    <xdr:pic>
      <xdr:nvPicPr>
        <xdr:cNvPr id="21" name="Imagen 10">
          <a:extLst>
            <a:ext uri="{FF2B5EF4-FFF2-40B4-BE49-F238E27FC236}">
              <a16:creationId xmlns:a16="http://schemas.microsoft.com/office/drawing/2014/main" id="{036CE74F-94FC-40D4-9A60-CF865680E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48225" y="10791825"/>
          <a:ext cx="4828115" cy="501135"/>
        </a:xfrm>
        <a:prstGeom prst="rect">
          <a:avLst/>
        </a:prstGeom>
      </xdr:spPr>
    </xdr:pic>
    <xdr:clientData/>
  </xdr:twoCellAnchor>
  <xdr:oneCellAnchor>
    <xdr:from>
      <xdr:col>5</xdr:col>
      <xdr:colOff>519856</xdr:colOff>
      <xdr:row>131</xdr:row>
      <xdr:rowOff>19487</xdr:rowOff>
    </xdr:from>
    <xdr:ext cx="5421807" cy="564891"/>
    <xdr:pic>
      <xdr:nvPicPr>
        <xdr:cNvPr id="15" name="Imagen 14">
          <a:extLst>
            <a:ext uri="{FF2B5EF4-FFF2-40B4-BE49-F238E27FC236}">
              <a16:creationId xmlns:a16="http://schemas.microsoft.com/office/drawing/2014/main" id="{70F4BDFD-71BC-4226-9CF0-7A5BCF750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91856" y="15350596"/>
          <a:ext cx="5421807" cy="564891"/>
        </a:xfrm>
        <a:prstGeom prst="rect">
          <a:avLst/>
        </a:prstGeom>
      </xdr:spPr>
    </xdr:pic>
    <xdr:clientData/>
  </xdr:oneCellAnchor>
  <xdr:twoCellAnchor editAs="oneCell">
    <xdr:from>
      <xdr:col>3</xdr:col>
      <xdr:colOff>0</xdr:colOff>
      <xdr:row>172</xdr:row>
      <xdr:rowOff>0</xdr:rowOff>
    </xdr:from>
    <xdr:to>
      <xdr:col>11</xdr:col>
      <xdr:colOff>190500</xdr:colOff>
      <xdr:row>183</xdr:row>
      <xdr:rowOff>23714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D6D951-8B10-4EBF-A6CE-B09FFB8E0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31480125"/>
          <a:ext cx="8982075" cy="1804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217</xdr:row>
      <xdr:rowOff>104775</xdr:rowOff>
    </xdr:from>
    <xdr:to>
      <xdr:col>10</xdr:col>
      <xdr:colOff>268538</xdr:colOff>
      <xdr:row>220</xdr:row>
      <xdr:rowOff>120135</xdr:rowOff>
    </xdr:to>
    <xdr:pic>
      <xdr:nvPicPr>
        <xdr:cNvPr id="3" name="Imagen 10">
          <a:extLst>
            <a:ext uri="{FF2B5EF4-FFF2-40B4-BE49-F238E27FC236}">
              <a16:creationId xmlns:a16="http://schemas.microsoft.com/office/drawing/2014/main" id="{F05EE403-F760-422C-9C44-3493E632B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34050" y="39843075"/>
          <a:ext cx="4831013" cy="501135"/>
        </a:xfrm>
        <a:prstGeom prst="rect">
          <a:avLst/>
        </a:prstGeom>
      </xdr:spPr>
    </xdr:pic>
    <xdr:clientData/>
  </xdr:twoCellAnchor>
  <xdr:oneCellAnchor>
    <xdr:from>
      <xdr:col>6</xdr:col>
      <xdr:colOff>57150</xdr:colOff>
      <xdr:row>227</xdr:row>
      <xdr:rowOff>104775</xdr:rowOff>
    </xdr:from>
    <xdr:ext cx="4831013" cy="501135"/>
    <xdr:pic>
      <xdr:nvPicPr>
        <xdr:cNvPr id="4" name="Imagen 10">
          <a:extLst>
            <a:ext uri="{FF2B5EF4-FFF2-40B4-BE49-F238E27FC236}">
              <a16:creationId xmlns:a16="http://schemas.microsoft.com/office/drawing/2014/main" id="{0AED100D-ED91-4AAE-ACCC-2B7925F58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34050" y="39843075"/>
          <a:ext cx="4831013" cy="50113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647700</xdr:colOff>
      <xdr:row>1</xdr:row>
      <xdr:rowOff>47625</xdr:rowOff>
    </xdr:from>
    <xdr:to>
      <xdr:col>8</xdr:col>
      <xdr:colOff>428625</xdr:colOff>
      <xdr:row>4</xdr:row>
      <xdr:rowOff>133350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665E34-777B-4BFD-828A-27F0E024D926}"/>
            </a:ext>
          </a:extLst>
        </xdr:cNvPr>
        <xdr:cNvSpPr/>
      </xdr:nvSpPr>
      <xdr:spPr>
        <a:xfrm>
          <a:off x="6991350" y="209550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6069B-EC48-4998-9EB2-9B5B7A8444D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B13B79-7470-4CD1-8D1F-D4366C8EB62B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501568-914C-423D-B7D0-BFA2B993227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909468-7256-463A-814C-480473EC6FA9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0C0C30-5CB5-460F-AFFF-A4198611EBE2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C93CA9-901C-45F8-AA75-8E0A1D2C32A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5B6BA9-DDA1-4415-9AC0-138B599E20A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026718-259D-47ED-91E8-57B426AE091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E2CC92-D075-4B43-87D0-E7A9C0E0323E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D9520D-DEAB-438F-A122-B38BF9945740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FF726B-8D75-4C2F-84AE-018A537EBA36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9BA782-B8D4-42BC-A269-34A8D9F5D05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3E2753-87A3-43D2-9B94-25A675078F45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2D9980-7FDE-4449-B2ED-4B52995E7B64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D0C44B-EE99-4223-8CCF-769319E64A82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8AB602-F809-4359-9930-C1965079A2F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778FED-8B2C-4276-A367-EE7B69DDDBD6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C3A7501-1CEA-42EF-BE83-50E1450D1DEB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3E9518-5354-4B49-94E0-D3625FDC6CB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12</xdr:col>
      <xdr:colOff>447675</xdr:colOff>
      <xdr:row>2</xdr:row>
      <xdr:rowOff>342900</xdr:rowOff>
    </xdr:from>
    <xdr:to>
      <xdr:col>17</xdr:col>
      <xdr:colOff>504825</xdr:colOff>
      <xdr:row>6</xdr:row>
      <xdr:rowOff>96723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8960DC4-619D-424F-A413-B863284D1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666750"/>
          <a:ext cx="3867150" cy="1068273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CF3811-3D65-476A-AD95-935E39FF466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B0DA94-D2B8-4570-8658-3E3C774DB64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E0D0F8-A4D8-4A6D-B76F-2605F9ADAC8B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72FEEC-2B4D-4231-8F19-6D987F55975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48FEED-2019-430C-8786-42B0B7268CD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AED10E-49A0-403E-9A5E-79599610C70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F3F57B-0C91-4E2C-9BD7-5DC5BDB8B3B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8CA7C9-652F-4786-BD90-BF03C2886A85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804D18-B4D8-4774-9041-A0051F3FFA9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FF4A77-6F9B-4E85-BDA3-3F8346A88454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D022C7-4D16-4DC8-A187-9DECCBB87BD9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6</xdr:col>
      <xdr:colOff>266700</xdr:colOff>
      <xdr:row>2</xdr:row>
      <xdr:rowOff>247650</xdr:rowOff>
    </xdr:from>
    <xdr:to>
      <xdr:col>11</xdr:col>
      <xdr:colOff>170976</xdr:colOff>
      <xdr:row>20</xdr:row>
      <xdr:rowOff>18643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8B13D9-54C2-EA5F-CA45-D7C62B879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10350" y="571500"/>
          <a:ext cx="3790476" cy="325714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0AD78C-27A5-4EDD-829C-C99565C04E93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2AF738-D9CE-442A-90CA-A8B80F30F173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D3636F-48A3-4BD9-B21C-8C936241F4C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260056-5F54-4DEB-85B3-4D226509E83E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9B184D-B4FD-46B8-BEA0-036F6ED3444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7630A9-7ED6-4DE8-9CF4-B23E89D8F7D6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82B877-6713-4619-AACE-2A9F1970D90E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4CBD1E-95DB-435E-B64F-4005F61B6AA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13D66F-83B9-461E-B8ED-D580AD84892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BFCDD6-5991-4080-8EF5-A877822B944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3B543B-FEC6-478A-A7E4-D30D66DD24B4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2C9704-5A5C-419F-B100-8AA8C543745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BB7795-B71E-4077-9E63-55512DBD1787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C97F96-6258-4C1E-BE9A-866A078904A9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50E94A-7F82-4B9A-881D-16C45361869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CB4C25-7EEF-4770-A03F-70825132492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395C30-6219-4C8A-8A8E-6F35DA2F6AE9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05F78A-756D-40FC-8D0D-6BC59478052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F596C5-4A07-4A5B-8848-23CFE30ECE9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252304-0FCF-47E2-A013-1B9D3DFB0805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811DB6-0218-4757-BA25-C880EF06279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972DCA-F924-43F1-802B-2C01853528E4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ECB93E-0BD9-48D0-924A-B40A7A13D0F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1515A4-7BF9-4690-9B5D-0B04110151A3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2B1EBA-6055-486A-9BF7-3227C7FFCA58}"/>
            </a:ext>
          </a:extLst>
        </xdr:cNvPr>
        <xdr:cNvSpPr/>
      </xdr:nvSpPr>
      <xdr:spPr>
        <a:xfrm>
          <a:off x="7029450" y="161925"/>
          <a:ext cx="1809750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10</xdr:col>
      <xdr:colOff>352424</xdr:colOff>
      <xdr:row>1</xdr:row>
      <xdr:rowOff>38100</xdr:rowOff>
    </xdr:from>
    <xdr:to>
      <xdr:col>22</xdr:col>
      <xdr:colOff>190499</xdr:colOff>
      <xdr:row>8</xdr:row>
      <xdr:rowOff>90389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DFA1AB1-87C2-C128-698D-F25D52A9F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48899" y="200025"/>
          <a:ext cx="8982075" cy="1804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1B607B-6AC3-4151-AF72-AF03DAD59184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228925F-947A-4274-8B2A-7777E477AF34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27E8C2-9D7F-42A3-A47E-929AE2451975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24</xdr:col>
      <xdr:colOff>190500</xdr:colOff>
      <xdr:row>5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0539DF-72FB-75B4-B4F4-92ED13E5F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9850" y="323850"/>
          <a:ext cx="10096500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4D51CB-3DDD-426F-84CC-E66587FEE35E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10</xdr:col>
      <xdr:colOff>495300</xdr:colOff>
      <xdr:row>1</xdr:row>
      <xdr:rowOff>28575</xdr:rowOff>
    </xdr:from>
    <xdr:to>
      <xdr:col>23</xdr:col>
      <xdr:colOff>685800</xdr:colOff>
      <xdr:row>5</xdr:row>
      <xdr:rowOff>66675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9DF19B4-ED98-A1B0-CD11-B97369BE3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63150" y="190500"/>
          <a:ext cx="10096500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D7B1F9-27EC-42CD-B76E-97BD976362C5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5B2133-93A3-44B2-904A-196F32EAD106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D86D07-9F3F-4FE3-88B0-B341144BD16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B60018-6BBD-4649-870F-7BC884A8A082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2327E4-DC84-4E5B-B633-752D8B219CA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5DCEF9-0CB0-4F3D-9E6C-29018B00933D}"/>
            </a:ext>
          </a:extLst>
        </xdr:cNvPr>
        <xdr:cNvSpPr/>
      </xdr:nvSpPr>
      <xdr:spPr>
        <a:xfrm>
          <a:off x="7029450" y="161925"/>
          <a:ext cx="1809750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1007BD-001C-44E8-9C03-B549C77B2113}"/>
            </a:ext>
          </a:extLst>
        </xdr:cNvPr>
        <xdr:cNvSpPr/>
      </xdr:nvSpPr>
      <xdr:spPr>
        <a:xfrm>
          <a:off x="7029450" y="161925"/>
          <a:ext cx="1809750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11</xdr:col>
      <xdr:colOff>0</xdr:colOff>
      <xdr:row>2</xdr:row>
      <xdr:rowOff>0</xdr:rowOff>
    </xdr:from>
    <xdr:to>
      <xdr:col>24</xdr:col>
      <xdr:colOff>190500</xdr:colOff>
      <xdr:row>5</xdr:row>
      <xdr:rowOff>152400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C9BC954-1CB4-A4D7-817F-DA8B00A82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8475" y="323850"/>
          <a:ext cx="1009650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80BA16-1B00-4928-82BB-06F3F0362DB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26FC1C-D080-489F-8728-6B8236BAA932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9</xdr:col>
      <xdr:colOff>489338</xdr:colOff>
      <xdr:row>1</xdr:row>
      <xdr:rowOff>28575</xdr:rowOff>
    </xdr:from>
    <xdr:to>
      <xdr:col>21</xdr:col>
      <xdr:colOff>142874</xdr:colOff>
      <xdr:row>4</xdr:row>
      <xdr:rowOff>295275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081E5BA-BFA2-FB7E-0C20-102966325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5188" y="190500"/>
          <a:ext cx="8797536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730191-CE7F-47F3-8DF6-8DDCC9DAE20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10</xdr:col>
      <xdr:colOff>342899</xdr:colOff>
      <xdr:row>2</xdr:row>
      <xdr:rowOff>9525</xdr:rowOff>
    </xdr:from>
    <xdr:to>
      <xdr:col>20</xdr:col>
      <xdr:colOff>466724</xdr:colOff>
      <xdr:row>7</xdr:row>
      <xdr:rowOff>30777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D005171-2FD6-F57C-1B09-0C013248D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49" y="333375"/>
          <a:ext cx="7743825" cy="14976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7D0F5B-D877-4AD0-BD30-46823DE9E4CF}"/>
            </a:ext>
          </a:extLst>
        </xdr:cNvPr>
        <xdr:cNvSpPr/>
      </xdr:nvSpPr>
      <xdr:spPr>
        <a:xfrm>
          <a:off x="7029450" y="161925"/>
          <a:ext cx="151447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3A791A-1844-4D59-84FE-6D5A537A9979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5ADE9B-7049-445A-9882-115F17194879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9</xdr:col>
      <xdr:colOff>752475</xdr:colOff>
      <xdr:row>0</xdr:row>
      <xdr:rowOff>114300</xdr:rowOff>
    </xdr:from>
    <xdr:to>
      <xdr:col>23</xdr:col>
      <xdr:colOff>180975</xdr:colOff>
      <xdr:row>9</xdr:row>
      <xdr:rowOff>9525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BAC1300-1C3E-F37D-4D87-8AC9DCA49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8325" y="114300"/>
          <a:ext cx="10096500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6F17CB-C2A8-471F-829B-EF48A9061AD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7461CF-5424-487E-A796-9E45F98EB713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A5C251-EADC-41AD-9111-2E5C0D5A2880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6" name="Flecha: hacia la izquierda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886154-4893-4CD4-B610-4C6CA9A90FB3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9</xdr:col>
      <xdr:colOff>494322</xdr:colOff>
      <xdr:row>1</xdr:row>
      <xdr:rowOff>85725</xdr:rowOff>
    </xdr:from>
    <xdr:to>
      <xdr:col>19</xdr:col>
      <xdr:colOff>659004</xdr:colOff>
      <xdr:row>5</xdr:row>
      <xdr:rowOff>104775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70F6270-AB27-53D1-98CC-3A3B4C0F2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0172" y="247650"/>
          <a:ext cx="7784682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98E545-EE5B-4EDD-94A7-98DD2A4D0C4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5B3F34-E1EB-4CBD-B13E-8EEBE2955B3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356AEB-C65F-4CDF-9160-BAF39720772D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914874-3E56-451A-82DB-F714758E0B02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725C7C-038C-42CE-8BFE-18270CA99620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5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EAAB78-C595-4538-909A-9BAE4A79BF58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10</xdr:col>
      <xdr:colOff>276225</xdr:colOff>
      <xdr:row>1</xdr:row>
      <xdr:rowOff>85725</xdr:rowOff>
    </xdr:from>
    <xdr:to>
      <xdr:col>20</xdr:col>
      <xdr:colOff>466725</xdr:colOff>
      <xdr:row>4</xdr:row>
      <xdr:rowOff>215301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1256DE9-C76A-E46B-8F95-40EBFB5B0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075" y="247650"/>
          <a:ext cx="7810500" cy="1282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32C6518-5B43-497F-B10B-081F735666E6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D2963A-0090-4346-AC43-331DFC1EE57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C52FA8-A9AA-47D9-AEB6-7763C86FFFAC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2FA430-0D12-4905-BF90-D11891BA04FD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6633DA-2ABC-4EB8-A00A-8B9CB2065C7B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DFB7D5-E480-4D7E-9600-15C1FBD3012E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0EDBA7-E641-4385-AD65-A15EAF366273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92ACD2-0639-404A-9395-C6266F4D6F16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5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B53DE5-005A-418F-BA7F-18307C0A7B77}"/>
            </a:ext>
          </a:extLst>
        </xdr:cNvPr>
        <xdr:cNvSpPr/>
      </xdr:nvSpPr>
      <xdr:spPr>
        <a:xfrm>
          <a:off x="7029450" y="161925"/>
          <a:ext cx="1381125" cy="123825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  <xdr:twoCellAnchor editAs="oneCell">
    <xdr:from>
      <xdr:col>10</xdr:col>
      <xdr:colOff>314325</xdr:colOff>
      <xdr:row>1</xdr:row>
      <xdr:rowOff>28575</xdr:rowOff>
    </xdr:from>
    <xdr:to>
      <xdr:col>21</xdr:col>
      <xdr:colOff>352425</xdr:colOff>
      <xdr:row>4</xdr:row>
      <xdr:rowOff>99347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41FEC99-1B55-F36D-1CBF-7F1CE5660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2175" y="190500"/>
          <a:ext cx="8420100" cy="1223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BF4E6B-2D86-488B-8F34-1640D90FF1D1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F5A404-85EA-4411-9F9B-C3F5F488076B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5337B5-DBFA-47E4-A991-C0BBF706981F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E9A38E-A4B6-4034-9351-DF717E4F10EB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932CF-3210-4E21-B77C-FA64255A5F87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0E2A87-625D-4F6C-B01C-D41E2CFC6FD2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F0F198-0122-4EA4-B4B9-82A2DA55079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1A9060-5E22-47DA-873C-0E67F0C492D5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66C5E9-CA95-4F70-B347-14AB6CBDAA88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775FE0-3370-4446-8211-5F2AC64363E6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B2892B-1E93-4DD1-97C4-E2F3E926AC5E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5E3418-B345-443E-B4C6-65F50C85CFBA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2F85AA-703E-4CA3-8290-9548F28C859D}"/>
            </a:ext>
          </a:extLst>
        </xdr:cNvPr>
        <xdr:cNvSpPr/>
      </xdr:nvSpPr>
      <xdr:spPr>
        <a:xfrm>
          <a:off x="7029450" y="161925"/>
          <a:ext cx="1381125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</xdr:row>
      <xdr:rowOff>0</xdr:rowOff>
    </xdr:from>
    <xdr:to>
      <xdr:col>8</xdr:col>
      <xdr:colOff>466725</xdr:colOff>
      <xdr:row>4</xdr:row>
      <xdr:rowOff>85725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7E5303-9C72-423D-9572-1F1BA7414D81}"/>
            </a:ext>
          </a:extLst>
        </xdr:cNvPr>
        <xdr:cNvSpPr/>
      </xdr:nvSpPr>
      <xdr:spPr>
        <a:xfrm>
          <a:off x="7029450" y="161925"/>
          <a:ext cx="1657350" cy="914400"/>
        </a:xfrm>
        <a:prstGeom prst="leftArrow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VOLVER</a:t>
          </a:r>
          <a:r>
            <a:rPr lang="es-CO" sz="1100" b="1" baseline="0"/>
            <a:t> A PPTO</a:t>
          </a:r>
          <a:endParaRPr lang="es-CO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42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43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44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5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46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47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8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9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50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51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52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53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54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55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56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57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8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9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60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61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62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63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64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65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66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67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68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69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70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71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72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73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74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75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76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77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78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79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80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81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82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83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84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85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86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87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88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89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90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91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92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93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94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95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96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97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98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99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100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101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102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103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104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10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P191"/>
  <sheetViews>
    <sheetView view="pageBreakPreview" zoomScale="115" zoomScaleNormal="85" zoomScaleSheetLayoutView="115" workbookViewId="0">
      <selection activeCell="F171" sqref="F171"/>
    </sheetView>
  </sheetViews>
  <sheetFormatPr baseColWidth="10" defaultColWidth="9.140625" defaultRowHeight="12.75" x14ac:dyDescent="0.25"/>
  <cols>
    <col min="1" max="1" width="7.140625" style="3" customWidth="1"/>
    <col min="2" max="2" width="12.85546875" style="3" bestFit="1" customWidth="1"/>
    <col min="3" max="3" width="45.140625" style="4" customWidth="1"/>
    <col min="4" max="4" width="9.140625" style="3"/>
    <col min="5" max="5" width="5.28515625" style="1" bestFit="1" customWidth="1"/>
    <col min="6" max="6" width="14.28515625" style="68" bestFit="1" customWidth="1"/>
    <col min="7" max="7" width="14.85546875" style="68" customWidth="1"/>
    <col min="8" max="8" width="9.140625" style="1"/>
    <col min="9" max="9" width="13" style="78" customWidth="1"/>
    <col min="10" max="10" width="9.140625" style="74" customWidth="1"/>
    <col min="11" max="12" width="9.140625" style="74"/>
    <col min="13" max="13" width="16.28515625" style="74" customWidth="1"/>
    <col min="14" max="14" width="13.85546875" style="74" customWidth="1"/>
    <col min="15" max="15" width="10.28515625" style="1" bestFit="1" customWidth="1"/>
    <col min="16" max="16" width="15.28515625" style="1" customWidth="1"/>
    <col min="17" max="16384" width="9.140625" style="1"/>
  </cols>
  <sheetData>
    <row r="1" spans="1:14" s="5" customFormat="1" x14ac:dyDescent="0.25">
      <c r="A1" s="63" t="s">
        <v>0</v>
      </c>
      <c r="B1" s="63" t="s">
        <v>1</v>
      </c>
      <c r="C1" s="146" t="s">
        <v>2</v>
      </c>
      <c r="D1" s="63" t="s">
        <v>3</v>
      </c>
      <c r="E1" s="63" t="s">
        <v>4</v>
      </c>
      <c r="F1" s="179" t="s">
        <v>5</v>
      </c>
      <c r="G1" s="179" t="s">
        <v>6</v>
      </c>
      <c r="I1" s="77"/>
      <c r="J1" s="184"/>
      <c r="K1" s="184"/>
      <c r="L1" s="184"/>
      <c r="M1" s="184"/>
      <c r="N1" s="184"/>
    </row>
    <row r="2" spans="1:14" x14ac:dyDescent="0.25">
      <c r="A2" s="182" t="s">
        <v>7</v>
      </c>
      <c r="B2" s="182" t="s">
        <v>8</v>
      </c>
      <c r="C2" s="9" t="s">
        <v>547</v>
      </c>
      <c r="D2" s="182" t="s">
        <v>770</v>
      </c>
      <c r="E2" s="185">
        <v>1</v>
      </c>
      <c r="F2" s="76">
        <v>4740.6499999999996</v>
      </c>
      <c r="G2" s="76">
        <f>+F2*E2</f>
        <v>4740.6499999999996</v>
      </c>
    </row>
    <row r="3" spans="1:14" x14ac:dyDescent="0.25">
      <c r="A3" s="182" t="s">
        <v>10</v>
      </c>
      <c r="B3" s="182" t="s">
        <v>8</v>
      </c>
      <c r="C3" s="9" t="s">
        <v>11</v>
      </c>
      <c r="D3" s="182" t="s">
        <v>770</v>
      </c>
      <c r="E3" s="185">
        <v>1</v>
      </c>
      <c r="F3" s="76">
        <v>45000</v>
      </c>
      <c r="G3" s="76">
        <f t="shared" ref="G3:G66" si="0">+F3*E3</f>
        <v>45000</v>
      </c>
    </row>
    <row r="4" spans="1:14" x14ac:dyDescent="0.25">
      <c r="A4" s="182" t="s">
        <v>13</v>
      </c>
      <c r="B4" s="182" t="s">
        <v>8</v>
      </c>
      <c r="C4" s="9" t="s">
        <v>14</v>
      </c>
      <c r="D4" s="182" t="s">
        <v>771</v>
      </c>
      <c r="E4" s="185">
        <v>1</v>
      </c>
      <c r="F4" s="76">
        <v>50</v>
      </c>
      <c r="G4" s="76">
        <f t="shared" si="0"/>
        <v>50</v>
      </c>
    </row>
    <row r="5" spans="1:14" x14ac:dyDescent="0.25">
      <c r="A5" s="182" t="s">
        <v>15</v>
      </c>
      <c r="B5" s="182" t="s">
        <v>8</v>
      </c>
      <c r="C5" s="9" t="s">
        <v>14</v>
      </c>
      <c r="D5" s="182" t="s">
        <v>772</v>
      </c>
      <c r="E5" s="185">
        <v>1</v>
      </c>
      <c r="F5" s="76">
        <f>+F4*3.78</f>
        <v>189</v>
      </c>
      <c r="G5" s="76">
        <f t="shared" si="0"/>
        <v>189</v>
      </c>
    </row>
    <row r="6" spans="1:14" x14ac:dyDescent="0.25">
      <c r="A6" s="182" t="s">
        <v>16</v>
      </c>
      <c r="B6" s="182" t="s">
        <v>8</v>
      </c>
      <c r="C6" s="9" t="s">
        <v>17</v>
      </c>
      <c r="D6" s="182" t="s">
        <v>770</v>
      </c>
      <c r="E6" s="185">
        <v>1</v>
      </c>
      <c r="F6" s="76">
        <v>4500</v>
      </c>
      <c r="G6" s="76">
        <f t="shared" si="0"/>
        <v>4500</v>
      </c>
    </row>
    <row r="7" spans="1:14" x14ac:dyDescent="0.25">
      <c r="A7" s="182" t="s">
        <v>18</v>
      </c>
      <c r="B7" s="182" t="s">
        <v>8</v>
      </c>
      <c r="C7" s="9" t="s">
        <v>19</v>
      </c>
      <c r="D7" s="182" t="s">
        <v>20</v>
      </c>
      <c r="E7" s="185">
        <v>1</v>
      </c>
      <c r="F7" s="76">
        <v>190000</v>
      </c>
      <c r="G7" s="76">
        <f t="shared" si="0"/>
        <v>190000</v>
      </c>
    </row>
    <row r="8" spans="1:14" x14ac:dyDescent="0.25">
      <c r="A8" s="182" t="s">
        <v>21</v>
      </c>
      <c r="B8" s="182" t="s">
        <v>8</v>
      </c>
      <c r="C8" s="9" t="s">
        <v>546</v>
      </c>
      <c r="D8" s="182" t="s">
        <v>770</v>
      </c>
      <c r="E8" s="185">
        <v>1</v>
      </c>
      <c r="F8" s="76">
        <v>5100</v>
      </c>
      <c r="G8" s="76">
        <f t="shared" si="0"/>
        <v>5100</v>
      </c>
    </row>
    <row r="9" spans="1:14" x14ac:dyDescent="0.25">
      <c r="A9" s="182" t="s">
        <v>22</v>
      </c>
      <c r="B9" s="182" t="s">
        <v>8</v>
      </c>
      <c r="C9" s="9" t="s">
        <v>23</v>
      </c>
      <c r="D9" s="182" t="s">
        <v>768</v>
      </c>
      <c r="E9" s="185">
        <v>1</v>
      </c>
      <c r="F9" s="76">
        <v>45000</v>
      </c>
      <c r="G9" s="76">
        <f t="shared" si="0"/>
        <v>45000</v>
      </c>
    </row>
    <row r="10" spans="1:14" x14ac:dyDescent="0.25">
      <c r="A10" s="182" t="s">
        <v>25</v>
      </c>
      <c r="B10" s="182" t="s">
        <v>8</v>
      </c>
      <c r="C10" s="9" t="s">
        <v>26</v>
      </c>
      <c r="D10" s="182" t="s">
        <v>769</v>
      </c>
      <c r="E10" s="185">
        <v>1</v>
      </c>
      <c r="F10" s="76">
        <v>50000</v>
      </c>
      <c r="G10" s="76">
        <f t="shared" si="0"/>
        <v>50000</v>
      </c>
    </row>
    <row r="11" spans="1:14" x14ac:dyDescent="0.25">
      <c r="A11" s="182" t="s">
        <v>28</v>
      </c>
      <c r="B11" s="182" t="s">
        <v>8</v>
      </c>
      <c r="C11" s="9" t="s">
        <v>29</v>
      </c>
      <c r="D11" s="182" t="s">
        <v>769</v>
      </c>
      <c r="E11" s="185">
        <v>1</v>
      </c>
      <c r="F11" s="76">
        <v>74106</v>
      </c>
      <c r="G11" s="76">
        <f t="shared" si="0"/>
        <v>74106</v>
      </c>
    </row>
    <row r="12" spans="1:14" x14ac:dyDescent="0.25">
      <c r="A12" s="182" t="s">
        <v>30</v>
      </c>
      <c r="B12" s="182" t="s">
        <v>8</v>
      </c>
      <c r="C12" s="9" t="s">
        <v>765</v>
      </c>
      <c r="D12" s="182" t="s">
        <v>775</v>
      </c>
      <c r="E12" s="185">
        <v>1</v>
      </c>
      <c r="F12" s="76">
        <v>700000</v>
      </c>
      <c r="G12" s="76">
        <f t="shared" si="0"/>
        <v>700000</v>
      </c>
    </row>
    <row r="13" spans="1:14" x14ac:dyDescent="0.25">
      <c r="A13" s="182" t="s">
        <v>32</v>
      </c>
      <c r="B13" s="182" t="s">
        <v>8</v>
      </c>
      <c r="C13" s="9" t="s">
        <v>33</v>
      </c>
      <c r="D13" s="182" t="s">
        <v>769</v>
      </c>
      <c r="E13" s="185">
        <v>1</v>
      </c>
      <c r="F13" s="76">
        <v>79550</v>
      </c>
      <c r="G13" s="76">
        <f t="shared" si="0"/>
        <v>79550</v>
      </c>
    </row>
    <row r="14" spans="1:14" x14ac:dyDescent="0.25">
      <c r="A14" s="182" t="s">
        <v>34</v>
      </c>
      <c r="B14" s="182" t="s">
        <v>8</v>
      </c>
      <c r="C14" s="9" t="s">
        <v>35</v>
      </c>
      <c r="D14" s="182" t="s">
        <v>775</v>
      </c>
      <c r="E14" s="185">
        <v>1</v>
      </c>
      <c r="F14" s="76">
        <v>35800</v>
      </c>
      <c r="G14" s="76">
        <f t="shared" si="0"/>
        <v>35800</v>
      </c>
    </row>
    <row r="15" spans="1:14" x14ac:dyDescent="0.25">
      <c r="A15" s="182" t="s">
        <v>36</v>
      </c>
      <c r="B15" s="182" t="s">
        <v>8</v>
      </c>
      <c r="C15" s="9" t="s">
        <v>548</v>
      </c>
      <c r="D15" s="182" t="s">
        <v>775</v>
      </c>
      <c r="E15" s="185">
        <v>1</v>
      </c>
      <c r="F15" s="76">
        <v>79000</v>
      </c>
      <c r="G15" s="76">
        <f t="shared" si="0"/>
        <v>79000</v>
      </c>
    </row>
    <row r="16" spans="1:14" x14ac:dyDescent="0.25">
      <c r="A16" s="182" t="s">
        <v>38</v>
      </c>
      <c r="B16" s="182" t="s">
        <v>8</v>
      </c>
      <c r="C16" s="9" t="s">
        <v>550</v>
      </c>
      <c r="D16" s="182" t="s">
        <v>768</v>
      </c>
      <c r="E16" s="185">
        <v>1</v>
      </c>
      <c r="F16" s="76">
        <v>12000</v>
      </c>
      <c r="G16" s="76">
        <f t="shared" si="0"/>
        <v>12000</v>
      </c>
    </row>
    <row r="17" spans="1:7" x14ac:dyDescent="0.25">
      <c r="A17" s="182" t="s">
        <v>39</v>
      </c>
      <c r="B17" s="182" t="s">
        <v>8</v>
      </c>
      <c r="C17" s="9" t="s">
        <v>491</v>
      </c>
      <c r="D17" s="9" t="s">
        <v>775</v>
      </c>
      <c r="E17" s="185">
        <v>1</v>
      </c>
      <c r="F17" s="76">
        <f>6500*3</f>
        <v>19500</v>
      </c>
      <c r="G17" s="76">
        <f t="shared" si="0"/>
        <v>19500</v>
      </c>
    </row>
    <row r="18" spans="1:7" x14ac:dyDescent="0.25">
      <c r="A18" s="182" t="s">
        <v>40</v>
      </c>
      <c r="B18" s="182" t="s">
        <v>8</v>
      </c>
      <c r="C18" s="9" t="s">
        <v>41</v>
      </c>
      <c r="D18" s="182" t="s">
        <v>37</v>
      </c>
      <c r="E18" s="185">
        <v>1</v>
      </c>
      <c r="F18" s="76">
        <v>66050</v>
      </c>
      <c r="G18" s="76">
        <f t="shared" si="0"/>
        <v>66050</v>
      </c>
    </row>
    <row r="19" spans="1:7" x14ac:dyDescent="0.25">
      <c r="A19" s="182" t="s">
        <v>42</v>
      </c>
      <c r="B19" s="182" t="s">
        <v>8</v>
      </c>
      <c r="C19" s="9" t="s">
        <v>43</v>
      </c>
      <c r="D19" s="182" t="s">
        <v>777</v>
      </c>
      <c r="E19" s="185">
        <v>1</v>
      </c>
      <c r="F19" s="76">
        <v>32500</v>
      </c>
      <c r="G19" s="76">
        <f t="shared" si="0"/>
        <v>32500</v>
      </c>
    </row>
    <row r="20" spans="1:7" x14ac:dyDescent="0.25">
      <c r="A20" s="182" t="s">
        <v>44</v>
      </c>
      <c r="B20" s="182" t="s">
        <v>8</v>
      </c>
      <c r="C20" s="9" t="s">
        <v>791</v>
      </c>
      <c r="D20" s="182" t="s">
        <v>768</v>
      </c>
      <c r="E20" s="185">
        <v>1</v>
      </c>
      <c r="F20" s="76">
        <v>11000</v>
      </c>
      <c r="G20" s="76">
        <f t="shared" si="0"/>
        <v>11000</v>
      </c>
    </row>
    <row r="21" spans="1:7" x14ac:dyDescent="0.25">
      <c r="A21" s="182" t="s">
        <v>45</v>
      </c>
      <c r="B21" s="182" t="s">
        <v>8</v>
      </c>
      <c r="C21" s="9" t="s">
        <v>46</v>
      </c>
      <c r="D21" s="182" t="s">
        <v>769</v>
      </c>
      <c r="E21" s="185">
        <v>1</v>
      </c>
      <c r="F21" s="76">
        <v>372328.83</v>
      </c>
      <c r="G21" s="76">
        <f t="shared" si="0"/>
        <v>372328.83</v>
      </c>
    </row>
    <row r="22" spans="1:7" x14ac:dyDescent="0.25">
      <c r="A22" s="182" t="s">
        <v>47</v>
      </c>
      <c r="B22" s="182" t="s">
        <v>8</v>
      </c>
      <c r="C22" s="9" t="s">
        <v>540</v>
      </c>
      <c r="D22" s="182" t="s">
        <v>769</v>
      </c>
      <c r="E22" s="185">
        <v>1</v>
      </c>
      <c r="F22" s="76">
        <v>626000</v>
      </c>
      <c r="G22" s="76">
        <f t="shared" si="0"/>
        <v>626000</v>
      </c>
    </row>
    <row r="23" spans="1:7" x14ac:dyDescent="0.25">
      <c r="A23" s="182" t="s">
        <v>48</v>
      </c>
      <c r="B23" s="182" t="s">
        <v>8</v>
      </c>
      <c r="C23" s="9" t="s">
        <v>541</v>
      </c>
      <c r="D23" s="182" t="s">
        <v>769</v>
      </c>
      <c r="E23" s="185">
        <v>1</v>
      </c>
      <c r="F23" s="76">
        <v>595000</v>
      </c>
      <c r="G23" s="76">
        <f t="shared" si="0"/>
        <v>595000</v>
      </c>
    </row>
    <row r="24" spans="1:7" x14ac:dyDescent="0.25">
      <c r="A24" s="182" t="s">
        <v>49</v>
      </c>
      <c r="B24" s="182" t="s">
        <v>8</v>
      </c>
      <c r="C24" s="9" t="s">
        <v>50</v>
      </c>
      <c r="D24" s="182" t="s">
        <v>770</v>
      </c>
      <c r="E24" s="185">
        <v>1</v>
      </c>
      <c r="F24" s="76">
        <v>500</v>
      </c>
      <c r="G24" s="76">
        <f t="shared" si="0"/>
        <v>500</v>
      </c>
    </row>
    <row r="25" spans="1:7" x14ac:dyDescent="0.25">
      <c r="A25" s="182" t="s">
        <v>51</v>
      </c>
      <c r="B25" s="182" t="s">
        <v>8</v>
      </c>
      <c r="C25" s="9" t="s">
        <v>52</v>
      </c>
      <c r="D25" s="182" t="s">
        <v>775</v>
      </c>
      <c r="E25" s="185">
        <v>1</v>
      </c>
      <c r="F25" s="76">
        <v>10500</v>
      </c>
      <c r="G25" s="76">
        <f t="shared" si="0"/>
        <v>10500</v>
      </c>
    </row>
    <row r="26" spans="1:7" x14ac:dyDescent="0.25">
      <c r="A26" s="182" t="s">
        <v>53</v>
      </c>
      <c r="B26" s="182" t="s">
        <v>8</v>
      </c>
      <c r="C26" s="9" t="s">
        <v>54</v>
      </c>
      <c r="D26" s="182" t="s">
        <v>769</v>
      </c>
      <c r="E26" s="185">
        <v>1</v>
      </c>
      <c r="F26" s="76">
        <v>5600</v>
      </c>
      <c r="G26" s="76">
        <f t="shared" si="0"/>
        <v>5600</v>
      </c>
    </row>
    <row r="27" spans="1:7" x14ac:dyDescent="0.25">
      <c r="A27" s="182" t="s">
        <v>55</v>
      </c>
      <c r="B27" s="182" t="s">
        <v>8</v>
      </c>
      <c r="C27" s="9" t="s">
        <v>56</v>
      </c>
      <c r="D27" s="182" t="s">
        <v>771</v>
      </c>
      <c r="E27" s="185">
        <v>1</v>
      </c>
      <c r="F27" s="76">
        <v>2200</v>
      </c>
      <c r="G27" s="76">
        <f t="shared" si="0"/>
        <v>2200</v>
      </c>
    </row>
    <row r="28" spans="1:7" hidden="1" x14ac:dyDescent="0.25">
      <c r="A28" s="182" t="s">
        <v>57</v>
      </c>
      <c r="B28" s="182" t="s">
        <v>8</v>
      </c>
      <c r="C28" s="9" t="s">
        <v>492</v>
      </c>
      <c r="D28" s="9" t="s">
        <v>775</v>
      </c>
      <c r="E28" s="185">
        <v>1</v>
      </c>
      <c r="F28" s="76">
        <v>75000</v>
      </c>
      <c r="G28" s="76">
        <f t="shared" si="0"/>
        <v>75000</v>
      </c>
    </row>
    <row r="29" spans="1:7" x14ac:dyDescent="0.25">
      <c r="A29" s="182" t="s">
        <v>58</v>
      </c>
      <c r="B29" s="182" t="s">
        <v>8</v>
      </c>
      <c r="C29" s="9" t="s">
        <v>493</v>
      </c>
      <c r="D29" s="182" t="s">
        <v>775</v>
      </c>
      <c r="E29" s="185">
        <v>1</v>
      </c>
      <c r="F29" s="76">
        <v>1250</v>
      </c>
      <c r="G29" s="76">
        <f t="shared" si="0"/>
        <v>1250</v>
      </c>
    </row>
    <row r="30" spans="1:7" x14ac:dyDescent="0.25">
      <c r="A30" s="182" t="s">
        <v>60</v>
      </c>
      <c r="B30" s="182" t="s">
        <v>8</v>
      </c>
      <c r="C30" s="9" t="s">
        <v>61</v>
      </c>
      <c r="D30" s="182" t="s">
        <v>775</v>
      </c>
      <c r="E30" s="185">
        <v>1</v>
      </c>
      <c r="F30" s="76">
        <v>1700</v>
      </c>
      <c r="G30" s="76">
        <f t="shared" si="0"/>
        <v>1700</v>
      </c>
    </row>
    <row r="31" spans="1:7" x14ac:dyDescent="0.25">
      <c r="A31" s="182" t="s">
        <v>62</v>
      </c>
      <c r="B31" s="182" t="s">
        <v>8</v>
      </c>
      <c r="C31" s="9" t="s">
        <v>63</v>
      </c>
      <c r="D31" s="182" t="s">
        <v>775</v>
      </c>
      <c r="E31" s="185">
        <v>1</v>
      </c>
      <c r="F31" s="76">
        <v>20000</v>
      </c>
      <c r="G31" s="76">
        <f t="shared" si="0"/>
        <v>20000</v>
      </c>
    </row>
    <row r="32" spans="1:7" x14ac:dyDescent="0.25">
      <c r="A32" s="182" t="s">
        <v>64</v>
      </c>
      <c r="B32" s="182" t="s">
        <v>8</v>
      </c>
      <c r="C32" s="9" t="s">
        <v>65</v>
      </c>
      <c r="D32" s="182" t="s">
        <v>770</v>
      </c>
      <c r="E32" s="185">
        <v>1</v>
      </c>
      <c r="F32" s="76">
        <v>2300</v>
      </c>
      <c r="G32" s="76">
        <f t="shared" si="0"/>
        <v>2300</v>
      </c>
    </row>
    <row r="33" spans="1:7" x14ac:dyDescent="0.25">
      <c r="A33" s="182" t="s">
        <v>66</v>
      </c>
      <c r="B33" s="182" t="s">
        <v>8</v>
      </c>
      <c r="C33" s="9" t="s">
        <v>67</v>
      </c>
      <c r="D33" s="182" t="s">
        <v>770</v>
      </c>
      <c r="E33" s="185">
        <v>1</v>
      </c>
      <c r="F33" s="76">
        <v>3200</v>
      </c>
      <c r="G33" s="76">
        <f t="shared" si="0"/>
        <v>3200</v>
      </c>
    </row>
    <row r="34" spans="1:7" x14ac:dyDescent="0.25">
      <c r="A34" s="182" t="s">
        <v>68</v>
      </c>
      <c r="B34" s="182" t="s">
        <v>8</v>
      </c>
      <c r="C34" s="9" t="s">
        <v>69</v>
      </c>
      <c r="D34" s="182" t="s">
        <v>775</v>
      </c>
      <c r="E34" s="185">
        <v>1</v>
      </c>
      <c r="F34" s="76">
        <v>1000</v>
      </c>
      <c r="G34" s="76">
        <f t="shared" si="0"/>
        <v>1000</v>
      </c>
    </row>
    <row r="35" spans="1:7" ht="38.25" x14ac:dyDescent="0.25">
      <c r="A35" s="182" t="s">
        <v>70</v>
      </c>
      <c r="B35" s="182" t="s">
        <v>8</v>
      </c>
      <c r="C35" s="9" t="s">
        <v>71</v>
      </c>
      <c r="D35" s="9" t="s">
        <v>773</v>
      </c>
      <c r="E35" s="185">
        <v>1</v>
      </c>
      <c r="F35" s="76">
        <v>225000</v>
      </c>
      <c r="G35" s="76">
        <f t="shared" si="0"/>
        <v>225000</v>
      </c>
    </row>
    <row r="36" spans="1:7" x14ac:dyDescent="0.25">
      <c r="A36" s="182" t="s">
        <v>72</v>
      </c>
      <c r="B36" s="182" t="s">
        <v>8</v>
      </c>
      <c r="C36" s="9" t="s">
        <v>73</v>
      </c>
      <c r="D36" s="182" t="s">
        <v>773</v>
      </c>
      <c r="E36" s="185">
        <v>1</v>
      </c>
      <c r="F36" s="76">
        <v>20000</v>
      </c>
      <c r="G36" s="76">
        <f t="shared" si="0"/>
        <v>20000</v>
      </c>
    </row>
    <row r="37" spans="1:7" x14ac:dyDescent="0.25">
      <c r="A37" s="182" t="s">
        <v>74</v>
      </c>
      <c r="B37" s="182" t="s">
        <v>8</v>
      </c>
      <c r="C37" s="9" t="s">
        <v>75</v>
      </c>
      <c r="D37" s="182" t="s">
        <v>773</v>
      </c>
      <c r="E37" s="185">
        <v>1</v>
      </c>
      <c r="F37" s="76">
        <v>15000</v>
      </c>
      <c r="G37" s="76">
        <f t="shared" si="0"/>
        <v>15000</v>
      </c>
    </row>
    <row r="38" spans="1:7" x14ac:dyDescent="0.25">
      <c r="A38" s="182" t="s">
        <v>76</v>
      </c>
      <c r="B38" s="182" t="s">
        <v>8</v>
      </c>
      <c r="C38" s="9" t="s">
        <v>77</v>
      </c>
      <c r="D38" s="182" t="s">
        <v>773</v>
      </c>
      <c r="E38" s="185">
        <v>1</v>
      </c>
      <c r="F38" s="76">
        <v>13000</v>
      </c>
      <c r="G38" s="76">
        <f t="shared" si="0"/>
        <v>13000</v>
      </c>
    </row>
    <row r="39" spans="1:7" x14ac:dyDescent="0.25">
      <c r="A39" s="182" t="s">
        <v>78</v>
      </c>
      <c r="B39" s="182" t="s">
        <v>8</v>
      </c>
      <c r="C39" s="9" t="s">
        <v>79</v>
      </c>
      <c r="D39" s="182" t="s">
        <v>773</v>
      </c>
      <c r="E39" s="185">
        <v>1</v>
      </c>
      <c r="F39" s="76">
        <v>14000</v>
      </c>
      <c r="G39" s="76">
        <f t="shared" si="0"/>
        <v>14000</v>
      </c>
    </row>
    <row r="40" spans="1:7" x14ac:dyDescent="0.25">
      <c r="A40" s="182" t="s">
        <v>80</v>
      </c>
      <c r="B40" s="182" t="s">
        <v>8</v>
      </c>
      <c r="C40" s="9" t="s">
        <v>516</v>
      </c>
      <c r="D40" s="182" t="s">
        <v>773</v>
      </c>
      <c r="E40" s="185">
        <v>1</v>
      </c>
      <c r="F40" s="76">
        <v>7000</v>
      </c>
      <c r="G40" s="76">
        <f t="shared" si="0"/>
        <v>7000</v>
      </c>
    </row>
    <row r="41" spans="1:7" x14ac:dyDescent="0.25">
      <c r="A41" s="182" t="s">
        <v>81</v>
      </c>
      <c r="B41" s="182" t="s">
        <v>8</v>
      </c>
      <c r="C41" s="9" t="s">
        <v>82</v>
      </c>
      <c r="D41" s="182" t="s">
        <v>773</v>
      </c>
      <c r="E41" s="185">
        <v>1</v>
      </c>
      <c r="F41" s="76">
        <v>3500</v>
      </c>
      <c r="G41" s="76">
        <f t="shared" si="0"/>
        <v>3500</v>
      </c>
    </row>
    <row r="42" spans="1:7" x14ac:dyDescent="0.25">
      <c r="A42" s="182" t="s">
        <v>83</v>
      </c>
      <c r="B42" s="182" t="s">
        <v>8</v>
      </c>
      <c r="C42" s="9" t="s">
        <v>84</v>
      </c>
      <c r="D42" s="182" t="s">
        <v>773</v>
      </c>
      <c r="E42" s="185">
        <v>1</v>
      </c>
      <c r="F42" s="76">
        <v>9000</v>
      </c>
      <c r="G42" s="76">
        <f t="shared" si="0"/>
        <v>9000</v>
      </c>
    </row>
    <row r="43" spans="1:7" x14ac:dyDescent="0.25">
      <c r="A43" s="182" t="s">
        <v>85</v>
      </c>
      <c r="B43" s="182" t="s">
        <v>8</v>
      </c>
      <c r="C43" s="9" t="s">
        <v>86</v>
      </c>
      <c r="D43" s="182" t="s">
        <v>773</v>
      </c>
      <c r="E43" s="185">
        <v>1</v>
      </c>
      <c r="F43" s="76">
        <v>30000</v>
      </c>
      <c r="G43" s="76">
        <f t="shared" si="0"/>
        <v>30000</v>
      </c>
    </row>
    <row r="44" spans="1:7" x14ac:dyDescent="0.25">
      <c r="A44" s="182" t="s">
        <v>87</v>
      </c>
      <c r="B44" s="182" t="s">
        <v>8</v>
      </c>
      <c r="C44" s="9" t="s">
        <v>88</v>
      </c>
      <c r="D44" s="182" t="s">
        <v>770</v>
      </c>
      <c r="E44" s="185">
        <v>1</v>
      </c>
      <c r="F44" s="76">
        <v>8000</v>
      </c>
      <c r="G44" s="76">
        <f t="shared" si="0"/>
        <v>8000</v>
      </c>
    </row>
    <row r="45" spans="1:7" x14ac:dyDescent="0.25">
      <c r="A45" s="182" t="s">
        <v>89</v>
      </c>
      <c r="B45" s="182" t="s">
        <v>8</v>
      </c>
      <c r="C45" s="9" t="s">
        <v>90</v>
      </c>
      <c r="D45" s="182" t="s">
        <v>770</v>
      </c>
      <c r="E45" s="185">
        <v>1</v>
      </c>
      <c r="F45" s="76">
        <v>50000</v>
      </c>
      <c r="G45" s="76">
        <f t="shared" si="0"/>
        <v>50000</v>
      </c>
    </row>
    <row r="46" spans="1:7" x14ac:dyDescent="0.25">
      <c r="A46" s="182" t="s">
        <v>91</v>
      </c>
      <c r="B46" s="182" t="s">
        <v>8</v>
      </c>
      <c r="C46" s="9" t="s">
        <v>92</v>
      </c>
      <c r="D46" s="182" t="s">
        <v>775</v>
      </c>
      <c r="E46" s="185">
        <v>1</v>
      </c>
      <c r="F46" s="76">
        <v>50000</v>
      </c>
      <c r="G46" s="76">
        <f t="shared" si="0"/>
        <v>50000</v>
      </c>
    </row>
    <row r="47" spans="1:7" x14ac:dyDescent="0.25">
      <c r="A47" s="182" t="s">
        <v>93</v>
      </c>
      <c r="B47" s="182" t="s">
        <v>8</v>
      </c>
      <c r="C47" s="9" t="s">
        <v>544</v>
      </c>
      <c r="D47" s="182" t="s">
        <v>770</v>
      </c>
      <c r="E47" s="185">
        <v>1</v>
      </c>
      <c r="F47" s="76">
        <v>15000</v>
      </c>
      <c r="G47" s="76">
        <f t="shared" si="0"/>
        <v>15000</v>
      </c>
    </row>
    <row r="48" spans="1:7" x14ac:dyDescent="0.25">
      <c r="A48" s="182" t="s">
        <v>94</v>
      </c>
      <c r="B48" s="182" t="s">
        <v>8</v>
      </c>
      <c r="C48" s="9" t="s">
        <v>95</v>
      </c>
      <c r="D48" s="182" t="s">
        <v>770</v>
      </c>
      <c r="E48" s="185">
        <v>1</v>
      </c>
      <c r="F48" s="76">
        <v>13000</v>
      </c>
      <c r="G48" s="76">
        <f t="shared" si="0"/>
        <v>13000</v>
      </c>
    </row>
    <row r="49" spans="1:7" x14ac:dyDescent="0.25">
      <c r="A49" s="182" t="s">
        <v>96</v>
      </c>
      <c r="B49" s="182" t="s">
        <v>8</v>
      </c>
      <c r="C49" s="9" t="s">
        <v>97</v>
      </c>
      <c r="D49" s="182" t="s">
        <v>775</v>
      </c>
      <c r="E49" s="185">
        <v>1</v>
      </c>
      <c r="F49" s="76">
        <v>4500</v>
      </c>
      <c r="G49" s="76">
        <f t="shared" si="0"/>
        <v>4500</v>
      </c>
    </row>
    <row r="50" spans="1:7" x14ac:dyDescent="0.25">
      <c r="A50" s="182" t="s">
        <v>98</v>
      </c>
      <c r="B50" s="182" t="s">
        <v>8</v>
      </c>
      <c r="C50" s="9" t="s">
        <v>99</v>
      </c>
      <c r="D50" s="182" t="s">
        <v>768</v>
      </c>
      <c r="E50" s="185">
        <v>1</v>
      </c>
      <c r="F50" s="76">
        <v>3700</v>
      </c>
      <c r="G50" s="76">
        <f t="shared" si="0"/>
        <v>3700</v>
      </c>
    </row>
    <row r="51" spans="1:7" x14ac:dyDescent="0.25">
      <c r="A51" s="182" t="s">
        <v>100</v>
      </c>
      <c r="B51" s="182" t="s">
        <v>8</v>
      </c>
      <c r="C51" s="9" t="s">
        <v>101</v>
      </c>
      <c r="D51" s="182" t="s">
        <v>773</v>
      </c>
      <c r="E51" s="185">
        <v>1</v>
      </c>
      <c r="F51" s="76">
        <v>100000</v>
      </c>
      <c r="G51" s="76">
        <f t="shared" si="0"/>
        <v>100000</v>
      </c>
    </row>
    <row r="52" spans="1:7" x14ac:dyDescent="0.25">
      <c r="A52" s="182" t="s">
        <v>102</v>
      </c>
      <c r="B52" s="182" t="s">
        <v>8</v>
      </c>
      <c r="C52" s="9" t="s">
        <v>103</v>
      </c>
      <c r="D52" s="182" t="s">
        <v>773</v>
      </c>
      <c r="E52" s="185">
        <v>1</v>
      </c>
      <c r="F52" s="76">
        <v>19500</v>
      </c>
      <c r="G52" s="76">
        <f t="shared" si="0"/>
        <v>19500</v>
      </c>
    </row>
    <row r="53" spans="1:7" x14ac:dyDescent="0.25">
      <c r="A53" s="182" t="s">
        <v>104</v>
      </c>
      <c r="B53" s="182" t="s">
        <v>8</v>
      </c>
      <c r="C53" s="9" t="s">
        <v>105</v>
      </c>
      <c r="D53" s="182" t="s">
        <v>775</v>
      </c>
      <c r="E53" s="185">
        <v>1</v>
      </c>
      <c r="F53" s="76">
        <v>13500</v>
      </c>
      <c r="G53" s="76">
        <f t="shared" si="0"/>
        <v>13500</v>
      </c>
    </row>
    <row r="54" spans="1:7" x14ac:dyDescent="0.25">
      <c r="A54" s="182" t="s">
        <v>106</v>
      </c>
      <c r="B54" s="182" t="s">
        <v>8</v>
      </c>
      <c r="C54" s="9" t="s">
        <v>107</v>
      </c>
      <c r="D54" s="9" t="s">
        <v>775</v>
      </c>
      <c r="E54" s="185">
        <v>1</v>
      </c>
      <c r="F54" s="76">
        <v>85000</v>
      </c>
      <c r="G54" s="76">
        <f t="shared" si="0"/>
        <v>85000</v>
      </c>
    </row>
    <row r="55" spans="1:7" x14ac:dyDescent="0.25">
      <c r="A55" s="182" t="s">
        <v>108</v>
      </c>
      <c r="B55" s="182" t="s">
        <v>8</v>
      </c>
      <c r="C55" s="9" t="s">
        <v>781</v>
      </c>
      <c r="D55" s="9" t="s">
        <v>773</v>
      </c>
      <c r="E55" s="185">
        <v>1</v>
      </c>
      <c r="F55" s="76">
        <v>272153</v>
      </c>
      <c r="G55" s="76">
        <f t="shared" si="0"/>
        <v>272153</v>
      </c>
    </row>
    <row r="56" spans="1:7" x14ac:dyDescent="0.25">
      <c r="A56" s="182" t="s">
        <v>109</v>
      </c>
      <c r="B56" s="182" t="s">
        <v>8</v>
      </c>
      <c r="C56" s="9" t="s">
        <v>572</v>
      </c>
      <c r="D56" s="182" t="s">
        <v>769</v>
      </c>
      <c r="E56" s="185">
        <v>1</v>
      </c>
      <c r="F56" s="76">
        <v>52000</v>
      </c>
      <c r="G56" s="76">
        <f t="shared" si="0"/>
        <v>52000</v>
      </c>
    </row>
    <row r="57" spans="1:7" x14ac:dyDescent="0.25">
      <c r="A57" s="182" t="s">
        <v>110</v>
      </c>
      <c r="B57" s="182" t="s">
        <v>8</v>
      </c>
      <c r="C57" s="9" t="s">
        <v>111</v>
      </c>
      <c r="D57" s="182" t="s">
        <v>775</v>
      </c>
      <c r="E57" s="185">
        <v>1</v>
      </c>
      <c r="F57" s="76">
        <v>2400</v>
      </c>
      <c r="G57" s="76">
        <f t="shared" si="0"/>
        <v>2400</v>
      </c>
    </row>
    <row r="58" spans="1:7" x14ac:dyDescent="0.25">
      <c r="A58" s="182" t="s">
        <v>112</v>
      </c>
      <c r="B58" s="182" t="s">
        <v>8</v>
      </c>
      <c r="C58" s="9" t="s">
        <v>113</v>
      </c>
      <c r="D58" s="182" t="s">
        <v>775</v>
      </c>
      <c r="E58" s="185">
        <v>1</v>
      </c>
      <c r="F58" s="76">
        <v>2400</v>
      </c>
      <c r="G58" s="76">
        <f t="shared" si="0"/>
        <v>2400</v>
      </c>
    </row>
    <row r="59" spans="1:7" x14ac:dyDescent="0.25">
      <c r="A59" s="182" t="s">
        <v>114</v>
      </c>
      <c r="B59" s="182" t="s">
        <v>8</v>
      </c>
      <c r="C59" s="9" t="s">
        <v>115</v>
      </c>
      <c r="D59" s="182" t="s">
        <v>769</v>
      </c>
      <c r="E59" s="185">
        <v>1</v>
      </c>
      <c r="F59" s="76">
        <v>90000</v>
      </c>
      <c r="G59" s="76">
        <f t="shared" si="0"/>
        <v>90000</v>
      </c>
    </row>
    <row r="60" spans="1:7" ht="25.5" x14ac:dyDescent="0.25">
      <c r="A60" s="182" t="s">
        <v>116</v>
      </c>
      <c r="B60" s="182" t="s">
        <v>8</v>
      </c>
      <c r="C60" s="9" t="s">
        <v>117</v>
      </c>
      <c r="D60" s="182" t="s">
        <v>774</v>
      </c>
      <c r="E60" s="185">
        <v>1</v>
      </c>
      <c r="F60" s="76">
        <v>20000</v>
      </c>
      <c r="G60" s="76">
        <f t="shared" si="0"/>
        <v>20000</v>
      </c>
    </row>
    <row r="61" spans="1:7" x14ac:dyDescent="0.25">
      <c r="A61" s="182" t="s">
        <v>118</v>
      </c>
      <c r="B61" s="182" t="s">
        <v>8</v>
      </c>
      <c r="C61" s="9" t="s">
        <v>119</v>
      </c>
      <c r="D61" s="182" t="s">
        <v>769</v>
      </c>
      <c r="E61" s="185">
        <v>1</v>
      </c>
      <c r="F61" s="76">
        <v>17000</v>
      </c>
      <c r="G61" s="76">
        <f t="shared" si="0"/>
        <v>17000</v>
      </c>
    </row>
    <row r="62" spans="1:7" x14ac:dyDescent="0.25">
      <c r="A62" s="182" t="s">
        <v>120</v>
      </c>
      <c r="B62" s="182" t="s">
        <v>8</v>
      </c>
      <c r="C62" s="9" t="s">
        <v>573</v>
      </c>
      <c r="D62" s="182" t="s">
        <v>769</v>
      </c>
      <c r="E62" s="185">
        <v>1</v>
      </c>
      <c r="F62" s="76">
        <v>60000</v>
      </c>
      <c r="G62" s="76">
        <f t="shared" si="0"/>
        <v>60000</v>
      </c>
    </row>
    <row r="63" spans="1:7" x14ac:dyDescent="0.25">
      <c r="A63" s="182" t="s">
        <v>121</v>
      </c>
      <c r="B63" s="182" t="s">
        <v>8</v>
      </c>
      <c r="C63" s="9" t="s">
        <v>122</v>
      </c>
      <c r="D63" s="182" t="s">
        <v>773</v>
      </c>
      <c r="E63" s="185">
        <v>1</v>
      </c>
      <c r="F63" s="76">
        <v>20000</v>
      </c>
      <c r="G63" s="76">
        <f t="shared" si="0"/>
        <v>20000</v>
      </c>
    </row>
    <row r="64" spans="1:7" x14ac:dyDescent="0.25">
      <c r="A64" s="182" t="s">
        <v>123</v>
      </c>
      <c r="B64" s="182" t="s">
        <v>8</v>
      </c>
      <c r="C64" s="9" t="s">
        <v>124</v>
      </c>
      <c r="D64" s="182" t="s">
        <v>770</v>
      </c>
      <c r="E64" s="185">
        <v>1</v>
      </c>
      <c r="F64" s="76">
        <v>2500</v>
      </c>
      <c r="G64" s="76">
        <f t="shared" si="0"/>
        <v>2500</v>
      </c>
    </row>
    <row r="65" spans="1:7" x14ac:dyDescent="0.25">
      <c r="A65" s="182" t="s">
        <v>125</v>
      </c>
      <c r="B65" s="182" t="s">
        <v>8</v>
      </c>
      <c r="C65" s="9" t="s">
        <v>126</v>
      </c>
      <c r="D65" s="182" t="s">
        <v>775</v>
      </c>
      <c r="E65" s="185">
        <v>1</v>
      </c>
      <c r="F65" s="76">
        <v>37000</v>
      </c>
      <c r="G65" s="76">
        <f t="shared" si="0"/>
        <v>37000</v>
      </c>
    </row>
    <row r="66" spans="1:7" x14ac:dyDescent="0.25">
      <c r="A66" s="182" t="s">
        <v>127</v>
      </c>
      <c r="B66" s="182" t="s">
        <v>8</v>
      </c>
      <c r="C66" s="9" t="s">
        <v>494</v>
      </c>
      <c r="D66" s="182" t="s">
        <v>768</v>
      </c>
      <c r="E66" s="185">
        <v>1</v>
      </c>
      <c r="F66" s="76">
        <v>4500</v>
      </c>
      <c r="G66" s="76">
        <f t="shared" si="0"/>
        <v>4500</v>
      </c>
    </row>
    <row r="67" spans="1:7" x14ac:dyDescent="0.25">
      <c r="A67" s="182" t="s">
        <v>128</v>
      </c>
      <c r="B67" s="182" t="s">
        <v>8</v>
      </c>
      <c r="C67" s="9" t="s">
        <v>524</v>
      </c>
      <c r="D67" s="182" t="s">
        <v>774</v>
      </c>
      <c r="E67" s="185">
        <v>1</v>
      </c>
      <c r="F67" s="76">
        <v>500</v>
      </c>
      <c r="G67" s="76">
        <f t="shared" ref="G67:G188" si="1">+F67*E67</f>
        <v>500</v>
      </c>
    </row>
    <row r="68" spans="1:7" x14ac:dyDescent="0.25">
      <c r="A68" s="182" t="s">
        <v>129</v>
      </c>
      <c r="B68" s="182" t="s">
        <v>8</v>
      </c>
      <c r="C68" s="9" t="s">
        <v>574</v>
      </c>
      <c r="D68" s="182" t="s">
        <v>775</v>
      </c>
      <c r="E68" s="185">
        <v>1</v>
      </c>
      <c r="F68" s="76">
        <v>122594</v>
      </c>
      <c r="G68" s="76">
        <f t="shared" si="1"/>
        <v>122594</v>
      </c>
    </row>
    <row r="69" spans="1:7" x14ac:dyDescent="0.25">
      <c r="A69" s="182" t="s">
        <v>130</v>
      </c>
      <c r="B69" s="182" t="s">
        <v>8</v>
      </c>
      <c r="C69" s="9" t="s">
        <v>131</v>
      </c>
      <c r="D69" s="182" t="s">
        <v>778</v>
      </c>
      <c r="E69" s="185">
        <v>1</v>
      </c>
      <c r="F69" s="76">
        <v>2600</v>
      </c>
      <c r="G69" s="76">
        <f t="shared" si="1"/>
        <v>2600</v>
      </c>
    </row>
    <row r="70" spans="1:7" x14ac:dyDescent="0.25">
      <c r="A70" s="182" t="s">
        <v>132</v>
      </c>
      <c r="B70" s="182" t="s">
        <v>8</v>
      </c>
      <c r="C70" s="9" t="s">
        <v>133</v>
      </c>
      <c r="D70" s="182" t="s">
        <v>778</v>
      </c>
      <c r="E70" s="185">
        <v>1</v>
      </c>
      <c r="F70" s="76">
        <v>2600</v>
      </c>
      <c r="G70" s="76">
        <f t="shared" si="1"/>
        <v>2600</v>
      </c>
    </row>
    <row r="71" spans="1:7" x14ac:dyDescent="0.25">
      <c r="A71" s="182" t="s">
        <v>134</v>
      </c>
      <c r="B71" s="182" t="s">
        <v>8</v>
      </c>
      <c r="C71" s="9" t="s">
        <v>517</v>
      </c>
      <c r="D71" s="182" t="s">
        <v>775</v>
      </c>
      <c r="E71" s="185">
        <v>1</v>
      </c>
      <c r="F71" s="76">
        <v>3500</v>
      </c>
      <c r="G71" s="76">
        <f t="shared" si="1"/>
        <v>3500</v>
      </c>
    </row>
    <row r="72" spans="1:7" x14ac:dyDescent="0.25">
      <c r="A72" s="182" t="s">
        <v>135</v>
      </c>
      <c r="B72" s="182" t="s">
        <v>8</v>
      </c>
      <c r="C72" s="9" t="s">
        <v>136</v>
      </c>
      <c r="D72" s="182" t="s">
        <v>773</v>
      </c>
      <c r="E72" s="185">
        <v>1</v>
      </c>
      <c r="F72" s="76">
        <v>13000</v>
      </c>
      <c r="G72" s="76">
        <f t="shared" si="1"/>
        <v>13000</v>
      </c>
    </row>
    <row r="73" spans="1:7" x14ac:dyDescent="0.25">
      <c r="A73" s="182" t="s">
        <v>137</v>
      </c>
      <c r="B73" s="182" t="s">
        <v>8</v>
      </c>
      <c r="C73" s="9" t="s">
        <v>138</v>
      </c>
      <c r="D73" s="182" t="s">
        <v>775</v>
      </c>
      <c r="E73" s="185">
        <v>1</v>
      </c>
      <c r="F73" s="76">
        <v>500</v>
      </c>
      <c r="G73" s="76">
        <f t="shared" si="1"/>
        <v>500</v>
      </c>
    </row>
    <row r="74" spans="1:7" x14ac:dyDescent="0.25">
      <c r="A74" s="182" t="s">
        <v>139</v>
      </c>
      <c r="B74" s="182" t="s">
        <v>8</v>
      </c>
      <c r="C74" s="9" t="s">
        <v>140</v>
      </c>
      <c r="D74" s="182" t="s">
        <v>770</v>
      </c>
      <c r="E74" s="185">
        <v>1</v>
      </c>
      <c r="F74" s="76">
        <v>39150</v>
      </c>
      <c r="G74" s="76">
        <f t="shared" si="1"/>
        <v>39150</v>
      </c>
    </row>
    <row r="75" spans="1:7" x14ac:dyDescent="0.25">
      <c r="A75" s="182" t="s">
        <v>141</v>
      </c>
      <c r="B75" s="182" t="s">
        <v>8</v>
      </c>
      <c r="C75" s="9" t="s">
        <v>142</v>
      </c>
      <c r="D75" s="182" t="s">
        <v>770</v>
      </c>
      <c r="E75" s="185">
        <v>1</v>
      </c>
      <c r="F75" s="76">
        <v>6618</v>
      </c>
      <c r="G75" s="76">
        <f t="shared" si="1"/>
        <v>6618</v>
      </c>
    </row>
    <row r="76" spans="1:7" x14ac:dyDescent="0.25">
      <c r="A76" s="182" t="s">
        <v>143</v>
      </c>
      <c r="B76" s="182" t="s">
        <v>8</v>
      </c>
      <c r="C76" s="9" t="s">
        <v>144</v>
      </c>
      <c r="D76" s="182" t="s">
        <v>775</v>
      </c>
      <c r="E76" s="185">
        <v>1</v>
      </c>
      <c r="F76" s="76">
        <v>1096</v>
      </c>
      <c r="G76" s="76">
        <f t="shared" si="1"/>
        <v>1096</v>
      </c>
    </row>
    <row r="77" spans="1:7" x14ac:dyDescent="0.25">
      <c r="A77" s="182" t="s">
        <v>145</v>
      </c>
      <c r="B77" s="182" t="s">
        <v>8</v>
      </c>
      <c r="C77" s="9" t="s">
        <v>146</v>
      </c>
      <c r="D77" s="182" t="s">
        <v>769</v>
      </c>
      <c r="E77" s="185">
        <v>1</v>
      </c>
      <c r="F77" s="76">
        <v>150000</v>
      </c>
      <c r="G77" s="76">
        <f t="shared" si="1"/>
        <v>150000</v>
      </c>
    </row>
    <row r="78" spans="1:7" x14ac:dyDescent="0.25">
      <c r="A78" s="182" t="s">
        <v>147</v>
      </c>
      <c r="B78" s="182" t="s">
        <v>8</v>
      </c>
      <c r="C78" s="9" t="s">
        <v>148</v>
      </c>
      <c r="D78" s="182" t="s">
        <v>769</v>
      </c>
      <c r="E78" s="185">
        <v>1</v>
      </c>
      <c r="F78" s="76">
        <v>100000</v>
      </c>
      <c r="G78" s="76">
        <f t="shared" si="1"/>
        <v>100000</v>
      </c>
    </row>
    <row r="79" spans="1:7" x14ac:dyDescent="0.25">
      <c r="A79" s="182" t="s">
        <v>149</v>
      </c>
      <c r="B79" s="182" t="s">
        <v>8</v>
      </c>
      <c r="C79" s="9" t="s">
        <v>150</v>
      </c>
      <c r="D79" s="182" t="s">
        <v>769</v>
      </c>
      <c r="E79" s="185">
        <v>1</v>
      </c>
      <c r="F79" s="76">
        <v>120000</v>
      </c>
      <c r="G79" s="76">
        <f t="shared" si="1"/>
        <v>120000</v>
      </c>
    </row>
    <row r="80" spans="1:7" x14ac:dyDescent="0.25">
      <c r="A80" s="182" t="s">
        <v>151</v>
      </c>
      <c r="B80" s="182" t="s">
        <v>8</v>
      </c>
      <c r="C80" s="9" t="s">
        <v>152</v>
      </c>
      <c r="D80" s="9" t="s">
        <v>775</v>
      </c>
      <c r="E80" s="185">
        <v>1</v>
      </c>
      <c r="F80" s="76">
        <v>72000</v>
      </c>
      <c r="G80" s="76">
        <f t="shared" si="1"/>
        <v>72000</v>
      </c>
    </row>
    <row r="81" spans="1:7" x14ac:dyDescent="0.25">
      <c r="A81" s="182" t="s">
        <v>153</v>
      </c>
      <c r="B81" s="182" t="s">
        <v>8</v>
      </c>
      <c r="C81" s="9" t="s">
        <v>154</v>
      </c>
      <c r="D81" s="9" t="s">
        <v>775</v>
      </c>
      <c r="E81" s="185">
        <v>1</v>
      </c>
      <c r="F81" s="76">
        <v>100000</v>
      </c>
      <c r="G81" s="76">
        <f t="shared" si="1"/>
        <v>100000</v>
      </c>
    </row>
    <row r="82" spans="1:7" x14ac:dyDescent="0.25">
      <c r="A82" s="182" t="s">
        <v>155</v>
      </c>
      <c r="B82" s="182" t="s">
        <v>8</v>
      </c>
      <c r="C82" s="9" t="s">
        <v>708</v>
      </c>
      <c r="D82" s="9" t="s">
        <v>775</v>
      </c>
      <c r="E82" s="185">
        <v>1</v>
      </c>
      <c r="F82" s="76">
        <v>115000</v>
      </c>
      <c r="G82" s="76">
        <f t="shared" si="1"/>
        <v>115000</v>
      </c>
    </row>
    <row r="83" spans="1:7" x14ac:dyDescent="0.25">
      <c r="A83" s="182" t="s">
        <v>156</v>
      </c>
      <c r="B83" s="182" t="s">
        <v>8</v>
      </c>
      <c r="C83" s="9" t="s">
        <v>157</v>
      </c>
      <c r="D83" s="9" t="s">
        <v>775</v>
      </c>
      <c r="E83" s="185">
        <v>1</v>
      </c>
      <c r="F83" s="76">
        <v>17900</v>
      </c>
      <c r="G83" s="76">
        <f t="shared" si="1"/>
        <v>17900</v>
      </c>
    </row>
    <row r="84" spans="1:7" x14ac:dyDescent="0.25">
      <c r="A84" s="182" t="s">
        <v>158</v>
      </c>
      <c r="B84" s="182" t="s">
        <v>8</v>
      </c>
      <c r="C84" s="9" t="s">
        <v>159</v>
      </c>
      <c r="D84" s="182" t="s">
        <v>768</v>
      </c>
      <c r="E84" s="185">
        <v>1</v>
      </c>
      <c r="F84" s="76">
        <v>20000</v>
      </c>
      <c r="G84" s="76">
        <f t="shared" si="1"/>
        <v>20000</v>
      </c>
    </row>
    <row r="85" spans="1:7" x14ac:dyDescent="0.25">
      <c r="A85" s="182" t="s">
        <v>160</v>
      </c>
      <c r="B85" s="182" t="s">
        <v>8</v>
      </c>
      <c r="C85" s="9" t="s">
        <v>161</v>
      </c>
      <c r="D85" s="182" t="s">
        <v>768</v>
      </c>
      <c r="E85" s="185">
        <v>1</v>
      </c>
      <c r="F85" s="76">
        <v>16572</v>
      </c>
      <c r="G85" s="76">
        <f t="shared" si="1"/>
        <v>16572</v>
      </c>
    </row>
    <row r="86" spans="1:7" x14ac:dyDescent="0.25">
      <c r="A86" s="182" t="s">
        <v>162</v>
      </c>
      <c r="B86" s="182" t="s">
        <v>8</v>
      </c>
      <c r="C86" s="9" t="s">
        <v>163</v>
      </c>
      <c r="D86" s="182" t="s">
        <v>768</v>
      </c>
      <c r="E86" s="185">
        <v>1</v>
      </c>
      <c r="F86" s="76">
        <v>20000</v>
      </c>
      <c r="G86" s="76">
        <f t="shared" si="1"/>
        <v>20000</v>
      </c>
    </row>
    <row r="87" spans="1:7" x14ac:dyDescent="0.25">
      <c r="A87" s="182" t="s">
        <v>164</v>
      </c>
      <c r="B87" s="182" t="s">
        <v>8</v>
      </c>
      <c r="C87" s="9" t="s">
        <v>165</v>
      </c>
      <c r="D87" s="182" t="s">
        <v>775</v>
      </c>
      <c r="E87" s="185">
        <v>1</v>
      </c>
      <c r="F87" s="76">
        <v>26400</v>
      </c>
      <c r="G87" s="76">
        <f t="shared" si="1"/>
        <v>26400</v>
      </c>
    </row>
    <row r="88" spans="1:7" x14ac:dyDescent="0.25">
      <c r="A88" s="182" t="s">
        <v>166</v>
      </c>
      <c r="B88" s="182" t="s">
        <v>8</v>
      </c>
      <c r="C88" s="9" t="s">
        <v>167</v>
      </c>
      <c r="D88" s="182" t="s">
        <v>775</v>
      </c>
      <c r="E88" s="185">
        <v>1</v>
      </c>
      <c r="F88" s="76">
        <v>2000000</v>
      </c>
      <c r="G88" s="76">
        <f t="shared" si="1"/>
        <v>2000000</v>
      </c>
    </row>
    <row r="89" spans="1:7" x14ac:dyDescent="0.25">
      <c r="A89" s="182" t="s">
        <v>168</v>
      </c>
      <c r="B89" s="182" t="s">
        <v>8</v>
      </c>
      <c r="C89" s="9" t="s">
        <v>169</v>
      </c>
      <c r="D89" s="182" t="s">
        <v>773</v>
      </c>
      <c r="E89" s="185">
        <v>1</v>
      </c>
      <c r="F89" s="76">
        <v>169000</v>
      </c>
      <c r="G89" s="76">
        <f t="shared" si="1"/>
        <v>169000</v>
      </c>
    </row>
    <row r="90" spans="1:7" x14ac:dyDescent="0.25">
      <c r="A90" s="182" t="s">
        <v>170</v>
      </c>
      <c r="B90" s="182" t="s">
        <v>8</v>
      </c>
      <c r="C90" s="9" t="s">
        <v>171</v>
      </c>
      <c r="D90" s="182" t="s">
        <v>775</v>
      </c>
      <c r="E90" s="185">
        <v>1</v>
      </c>
      <c r="F90" s="76">
        <v>600</v>
      </c>
      <c r="G90" s="76">
        <f t="shared" si="1"/>
        <v>600</v>
      </c>
    </row>
    <row r="91" spans="1:7" x14ac:dyDescent="0.25">
      <c r="A91" s="182" t="s">
        <v>172</v>
      </c>
      <c r="B91" s="182" t="s">
        <v>8</v>
      </c>
      <c r="C91" s="9" t="s">
        <v>173</v>
      </c>
      <c r="D91" s="182" t="s">
        <v>769</v>
      </c>
      <c r="E91" s="185">
        <v>1</v>
      </c>
      <c r="F91" s="76">
        <v>372328.83</v>
      </c>
      <c r="G91" s="76">
        <f t="shared" si="1"/>
        <v>372328.83</v>
      </c>
    </row>
    <row r="92" spans="1:7" x14ac:dyDescent="0.25">
      <c r="A92" s="182" t="s">
        <v>174</v>
      </c>
      <c r="B92" s="182" t="s">
        <v>8</v>
      </c>
      <c r="C92" s="9" t="s">
        <v>175</v>
      </c>
      <c r="D92" s="182" t="s">
        <v>176</v>
      </c>
      <c r="E92" s="185">
        <v>1</v>
      </c>
      <c r="F92" s="76">
        <v>0</v>
      </c>
      <c r="G92" s="76">
        <f t="shared" si="1"/>
        <v>0</v>
      </c>
    </row>
    <row r="93" spans="1:7" x14ac:dyDescent="0.25">
      <c r="A93" s="182" t="s">
        <v>177</v>
      </c>
      <c r="B93" s="182" t="s">
        <v>8</v>
      </c>
      <c r="C93" s="9" t="s">
        <v>543</v>
      </c>
      <c r="D93" s="182" t="s">
        <v>769</v>
      </c>
      <c r="E93" s="185">
        <v>1</v>
      </c>
      <c r="F93" s="76">
        <v>318601</v>
      </c>
      <c r="G93" s="76">
        <f t="shared" si="1"/>
        <v>318601</v>
      </c>
    </row>
    <row r="94" spans="1:7" x14ac:dyDescent="0.25">
      <c r="A94" s="182" t="s">
        <v>178</v>
      </c>
      <c r="B94" s="182" t="s">
        <v>8</v>
      </c>
      <c r="C94" s="9" t="s">
        <v>179</v>
      </c>
      <c r="D94" s="182" t="s">
        <v>769</v>
      </c>
      <c r="E94" s="185">
        <v>1</v>
      </c>
      <c r="F94" s="76">
        <v>436000</v>
      </c>
      <c r="G94" s="76">
        <f t="shared" si="1"/>
        <v>436000</v>
      </c>
    </row>
    <row r="95" spans="1:7" x14ac:dyDescent="0.25">
      <c r="A95" s="182" t="s">
        <v>180</v>
      </c>
      <c r="B95" s="182" t="s">
        <v>8</v>
      </c>
      <c r="C95" s="9" t="s">
        <v>575</v>
      </c>
      <c r="D95" s="182" t="s">
        <v>768</v>
      </c>
      <c r="E95" s="185">
        <v>1</v>
      </c>
      <c r="F95" s="76">
        <f>842625/6</f>
        <v>140437.5</v>
      </c>
      <c r="G95" s="76">
        <f t="shared" si="1"/>
        <v>140437.5</v>
      </c>
    </row>
    <row r="96" spans="1:7" x14ac:dyDescent="0.25">
      <c r="A96" s="182" t="s">
        <v>181</v>
      </c>
      <c r="B96" s="182" t="s">
        <v>8</v>
      </c>
      <c r="C96" s="9" t="s">
        <v>182</v>
      </c>
      <c r="D96" s="182" t="s">
        <v>775</v>
      </c>
      <c r="E96" s="185">
        <v>1</v>
      </c>
      <c r="F96" s="76">
        <v>1000000</v>
      </c>
      <c r="G96" s="76">
        <f t="shared" si="1"/>
        <v>1000000</v>
      </c>
    </row>
    <row r="97" spans="1:16" x14ac:dyDescent="0.25">
      <c r="A97" s="182" t="s">
        <v>183</v>
      </c>
      <c r="B97" s="182" t="s">
        <v>8</v>
      </c>
      <c r="C97" s="9" t="s">
        <v>184</v>
      </c>
      <c r="D97" s="182" t="s">
        <v>768</v>
      </c>
      <c r="E97" s="185">
        <v>1</v>
      </c>
      <c r="F97" s="76">
        <v>300000</v>
      </c>
      <c r="G97" s="76">
        <f t="shared" si="1"/>
        <v>300000</v>
      </c>
    </row>
    <row r="98" spans="1:16" x14ac:dyDescent="0.25">
      <c r="A98" s="182" t="s">
        <v>185</v>
      </c>
      <c r="B98" s="182" t="s">
        <v>8</v>
      </c>
      <c r="C98" s="9" t="s">
        <v>738</v>
      </c>
      <c r="D98" s="182" t="s">
        <v>768</v>
      </c>
      <c r="E98" s="185">
        <v>1</v>
      </c>
      <c r="F98" s="76">
        <f>9772940/6.5</f>
        <v>1503529.2307692308</v>
      </c>
      <c r="G98" s="76">
        <f t="shared" si="1"/>
        <v>1503529.2307692308</v>
      </c>
    </row>
    <row r="99" spans="1:16" x14ac:dyDescent="0.25">
      <c r="A99" s="182" t="s">
        <v>186</v>
      </c>
      <c r="B99" s="182" t="s">
        <v>8</v>
      </c>
      <c r="C99" s="9" t="s">
        <v>187</v>
      </c>
      <c r="D99" s="182" t="s">
        <v>769</v>
      </c>
      <c r="E99" s="185">
        <v>1</v>
      </c>
      <c r="F99" s="76">
        <v>354775.54000000004</v>
      </c>
      <c r="G99" s="76">
        <f t="shared" si="1"/>
        <v>354775.54000000004</v>
      </c>
    </row>
    <row r="100" spans="1:16" x14ac:dyDescent="0.25">
      <c r="A100" s="182" t="s">
        <v>620</v>
      </c>
      <c r="B100" s="182" t="s">
        <v>8</v>
      </c>
      <c r="C100" s="9" t="s">
        <v>623</v>
      </c>
      <c r="D100" s="182" t="s">
        <v>768</v>
      </c>
      <c r="E100" s="185">
        <v>1</v>
      </c>
      <c r="F100" s="76">
        <v>18290</v>
      </c>
      <c r="G100" s="76">
        <f t="shared" ref="G100:G103" si="2">+F100*E100</f>
        <v>18290</v>
      </c>
    </row>
    <row r="101" spans="1:16" x14ac:dyDescent="0.25">
      <c r="A101" s="182" t="s">
        <v>621</v>
      </c>
      <c r="B101" s="182" t="s">
        <v>8</v>
      </c>
      <c r="C101" s="9" t="s">
        <v>624</v>
      </c>
      <c r="D101" s="182" t="s">
        <v>775</v>
      </c>
      <c r="E101" s="185">
        <v>1</v>
      </c>
      <c r="F101" s="76">
        <v>5810</v>
      </c>
      <c r="G101" s="76">
        <f t="shared" si="2"/>
        <v>5810</v>
      </c>
    </row>
    <row r="102" spans="1:16" x14ac:dyDescent="0.25">
      <c r="A102" s="182" t="s">
        <v>622</v>
      </c>
      <c r="B102" s="182" t="s">
        <v>8</v>
      </c>
      <c r="C102" s="9" t="s">
        <v>625</v>
      </c>
      <c r="D102" s="182" t="s">
        <v>775</v>
      </c>
      <c r="E102" s="185">
        <v>1</v>
      </c>
      <c r="F102" s="76">
        <v>8420</v>
      </c>
      <c r="G102" s="76">
        <f t="shared" si="2"/>
        <v>8420</v>
      </c>
    </row>
    <row r="103" spans="1:16" x14ac:dyDescent="0.25">
      <c r="A103" s="182" t="s">
        <v>762</v>
      </c>
      <c r="B103" s="182" t="s">
        <v>8</v>
      </c>
      <c r="C103" s="9" t="s">
        <v>763</v>
      </c>
      <c r="D103" s="182" t="s">
        <v>775</v>
      </c>
      <c r="E103" s="185">
        <v>1</v>
      </c>
      <c r="F103" s="76">
        <v>5500000</v>
      </c>
      <c r="G103" s="76">
        <f t="shared" si="2"/>
        <v>5500000</v>
      </c>
    </row>
    <row r="104" spans="1:16" x14ac:dyDescent="0.25">
      <c r="A104" s="182" t="s">
        <v>188</v>
      </c>
      <c r="B104" s="182" t="s">
        <v>189</v>
      </c>
      <c r="C104" s="9" t="s">
        <v>190</v>
      </c>
      <c r="D104" s="182" t="s">
        <v>191</v>
      </c>
      <c r="E104" s="185">
        <v>1</v>
      </c>
      <c r="F104" s="76">
        <f>+ROUND(P106,1)</f>
        <v>80410</v>
      </c>
      <c r="G104" s="76">
        <f t="shared" si="1"/>
        <v>80410</v>
      </c>
      <c r="M104" s="74" t="s">
        <v>498</v>
      </c>
      <c r="N104" s="74">
        <v>1.65</v>
      </c>
    </row>
    <row r="105" spans="1:16" x14ac:dyDescent="0.25">
      <c r="A105" s="182" t="s">
        <v>192</v>
      </c>
      <c r="B105" s="182" t="s">
        <v>189</v>
      </c>
      <c r="C105" s="9" t="s">
        <v>193</v>
      </c>
      <c r="D105" s="182" t="s">
        <v>191</v>
      </c>
      <c r="E105" s="185">
        <v>1</v>
      </c>
      <c r="F105" s="76">
        <f>+ROUND(1.2*F104*2,2)</f>
        <v>192984</v>
      </c>
      <c r="G105" s="76">
        <f t="shared" si="1"/>
        <v>192984</v>
      </c>
      <c r="M105" s="74" t="s">
        <v>764</v>
      </c>
      <c r="N105" s="74" t="s">
        <v>495</v>
      </c>
      <c r="O105" s="1" t="s">
        <v>496</v>
      </c>
      <c r="P105" s="1" t="s">
        <v>497</v>
      </c>
    </row>
    <row r="106" spans="1:16" x14ac:dyDescent="0.25">
      <c r="A106" s="182" t="s">
        <v>194</v>
      </c>
      <c r="B106" s="182" t="s">
        <v>189</v>
      </c>
      <c r="C106" s="9" t="s">
        <v>195</v>
      </c>
      <c r="D106" s="182" t="s">
        <v>191</v>
      </c>
      <c r="E106" s="185">
        <v>1</v>
      </c>
      <c r="F106" s="76">
        <f>+ROUND(F104*1.5,1)</f>
        <v>120615</v>
      </c>
      <c r="G106" s="76">
        <f>+F106*E106</f>
        <v>120615</v>
      </c>
      <c r="L106" s="74" t="s">
        <v>499</v>
      </c>
      <c r="M106" s="78">
        <v>1300000</v>
      </c>
      <c r="N106" s="78">
        <v>162000</v>
      </c>
      <c r="O106" s="68">
        <f>+SUM(M106:N106)/30</f>
        <v>48733.333333333336</v>
      </c>
      <c r="P106" s="68">
        <f>+O106*N104</f>
        <v>80410</v>
      </c>
    </row>
    <row r="107" spans="1:16" x14ac:dyDescent="0.25">
      <c r="A107" s="182" t="s">
        <v>196</v>
      </c>
      <c r="B107" s="182" t="s">
        <v>189</v>
      </c>
      <c r="C107" s="9" t="s">
        <v>197</v>
      </c>
      <c r="D107" s="182" t="s">
        <v>191</v>
      </c>
      <c r="E107" s="185">
        <v>1</v>
      </c>
      <c r="F107" s="76">
        <f>+ROUND(F104*1.4,2)</f>
        <v>112574</v>
      </c>
      <c r="G107" s="76">
        <f t="shared" si="1"/>
        <v>112574</v>
      </c>
      <c r="I107" s="78">
        <f>80000*1.85</f>
        <v>148000</v>
      </c>
    </row>
    <row r="108" spans="1:16" x14ac:dyDescent="0.25">
      <c r="A108" s="182" t="s">
        <v>198</v>
      </c>
      <c r="B108" s="182" t="s">
        <v>189</v>
      </c>
      <c r="C108" s="9" t="s">
        <v>199</v>
      </c>
      <c r="D108" s="182" t="s">
        <v>191</v>
      </c>
      <c r="E108" s="185">
        <v>1</v>
      </c>
      <c r="F108" s="76">
        <f>+F106+3*F104</f>
        <v>361845</v>
      </c>
      <c r="G108" s="76">
        <f t="shared" si="1"/>
        <v>361845</v>
      </c>
    </row>
    <row r="109" spans="1:16" x14ac:dyDescent="0.25">
      <c r="A109" s="182" t="s">
        <v>200</v>
      </c>
      <c r="B109" s="182" t="s">
        <v>189</v>
      </c>
      <c r="C109" s="9" t="s">
        <v>201</v>
      </c>
      <c r="D109" s="182" t="s">
        <v>191</v>
      </c>
      <c r="E109" s="185">
        <v>1</v>
      </c>
      <c r="F109" s="76">
        <f>+F104</f>
        <v>80410</v>
      </c>
      <c r="G109" s="76">
        <f t="shared" si="1"/>
        <v>80410</v>
      </c>
    </row>
    <row r="110" spans="1:16" x14ac:dyDescent="0.25">
      <c r="A110" s="182" t="s">
        <v>202</v>
      </c>
      <c r="B110" s="182" t="s">
        <v>189</v>
      </c>
      <c r="C110" s="9" t="s">
        <v>203</v>
      </c>
      <c r="D110" s="182" t="s">
        <v>191</v>
      </c>
      <c r="E110" s="185">
        <v>1</v>
      </c>
      <c r="F110" s="76">
        <f>+F106+F104</f>
        <v>201025</v>
      </c>
      <c r="G110" s="76">
        <f t="shared" si="1"/>
        <v>201025</v>
      </c>
    </row>
    <row r="111" spans="1:16" x14ac:dyDescent="0.25">
      <c r="A111" s="182" t="s">
        <v>204</v>
      </c>
      <c r="B111" s="182" t="s">
        <v>189</v>
      </c>
      <c r="C111" s="9" t="s">
        <v>205</v>
      </c>
      <c r="D111" s="182" t="s">
        <v>191</v>
      </c>
      <c r="E111" s="185">
        <v>1</v>
      </c>
      <c r="F111" s="76">
        <f>+F106+2*F104</f>
        <v>281435</v>
      </c>
      <c r="G111" s="76">
        <f t="shared" si="1"/>
        <v>281435</v>
      </c>
    </row>
    <row r="112" spans="1:16" x14ac:dyDescent="0.25">
      <c r="A112" s="182" t="s">
        <v>206</v>
      </c>
      <c r="B112" s="182" t="s">
        <v>189</v>
      </c>
      <c r="C112" s="9" t="s">
        <v>207</v>
      </c>
      <c r="D112" s="182" t="s">
        <v>191</v>
      </c>
      <c r="E112" s="185">
        <v>1</v>
      </c>
      <c r="F112" s="76">
        <f>+F106+6*F104</f>
        <v>603075</v>
      </c>
      <c r="G112" s="76">
        <f t="shared" si="1"/>
        <v>603075</v>
      </c>
    </row>
    <row r="113" spans="1:10" x14ac:dyDescent="0.25">
      <c r="A113" s="182" t="s">
        <v>208</v>
      </c>
      <c r="B113" s="182" t="s">
        <v>189</v>
      </c>
      <c r="C113" s="9" t="s">
        <v>209</v>
      </c>
      <c r="D113" s="182" t="s">
        <v>191</v>
      </c>
      <c r="E113" s="185">
        <v>1</v>
      </c>
      <c r="F113" s="76">
        <f>+F106+4*F104</f>
        <v>442255</v>
      </c>
      <c r="G113" s="76">
        <f t="shared" si="1"/>
        <v>442255</v>
      </c>
    </row>
    <row r="114" spans="1:10" x14ac:dyDescent="0.25">
      <c r="A114" s="182" t="s">
        <v>210</v>
      </c>
      <c r="B114" s="182" t="s">
        <v>189</v>
      </c>
      <c r="C114" s="9" t="s">
        <v>211</v>
      </c>
      <c r="D114" s="182" t="s">
        <v>191</v>
      </c>
      <c r="E114" s="185">
        <v>1</v>
      </c>
      <c r="F114" s="76">
        <f>+F106+7*F104</f>
        <v>683485</v>
      </c>
      <c r="G114" s="76">
        <f t="shared" si="1"/>
        <v>683485</v>
      </c>
    </row>
    <row r="115" spans="1:10" x14ac:dyDescent="0.25">
      <c r="A115" s="182" t="s">
        <v>212</v>
      </c>
      <c r="B115" s="182" t="s">
        <v>189</v>
      </c>
      <c r="C115" s="9" t="s">
        <v>213</v>
      </c>
      <c r="D115" s="182" t="s">
        <v>191</v>
      </c>
      <c r="E115" s="185">
        <v>1</v>
      </c>
      <c r="F115" s="76">
        <f>+F106+5*F104</f>
        <v>522665</v>
      </c>
      <c r="G115" s="76">
        <f t="shared" si="1"/>
        <v>522665</v>
      </c>
      <c r="J115" s="78"/>
    </row>
    <row r="116" spans="1:10" x14ac:dyDescent="0.25">
      <c r="A116" s="182" t="s">
        <v>576</v>
      </c>
      <c r="B116" s="182" t="s">
        <v>189</v>
      </c>
      <c r="C116" s="9" t="s">
        <v>577</v>
      </c>
      <c r="D116" s="182" t="s">
        <v>578</v>
      </c>
      <c r="E116" s="185">
        <v>1</v>
      </c>
      <c r="F116" s="76">
        <f>+F104*30</f>
        <v>2412300</v>
      </c>
      <c r="G116" s="76">
        <f t="shared" si="1"/>
        <v>2412300</v>
      </c>
      <c r="J116" s="78"/>
    </row>
    <row r="117" spans="1:10" x14ac:dyDescent="0.25">
      <c r="A117" s="182" t="s">
        <v>579</v>
      </c>
      <c r="B117" s="182" t="s">
        <v>189</v>
      </c>
      <c r="C117" s="9" t="s">
        <v>580</v>
      </c>
      <c r="D117" s="182" t="s">
        <v>578</v>
      </c>
      <c r="E117" s="185">
        <v>1</v>
      </c>
      <c r="F117" s="76">
        <f>+F116*2</f>
        <v>4824600</v>
      </c>
      <c r="G117" s="76">
        <f t="shared" si="1"/>
        <v>4824600</v>
      </c>
      <c r="J117" s="78"/>
    </row>
    <row r="118" spans="1:10" x14ac:dyDescent="0.25">
      <c r="A118" s="182" t="s">
        <v>581</v>
      </c>
      <c r="B118" s="182" t="s">
        <v>189</v>
      </c>
      <c r="C118" s="9" t="s">
        <v>582</v>
      </c>
      <c r="D118" s="182" t="s">
        <v>578</v>
      </c>
      <c r="E118" s="185">
        <v>1</v>
      </c>
      <c r="F118" s="76">
        <f>+F116*3</f>
        <v>7236900</v>
      </c>
      <c r="G118" s="76">
        <f t="shared" si="1"/>
        <v>7236900</v>
      </c>
      <c r="J118" s="78"/>
    </row>
    <row r="119" spans="1:10" x14ac:dyDescent="0.25">
      <c r="A119" s="182" t="s">
        <v>767</v>
      </c>
      <c r="B119" s="182" t="s">
        <v>189</v>
      </c>
      <c r="C119" s="9" t="s">
        <v>766</v>
      </c>
      <c r="D119" s="182" t="s">
        <v>191</v>
      </c>
      <c r="E119" s="185">
        <v>1</v>
      </c>
      <c r="F119" s="76">
        <f>(1900000*1.65)/30</f>
        <v>104500</v>
      </c>
      <c r="G119" s="76">
        <f t="shared" si="1"/>
        <v>104500</v>
      </c>
      <c r="J119" s="78"/>
    </row>
    <row r="120" spans="1:10" x14ac:dyDescent="0.25">
      <c r="A120" s="182" t="s">
        <v>214</v>
      </c>
      <c r="B120" s="182" t="s">
        <v>215</v>
      </c>
      <c r="C120" s="9" t="s">
        <v>216</v>
      </c>
      <c r="D120" s="182" t="s">
        <v>774</v>
      </c>
      <c r="E120" s="185">
        <v>1</v>
      </c>
      <c r="F120" s="76">
        <v>3000</v>
      </c>
      <c r="G120" s="76">
        <f t="shared" si="1"/>
        <v>3000</v>
      </c>
    </row>
    <row r="121" spans="1:10" x14ac:dyDescent="0.25">
      <c r="A121" s="182" t="s">
        <v>217</v>
      </c>
      <c r="B121" s="182" t="s">
        <v>215</v>
      </c>
      <c r="C121" s="9" t="s">
        <v>218</v>
      </c>
      <c r="D121" s="182" t="s">
        <v>59</v>
      </c>
      <c r="E121" s="185">
        <v>1</v>
      </c>
      <c r="F121" s="76">
        <v>80000</v>
      </c>
      <c r="G121" s="76">
        <f t="shared" si="1"/>
        <v>80000</v>
      </c>
    </row>
    <row r="122" spans="1:10" x14ac:dyDescent="0.25">
      <c r="A122" s="182" t="s">
        <v>219</v>
      </c>
      <c r="B122" s="182" t="s">
        <v>215</v>
      </c>
      <c r="C122" s="9" t="s">
        <v>220</v>
      </c>
      <c r="D122" s="182" t="s">
        <v>59</v>
      </c>
      <c r="E122" s="185">
        <v>1</v>
      </c>
      <c r="F122" s="76">
        <v>500</v>
      </c>
      <c r="G122" s="76">
        <f t="shared" si="1"/>
        <v>500</v>
      </c>
    </row>
    <row r="123" spans="1:10" x14ac:dyDescent="0.25">
      <c r="A123" s="182" t="s">
        <v>221</v>
      </c>
      <c r="B123" s="182" t="s">
        <v>215</v>
      </c>
      <c r="C123" s="9" t="s">
        <v>222</v>
      </c>
      <c r="D123" s="182" t="s">
        <v>59</v>
      </c>
      <c r="E123" s="185">
        <v>1</v>
      </c>
      <c r="F123" s="76">
        <v>6500</v>
      </c>
      <c r="G123" s="76">
        <f t="shared" si="1"/>
        <v>6500</v>
      </c>
    </row>
    <row r="124" spans="1:10" x14ac:dyDescent="0.25">
      <c r="A124" s="182" t="s">
        <v>223</v>
      </c>
      <c r="B124" s="182" t="s">
        <v>215</v>
      </c>
      <c r="C124" s="9" t="s">
        <v>224</v>
      </c>
      <c r="D124" s="182" t="s">
        <v>59</v>
      </c>
      <c r="E124" s="185">
        <v>1</v>
      </c>
      <c r="F124" s="76">
        <v>250</v>
      </c>
      <c r="G124" s="76">
        <f t="shared" si="1"/>
        <v>250</v>
      </c>
    </row>
    <row r="125" spans="1:10" x14ac:dyDescent="0.25">
      <c r="A125" s="182" t="s">
        <v>225</v>
      </c>
      <c r="B125" s="182" t="s">
        <v>215</v>
      </c>
      <c r="C125" s="9" t="s">
        <v>226</v>
      </c>
      <c r="D125" s="182" t="s">
        <v>59</v>
      </c>
      <c r="E125" s="185">
        <v>1</v>
      </c>
      <c r="F125" s="76">
        <v>1200</v>
      </c>
      <c r="G125" s="76">
        <f t="shared" si="1"/>
        <v>1200</v>
      </c>
    </row>
    <row r="126" spans="1:10" x14ac:dyDescent="0.25">
      <c r="A126" s="182" t="s">
        <v>227</v>
      </c>
      <c r="B126" s="182" t="s">
        <v>215</v>
      </c>
      <c r="C126" s="9" t="s">
        <v>545</v>
      </c>
      <c r="D126" s="182" t="s">
        <v>59</v>
      </c>
      <c r="E126" s="185">
        <v>1</v>
      </c>
      <c r="F126" s="76">
        <v>250000</v>
      </c>
      <c r="G126" s="76">
        <f t="shared" si="1"/>
        <v>250000</v>
      </c>
    </row>
    <row r="127" spans="1:10" x14ac:dyDescent="0.25">
      <c r="A127" s="182" t="s">
        <v>228</v>
      </c>
      <c r="B127" s="182" t="s">
        <v>215</v>
      </c>
      <c r="C127" s="9" t="s">
        <v>229</v>
      </c>
      <c r="D127" s="182" t="s">
        <v>37</v>
      </c>
      <c r="E127" s="185">
        <v>1</v>
      </c>
      <c r="F127" s="76">
        <v>75000</v>
      </c>
      <c r="G127" s="76">
        <f t="shared" si="1"/>
        <v>75000</v>
      </c>
    </row>
    <row r="128" spans="1:10" x14ac:dyDescent="0.25">
      <c r="A128" s="182" t="s">
        <v>230</v>
      </c>
      <c r="B128" s="182" t="s">
        <v>215</v>
      </c>
      <c r="C128" s="9" t="s">
        <v>231</v>
      </c>
      <c r="D128" s="182" t="s">
        <v>37</v>
      </c>
      <c r="E128" s="185">
        <v>1</v>
      </c>
      <c r="F128" s="76">
        <v>150000</v>
      </c>
      <c r="G128" s="76">
        <f t="shared" si="1"/>
        <v>150000</v>
      </c>
    </row>
    <row r="129" spans="1:7" x14ac:dyDescent="0.25">
      <c r="A129" s="182" t="s">
        <v>232</v>
      </c>
      <c r="B129" s="182" t="s">
        <v>215</v>
      </c>
      <c r="C129" s="9" t="s">
        <v>233</v>
      </c>
      <c r="D129" s="182" t="s">
        <v>37</v>
      </c>
      <c r="E129" s="185">
        <v>1</v>
      </c>
      <c r="F129" s="76">
        <v>30000</v>
      </c>
      <c r="G129" s="76">
        <f t="shared" si="1"/>
        <v>30000</v>
      </c>
    </row>
    <row r="130" spans="1:7" x14ac:dyDescent="0.25">
      <c r="A130" s="182" t="s">
        <v>234</v>
      </c>
      <c r="B130" s="182" t="s">
        <v>215</v>
      </c>
      <c r="C130" s="9" t="s">
        <v>235</v>
      </c>
      <c r="D130" s="182" t="s">
        <v>37</v>
      </c>
      <c r="E130" s="185">
        <v>1</v>
      </c>
      <c r="F130" s="76">
        <v>800000</v>
      </c>
      <c r="G130" s="76">
        <f t="shared" si="1"/>
        <v>800000</v>
      </c>
    </row>
    <row r="131" spans="1:7" x14ac:dyDescent="0.25">
      <c r="A131" s="182" t="s">
        <v>236</v>
      </c>
      <c r="B131" s="182" t="s">
        <v>215</v>
      </c>
      <c r="C131" s="9" t="s">
        <v>237</v>
      </c>
      <c r="D131" s="182" t="s">
        <v>37</v>
      </c>
      <c r="E131" s="185">
        <v>1</v>
      </c>
      <c r="F131" s="76">
        <v>780000</v>
      </c>
      <c r="G131" s="76">
        <f t="shared" si="1"/>
        <v>780000</v>
      </c>
    </row>
    <row r="132" spans="1:7" x14ac:dyDescent="0.25">
      <c r="A132" s="182" t="s">
        <v>238</v>
      </c>
      <c r="B132" s="182" t="s">
        <v>215</v>
      </c>
      <c r="C132" s="9" t="s">
        <v>239</v>
      </c>
      <c r="D132" s="182" t="s">
        <v>37</v>
      </c>
      <c r="E132" s="185">
        <v>1</v>
      </c>
      <c r="F132" s="76">
        <v>13751.45</v>
      </c>
      <c r="G132" s="76">
        <f t="shared" si="1"/>
        <v>13751.45</v>
      </c>
    </row>
    <row r="133" spans="1:7" ht="25.5" x14ac:dyDescent="0.25">
      <c r="A133" s="182" t="s">
        <v>240</v>
      </c>
      <c r="B133" s="182" t="s">
        <v>215</v>
      </c>
      <c r="C133" s="9" t="s">
        <v>241</v>
      </c>
      <c r="D133" s="182" t="s">
        <v>773</v>
      </c>
      <c r="E133" s="185">
        <v>1</v>
      </c>
      <c r="F133" s="76">
        <v>6000</v>
      </c>
      <c r="G133" s="76">
        <f t="shared" si="1"/>
        <v>6000</v>
      </c>
    </row>
    <row r="134" spans="1:7" x14ac:dyDescent="0.25">
      <c r="A134" s="182" t="s">
        <v>242</v>
      </c>
      <c r="B134" s="182" t="s">
        <v>215</v>
      </c>
      <c r="C134" s="9" t="s">
        <v>243</v>
      </c>
      <c r="D134" s="182" t="s">
        <v>37</v>
      </c>
      <c r="E134" s="185">
        <v>1</v>
      </c>
      <c r="F134" s="76">
        <v>13000</v>
      </c>
      <c r="G134" s="76">
        <f t="shared" si="1"/>
        <v>13000</v>
      </c>
    </row>
    <row r="135" spans="1:7" x14ac:dyDescent="0.25">
      <c r="A135" s="182" t="s">
        <v>244</v>
      </c>
      <c r="B135" s="182" t="s">
        <v>215</v>
      </c>
      <c r="C135" s="9" t="s">
        <v>245</v>
      </c>
      <c r="D135" s="182" t="s">
        <v>246</v>
      </c>
      <c r="E135" s="185">
        <v>1</v>
      </c>
      <c r="F135" s="76">
        <v>0</v>
      </c>
      <c r="G135" s="76">
        <f t="shared" si="1"/>
        <v>0</v>
      </c>
    </row>
    <row r="136" spans="1:7" x14ac:dyDescent="0.25">
      <c r="A136" s="182" t="s">
        <v>247</v>
      </c>
      <c r="B136" s="182" t="s">
        <v>215</v>
      </c>
      <c r="C136" s="9" t="s">
        <v>248</v>
      </c>
      <c r="D136" s="182" t="s">
        <v>59</v>
      </c>
      <c r="E136" s="185">
        <v>1</v>
      </c>
      <c r="F136" s="76">
        <v>110000</v>
      </c>
      <c r="G136" s="76">
        <f t="shared" si="1"/>
        <v>110000</v>
      </c>
    </row>
    <row r="137" spans="1:7" x14ac:dyDescent="0.25">
      <c r="A137" s="182" t="s">
        <v>249</v>
      </c>
      <c r="B137" s="182" t="s">
        <v>215</v>
      </c>
      <c r="C137" s="9" t="s">
        <v>250</v>
      </c>
      <c r="D137" s="182" t="s">
        <v>37</v>
      </c>
      <c r="E137" s="185">
        <v>1</v>
      </c>
      <c r="F137" s="76">
        <v>5000</v>
      </c>
      <c r="G137" s="76">
        <f t="shared" si="1"/>
        <v>5000</v>
      </c>
    </row>
    <row r="138" spans="1:7" x14ac:dyDescent="0.25">
      <c r="A138" s="182" t="s">
        <v>251</v>
      </c>
      <c r="B138" s="182" t="s">
        <v>215</v>
      </c>
      <c r="C138" s="9" t="s">
        <v>252</v>
      </c>
      <c r="D138" s="182" t="s">
        <v>37</v>
      </c>
      <c r="E138" s="185">
        <v>1</v>
      </c>
      <c r="F138" s="76">
        <v>130000</v>
      </c>
      <c r="G138" s="76">
        <f t="shared" si="1"/>
        <v>130000</v>
      </c>
    </row>
    <row r="139" spans="1:7" x14ac:dyDescent="0.25">
      <c r="A139" s="182" t="s">
        <v>253</v>
      </c>
      <c r="B139" s="182" t="s">
        <v>215</v>
      </c>
      <c r="C139" s="9" t="s">
        <v>525</v>
      </c>
      <c r="D139" s="182" t="s">
        <v>37</v>
      </c>
      <c r="E139" s="185">
        <v>1</v>
      </c>
      <c r="F139" s="76">
        <v>250000</v>
      </c>
      <c r="G139" s="76">
        <f t="shared" si="1"/>
        <v>250000</v>
      </c>
    </row>
    <row r="140" spans="1:7" x14ac:dyDescent="0.25">
      <c r="A140" s="182" t="s">
        <v>254</v>
      </c>
      <c r="B140" s="182" t="s">
        <v>215</v>
      </c>
      <c r="C140" s="9" t="s">
        <v>255</v>
      </c>
      <c r="D140" s="182" t="s">
        <v>37</v>
      </c>
      <c r="E140" s="185">
        <v>1</v>
      </c>
      <c r="F140" s="76">
        <v>11000</v>
      </c>
      <c r="G140" s="76">
        <f t="shared" si="1"/>
        <v>11000</v>
      </c>
    </row>
    <row r="141" spans="1:7" x14ac:dyDescent="0.25">
      <c r="A141" s="182" t="s">
        <v>256</v>
      </c>
      <c r="B141" s="182" t="s">
        <v>215</v>
      </c>
      <c r="C141" s="9" t="s">
        <v>257</v>
      </c>
      <c r="D141" s="182" t="s">
        <v>59</v>
      </c>
      <c r="E141" s="185">
        <v>1</v>
      </c>
      <c r="F141" s="76">
        <v>90000</v>
      </c>
      <c r="G141" s="76">
        <f t="shared" si="1"/>
        <v>90000</v>
      </c>
    </row>
    <row r="142" spans="1:7" x14ac:dyDescent="0.25">
      <c r="A142" s="182" t="s">
        <v>258</v>
      </c>
      <c r="B142" s="182" t="s">
        <v>215</v>
      </c>
      <c r="C142" s="9" t="s">
        <v>532</v>
      </c>
      <c r="D142" s="182" t="s">
        <v>37</v>
      </c>
      <c r="E142" s="185">
        <v>1</v>
      </c>
      <c r="F142" s="76">
        <v>66480</v>
      </c>
      <c r="G142" s="76">
        <f t="shared" si="1"/>
        <v>66480</v>
      </c>
    </row>
    <row r="143" spans="1:7" x14ac:dyDescent="0.25">
      <c r="A143" s="182" t="s">
        <v>259</v>
      </c>
      <c r="B143" s="182" t="s">
        <v>215</v>
      </c>
      <c r="C143" s="9" t="s">
        <v>260</v>
      </c>
      <c r="D143" s="182" t="s">
        <v>59</v>
      </c>
      <c r="E143" s="185">
        <v>1</v>
      </c>
      <c r="F143" s="76">
        <v>23900</v>
      </c>
      <c r="G143" s="76">
        <f t="shared" si="1"/>
        <v>23900</v>
      </c>
    </row>
    <row r="144" spans="1:7" x14ac:dyDescent="0.25">
      <c r="A144" s="182" t="s">
        <v>261</v>
      </c>
      <c r="B144" s="182" t="s">
        <v>215</v>
      </c>
      <c r="C144" s="9" t="s">
        <v>527</v>
      </c>
      <c r="D144" s="182" t="s">
        <v>37</v>
      </c>
      <c r="E144" s="185">
        <v>1</v>
      </c>
      <c r="F144" s="76">
        <v>330000</v>
      </c>
      <c r="G144" s="76">
        <f t="shared" si="1"/>
        <v>330000</v>
      </c>
    </row>
    <row r="145" spans="1:7" x14ac:dyDescent="0.25">
      <c r="A145" s="182" t="s">
        <v>262</v>
      </c>
      <c r="B145" s="182" t="s">
        <v>215</v>
      </c>
      <c r="C145" s="9" t="s">
        <v>263</v>
      </c>
      <c r="D145" s="182" t="s">
        <v>59</v>
      </c>
      <c r="E145" s="185">
        <v>1</v>
      </c>
      <c r="F145" s="76">
        <v>55000</v>
      </c>
      <c r="G145" s="76">
        <f t="shared" si="1"/>
        <v>55000</v>
      </c>
    </row>
    <row r="146" spans="1:7" x14ac:dyDescent="0.25">
      <c r="A146" s="182" t="s">
        <v>264</v>
      </c>
      <c r="B146" s="182" t="s">
        <v>215</v>
      </c>
      <c r="C146" s="9" t="s">
        <v>265</v>
      </c>
      <c r="D146" s="182" t="s">
        <v>59</v>
      </c>
      <c r="E146" s="185">
        <v>1</v>
      </c>
      <c r="F146" s="76">
        <v>240000</v>
      </c>
      <c r="G146" s="76">
        <f t="shared" si="1"/>
        <v>240000</v>
      </c>
    </row>
    <row r="147" spans="1:7" x14ac:dyDescent="0.25">
      <c r="A147" s="182" t="s">
        <v>266</v>
      </c>
      <c r="B147" s="182" t="s">
        <v>215</v>
      </c>
      <c r="C147" s="9" t="s">
        <v>267</v>
      </c>
      <c r="D147" s="182" t="s">
        <v>37</v>
      </c>
      <c r="E147" s="185">
        <v>1</v>
      </c>
      <c r="F147" s="76">
        <v>20000</v>
      </c>
      <c r="G147" s="76">
        <f t="shared" si="1"/>
        <v>20000</v>
      </c>
    </row>
    <row r="148" spans="1:7" x14ac:dyDescent="0.25">
      <c r="A148" s="182" t="s">
        <v>268</v>
      </c>
      <c r="B148" s="182" t="s">
        <v>215</v>
      </c>
      <c r="C148" s="9" t="s">
        <v>269</v>
      </c>
      <c r="D148" s="182" t="s">
        <v>37</v>
      </c>
      <c r="E148" s="185">
        <v>1</v>
      </c>
      <c r="F148" s="76">
        <v>250000</v>
      </c>
      <c r="G148" s="76">
        <f t="shared" si="1"/>
        <v>250000</v>
      </c>
    </row>
    <row r="149" spans="1:7" x14ac:dyDescent="0.25">
      <c r="A149" s="182" t="s">
        <v>270</v>
      </c>
      <c r="B149" s="182" t="s">
        <v>215</v>
      </c>
      <c r="C149" s="9" t="s">
        <v>271</v>
      </c>
      <c r="D149" s="182" t="s">
        <v>59</v>
      </c>
      <c r="E149" s="185">
        <v>1</v>
      </c>
      <c r="F149" s="76">
        <v>90000</v>
      </c>
      <c r="G149" s="76">
        <f t="shared" si="1"/>
        <v>90000</v>
      </c>
    </row>
    <row r="150" spans="1:7" x14ac:dyDescent="0.25">
      <c r="A150" s="182" t="s">
        <v>272</v>
      </c>
      <c r="B150" s="182" t="s">
        <v>215</v>
      </c>
      <c r="C150" s="9" t="s">
        <v>273</v>
      </c>
      <c r="D150" s="182" t="s">
        <v>37</v>
      </c>
      <c r="E150" s="185">
        <v>1</v>
      </c>
      <c r="F150" s="76">
        <v>95000</v>
      </c>
      <c r="G150" s="76">
        <f t="shared" si="1"/>
        <v>95000</v>
      </c>
    </row>
    <row r="151" spans="1:7" x14ac:dyDescent="0.25">
      <c r="A151" s="182" t="s">
        <v>274</v>
      </c>
      <c r="B151" s="182" t="s">
        <v>215</v>
      </c>
      <c r="C151" s="9" t="s">
        <v>275</v>
      </c>
      <c r="D151" s="182" t="s">
        <v>37</v>
      </c>
      <c r="E151" s="185">
        <v>1</v>
      </c>
      <c r="F151" s="76">
        <v>50000</v>
      </c>
      <c r="G151" s="76">
        <f t="shared" si="1"/>
        <v>50000</v>
      </c>
    </row>
    <row r="152" spans="1:7" x14ac:dyDescent="0.25">
      <c r="A152" s="182" t="s">
        <v>508</v>
      </c>
      <c r="B152" s="182" t="s">
        <v>215</v>
      </c>
      <c r="C152" s="9" t="s">
        <v>509</v>
      </c>
      <c r="D152" s="182" t="s">
        <v>775</v>
      </c>
      <c r="E152" s="185">
        <v>1</v>
      </c>
      <c r="F152" s="76">
        <v>2000000</v>
      </c>
      <c r="G152" s="76">
        <f t="shared" si="1"/>
        <v>2000000</v>
      </c>
    </row>
    <row r="153" spans="1:7" x14ac:dyDescent="0.25">
      <c r="A153" s="182" t="s">
        <v>510</v>
      </c>
      <c r="B153" s="182" t="s">
        <v>215</v>
      </c>
      <c r="C153" s="9" t="s">
        <v>513</v>
      </c>
      <c r="D153" s="182" t="s">
        <v>59</v>
      </c>
      <c r="E153" s="185">
        <v>1</v>
      </c>
      <c r="F153" s="76">
        <v>740000</v>
      </c>
      <c r="G153" s="76">
        <f t="shared" si="1"/>
        <v>740000</v>
      </c>
    </row>
    <row r="154" spans="1:7" x14ac:dyDescent="0.25">
      <c r="A154" s="182" t="s">
        <v>511</v>
      </c>
      <c r="B154" s="182" t="s">
        <v>215</v>
      </c>
      <c r="C154" s="9" t="s">
        <v>514</v>
      </c>
      <c r="D154" s="182" t="s">
        <v>59</v>
      </c>
      <c r="E154" s="185">
        <v>1</v>
      </c>
      <c r="F154" s="76">
        <v>710000</v>
      </c>
      <c r="G154" s="76">
        <f t="shared" si="1"/>
        <v>710000</v>
      </c>
    </row>
    <row r="155" spans="1:7" x14ac:dyDescent="0.25">
      <c r="A155" s="182" t="s">
        <v>512</v>
      </c>
      <c r="B155" s="182" t="s">
        <v>215</v>
      </c>
      <c r="C155" s="9" t="s">
        <v>515</v>
      </c>
      <c r="D155" s="182" t="s">
        <v>59</v>
      </c>
      <c r="E155" s="185">
        <v>1</v>
      </c>
      <c r="F155" s="76">
        <v>845000</v>
      </c>
      <c r="G155" s="76">
        <f t="shared" si="1"/>
        <v>845000</v>
      </c>
    </row>
    <row r="156" spans="1:7" x14ac:dyDescent="0.25">
      <c r="A156" s="182" t="s">
        <v>518</v>
      </c>
      <c r="B156" s="182" t="s">
        <v>215</v>
      </c>
      <c r="C156" s="9" t="s">
        <v>521</v>
      </c>
      <c r="D156" s="182" t="s">
        <v>37</v>
      </c>
      <c r="E156" s="185">
        <v>1</v>
      </c>
      <c r="F156" s="76">
        <v>12000</v>
      </c>
      <c r="G156" s="76">
        <f t="shared" si="1"/>
        <v>12000</v>
      </c>
    </row>
    <row r="157" spans="1:7" x14ac:dyDescent="0.25">
      <c r="A157" s="182" t="s">
        <v>519</v>
      </c>
      <c r="B157" s="182" t="s">
        <v>215</v>
      </c>
      <c r="C157" s="9" t="s">
        <v>522</v>
      </c>
      <c r="D157" s="182" t="s">
        <v>37</v>
      </c>
      <c r="E157" s="185">
        <v>1</v>
      </c>
      <c r="F157" s="76">
        <v>20000</v>
      </c>
      <c r="G157" s="76">
        <f t="shared" si="1"/>
        <v>20000</v>
      </c>
    </row>
    <row r="158" spans="1:7" x14ac:dyDescent="0.25">
      <c r="A158" s="182" t="s">
        <v>520</v>
      </c>
      <c r="B158" s="182" t="s">
        <v>215</v>
      </c>
      <c r="C158" s="9" t="s">
        <v>523</v>
      </c>
      <c r="D158" s="182" t="s">
        <v>37</v>
      </c>
      <c r="E158" s="185">
        <v>1</v>
      </c>
      <c r="F158" s="76">
        <v>45000</v>
      </c>
      <c r="G158" s="76">
        <f t="shared" si="1"/>
        <v>45000</v>
      </c>
    </row>
    <row r="159" spans="1:7" x14ac:dyDescent="0.25">
      <c r="A159" s="182" t="s">
        <v>526</v>
      </c>
      <c r="B159" s="182" t="s">
        <v>215</v>
      </c>
      <c r="C159" s="9" t="s">
        <v>528</v>
      </c>
      <c r="D159" s="182" t="s">
        <v>37</v>
      </c>
      <c r="E159" s="185">
        <v>1</v>
      </c>
      <c r="F159" s="76">
        <v>95000</v>
      </c>
      <c r="G159" s="76">
        <f t="shared" si="1"/>
        <v>95000</v>
      </c>
    </row>
    <row r="160" spans="1:7" x14ac:dyDescent="0.25">
      <c r="A160" s="182" t="s">
        <v>533</v>
      </c>
      <c r="B160" s="182" t="s">
        <v>215</v>
      </c>
      <c r="C160" s="9" t="s">
        <v>537</v>
      </c>
      <c r="D160" s="182" t="s">
        <v>37</v>
      </c>
      <c r="E160" s="185">
        <v>1</v>
      </c>
      <c r="F160" s="76">
        <v>130000</v>
      </c>
      <c r="G160" s="76">
        <f t="shared" si="1"/>
        <v>130000</v>
      </c>
    </row>
    <row r="161" spans="1:7" x14ac:dyDescent="0.25">
      <c r="A161" s="182" t="s">
        <v>534</v>
      </c>
      <c r="B161" s="182" t="s">
        <v>215</v>
      </c>
      <c r="C161" s="9" t="s">
        <v>538</v>
      </c>
      <c r="D161" s="182" t="s">
        <v>37</v>
      </c>
      <c r="E161" s="185">
        <v>1</v>
      </c>
      <c r="F161" s="76">
        <v>101300</v>
      </c>
      <c r="G161" s="76">
        <f t="shared" si="1"/>
        <v>101300</v>
      </c>
    </row>
    <row r="162" spans="1:7" x14ac:dyDescent="0.25">
      <c r="A162" s="182" t="s">
        <v>535</v>
      </c>
      <c r="B162" s="182" t="s">
        <v>215</v>
      </c>
      <c r="C162" s="9" t="s">
        <v>539</v>
      </c>
      <c r="D162" s="182" t="s">
        <v>37</v>
      </c>
      <c r="E162" s="185">
        <v>1</v>
      </c>
      <c r="F162" s="76">
        <v>16230</v>
      </c>
      <c r="G162" s="76">
        <f t="shared" si="1"/>
        <v>16230</v>
      </c>
    </row>
    <row r="163" spans="1:7" x14ac:dyDescent="0.25">
      <c r="A163" s="182" t="s">
        <v>536</v>
      </c>
      <c r="B163" s="182" t="s">
        <v>215</v>
      </c>
      <c r="C163" s="9" t="s">
        <v>542</v>
      </c>
      <c r="D163" s="182" t="s">
        <v>37</v>
      </c>
      <c r="E163" s="185">
        <v>1</v>
      </c>
      <c r="F163" s="76">
        <v>110000</v>
      </c>
      <c r="G163" s="76">
        <f t="shared" si="1"/>
        <v>110000</v>
      </c>
    </row>
    <row r="164" spans="1:7" x14ac:dyDescent="0.25">
      <c r="A164" s="182" t="s">
        <v>583</v>
      </c>
      <c r="B164" s="182" t="s">
        <v>215</v>
      </c>
      <c r="C164" s="9" t="s">
        <v>584</v>
      </c>
      <c r="D164" s="182" t="s">
        <v>37</v>
      </c>
      <c r="E164" s="185">
        <v>1</v>
      </c>
      <c r="F164" s="76">
        <v>168000</v>
      </c>
      <c r="G164" s="76">
        <f t="shared" si="1"/>
        <v>168000</v>
      </c>
    </row>
    <row r="165" spans="1:7" x14ac:dyDescent="0.25">
      <c r="A165" s="182" t="s">
        <v>585</v>
      </c>
      <c r="B165" s="182" t="s">
        <v>215</v>
      </c>
      <c r="C165" s="9" t="s">
        <v>41</v>
      </c>
      <c r="D165" s="182" t="s">
        <v>37</v>
      </c>
      <c r="E165" s="185">
        <v>1</v>
      </c>
      <c r="F165" s="76">
        <v>66050</v>
      </c>
      <c r="G165" s="76">
        <f t="shared" si="1"/>
        <v>66050</v>
      </c>
    </row>
    <row r="166" spans="1:7" x14ac:dyDescent="0.25">
      <c r="A166" s="182" t="s">
        <v>586</v>
      </c>
      <c r="B166" s="182" t="s">
        <v>215</v>
      </c>
      <c r="C166" s="9" t="s">
        <v>587</v>
      </c>
      <c r="D166" s="182" t="s">
        <v>37</v>
      </c>
      <c r="E166" s="185">
        <v>1</v>
      </c>
      <c r="F166" s="76">
        <v>11520</v>
      </c>
      <c r="G166" s="76">
        <f>+F166*E166</f>
        <v>11520</v>
      </c>
    </row>
    <row r="167" spans="1:7" x14ac:dyDescent="0.25">
      <c r="A167" s="182" t="s">
        <v>588</v>
      </c>
      <c r="B167" s="182" t="s">
        <v>215</v>
      </c>
      <c r="C167" s="9" t="s">
        <v>589</v>
      </c>
      <c r="D167" s="182" t="s">
        <v>37</v>
      </c>
      <c r="E167" s="185">
        <v>1</v>
      </c>
      <c r="F167" s="76">
        <v>71250</v>
      </c>
      <c r="G167" s="76">
        <f>+F167*E167</f>
        <v>71250</v>
      </c>
    </row>
    <row r="168" spans="1:7" x14ac:dyDescent="0.25">
      <c r="A168" s="182" t="s">
        <v>590</v>
      </c>
      <c r="B168" s="182" t="s">
        <v>215</v>
      </c>
      <c r="C168" s="9" t="s">
        <v>591</v>
      </c>
      <c r="D168" s="182" t="s">
        <v>37</v>
      </c>
      <c r="E168" s="185">
        <v>1</v>
      </c>
      <c r="F168" s="76">
        <f>+(50000/8)+(F104/8)</f>
        <v>16301.25</v>
      </c>
      <c r="G168" s="76">
        <f>+F168*E168</f>
        <v>16301.25</v>
      </c>
    </row>
    <row r="169" spans="1:7" x14ac:dyDescent="0.25">
      <c r="A169" s="182" t="s">
        <v>592</v>
      </c>
      <c r="B169" s="182" t="s">
        <v>215</v>
      </c>
      <c r="C169" s="9" t="s">
        <v>593</v>
      </c>
      <c r="D169" s="182" t="s">
        <v>37</v>
      </c>
      <c r="E169" s="185">
        <v>1</v>
      </c>
      <c r="F169" s="76">
        <f>+ROUND((59900/30)/8,2)</f>
        <v>249.58</v>
      </c>
      <c r="G169" s="76">
        <f>+F169*E169</f>
        <v>249.58</v>
      </c>
    </row>
    <row r="170" spans="1:7" x14ac:dyDescent="0.25">
      <c r="A170" s="182" t="s">
        <v>276</v>
      </c>
      <c r="B170" s="182" t="s">
        <v>277</v>
      </c>
      <c r="C170" s="9" t="s">
        <v>714</v>
      </c>
      <c r="D170" s="182" t="s">
        <v>774</v>
      </c>
      <c r="E170" s="185">
        <v>1</v>
      </c>
      <c r="F170" s="76">
        <v>19822640.309999999</v>
      </c>
      <c r="G170" s="76">
        <f t="shared" ref="G170:G182" si="3">+F170*E170</f>
        <v>19822640.309999999</v>
      </c>
    </row>
    <row r="171" spans="1:7" x14ac:dyDescent="0.25">
      <c r="A171" s="182" t="s">
        <v>594</v>
      </c>
      <c r="B171" s="182" t="s">
        <v>595</v>
      </c>
      <c r="C171" s="9" t="s">
        <v>596</v>
      </c>
      <c r="D171" s="182" t="s">
        <v>774</v>
      </c>
      <c r="E171" s="185">
        <v>1</v>
      </c>
      <c r="F171" s="76">
        <v>27000000</v>
      </c>
      <c r="G171" s="76">
        <f t="shared" si="3"/>
        <v>27000000</v>
      </c>
    </row>
    <row r="172" spans="1:7" x14ac:dyDescent="0.25">
      <c r="A172" s="182" t="s">
        <v>597</v>
      </c>
      <c r="B172" s="182" t="s">
        <v>595</v>
      </c>
      <c r="C172" s="9" t="s">
        <v>798</v>
      </c>
      <c r="D172" s="182" t="s">
        <v>775</v>
      </c>
      <c r="E172" s="185">
        <v>1</v>
      </c>
      <c r="F172" s="76">
        <v>272332</v>
      </c>
      <c r="G172" s="76">
        <f t="shared" si="3"/>
        <v>272332</v>
      </c>
    </row>
    <row r="173" spans="1:7" x14ac:dyDescent="0.25">
      <c r="A173" s="182" t="s">
        <v>598</v>
      </c>
      <c r="B173" s="182" t="s">
        <v>595</v>
      </c>
      <c r="C173" s="9" t="s">
        <v>599</v>
      </c>
      <c r="D173" s="182" t="s">
        <v>775</v>
      </c>
      <c r="E173" s="185">
        <v>1</v>
      </c>
      <c r="F173" s="76">
        <v>44070</v>
      </c>
      <c r="G173" s="76">
        <f t="shared" si="3"/>
        <v>44070</v>
      </c>
    </row>
    <row r="174" spans="1:7" x14ac:dyDescent="0.25">
      <c r="A174" s="182" t="s">
        <v>600</v>
      </c>
      <c r="B174" s="182" t="s">
        <v>595</v>
      </c>
      <c r="C174" s="9" t="s">
        <v>601</v>
      </c>
      <c r="D174" s="182" t="s">
        <v>775</v>
      </c>
      <c r="E174" s="185">
        <v>1</v>
      </c>
      <c r="F174" s="76">
        <v>66585</v>
      </c>
      <c r="G174" s="76">
        <f t="shared" si="3"/>
        <v>66585</v>
      </c>
    </row>
    <row r="175" spans="1:7" x14ac:dyDescent="0.25">
      <c r="A175" s="182" t="s">
        <v>602</v>
      </c>
      <c r="B175" s="182" t="s">
        <v>595</v>
      </c>
      <c r="C175" s="9" t="s">
        <v>603</v>
      </c>
      <c r="D175" s="182" t="s">
        <v>775</v>
      </c>
      <c r="E175" s="185">
        <v>1</v>
      </c>
      <c r="F175" s="76">
        <v>255299.99999999997</v>
      </c>
      <c r="G175" s="76">
        <f t="shared" si="3"/>
        <v>255299.99999999997</v>
      </c>
    </row>
    <row r="176" spans="1:7" x14ac:dyDescent="0.25">
      <c r="A176" s="182" t="s">
        <v>604</v>
      </c>
      <c r="B176" s="182" t="s">
        <v>595</v>
      </c>
      <c r="C176" s="9" t="s">
        <v>605</v>
      </c>
      <c r="D176" s="182" t="s">
        <v>775</v>
      </c>
      <c r="E176" s="185">
        <v>1</v>
      </c>
      <c r="F176" s="76">
        <v>95880</v>
      </c>
      <c r="G176" s="76">
        <f t="shared" si="3"/>
        <v>95880</v>
      </c>
    </row>
    <row r="177" spans="1:9" x14ac:dyDescent="0.25">
      <c r="A177" s="182" t="s">
        <v>606</v>
      </c>
      <c r="B177" s="182" t="s">
        <v>595</v>
      </c>
      <c r="C177" s="9" t="s">
        <v>607</v>
      </c>
      <c r="D177" s="182" t="s">
        <v>775</v>
      </c>
      <c r="E177" s="185">
        <v>1</v>
      </c>
      <c r="F177" s="76">
        <v>138000</v>
      </c>
      <c r="G177" s="76">
        <f t="shared" si="3"/>
        <v>138000</v>
      </c>
    </row>
    <row r="178" spans="1:9" x14ac:dyDescent="0.25">
      <c r="A178" s="182" t="s">
        <v>608</v>
      </c>
      <c r="B178" s="182" t="s">
        <v>595</v>
      </c>
      <c r="C178" s="4" t="s">
        <v>609</v>
      </c>
      <c r="D178" s="182" t="s">
        <v>768</v>
      </c>
      <c r="E178" s="185">
        <v>1</v>
      </c>
      <c r="F178" s="76">
        <v>131</v>
      </c>
      <c r="G178" s="76">
        <f t="shared" si="3"/>
        <v>131</v>
      </c>
    </row>
    <row r="179" spans="1:9" x14ac:dyDescent="0.25">
      <c r="A179" s="182" t="s">
        <v>610</v>
      </c>
      <c r="B179" s="182" t="s">
        <v>595</v>
      </c>
      <c r="C179" s="9" t="s">
        <v>611</v>
      </c>
      <c r="D179" s="182" t="s">
        <v>775</v>
      </c>
      <c r="E179" s="185">
        <v>1</v>
      </c>
      <c r="F179" s="76">
        <v>14949.999999999998</v>
      </c>
      <c r="G179" s="76">
        <f t="shared" si="3"/>
        <v>14949.999999999998</v>
      </c>
    </row>
    <row r="180" spans="1:9" x14ac:dyDescent="0.25">
      <c r="A180" s="182" t="s">
        <v>612</v>
      </c>
      <c r="B180" s="182" t="s">
        <v>595</v>
      </c>
      <c r="C180" s="9" t="s">
        <v>613</v>
      </c>
      <c r="D180" s="182" t="s">
        <v>775</v>
      </c>
      <c r="E180" s="185">
        <v>1</v>
      </c>
      <c r="F180" s="76">
        <f>2163-8</f>
        <v>2155</v>
      </c>
      <c r="G180" s="76">
        <f t="shared" si="3"/>
        <v>2155</v>
      </c>
    </row>
    <row r="181" spans="1:9" x14ac:dyDescent="0.25">
      <c r="A181" s="182" t="s">
        <v>614</v>
      </c>
      <c r="B181" s="182" t="s">
        <v>595</v>
      </c>
      <c r="C181" s="9" t="s">
        <v>615</v>
      </c>
      <c r="D181" s="182" t="s">
        <v>775</v>
      </c>
      <c r="E181" s="185">
        <v>1</v>
      </c>
      <c r="F181" s="76">
        <v>5750</v>
      </c>
      <c r="G181" s="76">
        <f t="shared" si="3"/>
        <v>5750</v>
      </c>
    </row>
    <row r="182" spans="1:9" x14ac:dyDescent="0.25">
      <c r="A182" s="182" t="s">
        <v>616</v>
      </c>
      <c r="B182" s="182" t="s">
        <v>595</v>
      </c>
      <c r="C182" s="9" t="s">
        <v>617</v>
      </c>
      <c r="D182" s="182" t="s">
        <v>578</v>
      </c>
      <c r="E182" s="185">
        <v>1</v>
      </c>
      <c r="F182" s="76">
        <v>229999.99999999997</v>
      </c>
      <c r="G182" s="76">
        <f t="shared" si="3"/>
        <v>229999.99999999997</v>
      </c>
    </row>
    <row r="183" spans="1:9" x14ac:dyDescent="0.25">
      <c r="A183" s="182" t="s">
        <v>278</v>
      </c>
      <c r="B183" s="182" t="s">
        <v>279</v>
      </c>
      <c r="C183" s="9" t="s">
        <v>280</v>
      </c>
      <c r="D183" s="182" t="s">
        <v>776</v>
      </c>
      <c r="E183" s="185">
        <v>1</v>
      </c>
      <c r="F183" s="76">
        <v>1100</v>
      </c>
      <c r="G183" s="76">
        <f t="shared" si="1"/>
        <v>1100</v>
      </c>
    </row>
    <row r="184" spans="1:9" x14ac:dyDescent="0.25">
      <c r="A184" s="182" t="s">
        <v>281</v>
      </c>
      <c r="B184" s="182" t="s">
        <v>279</v>
      </c>
      <c r="C184" s="9" t="s">
        <v>282</v>
      </c>
      <c r="D184" s="182" t="s">
        <v>776</v>
      </c>
      <c r="E184" s="185">
        <v>1</v>
      </c>
      <c r="F184" s="76">
        <v>1300</v>
      </c>
      <c r="G184" s="76">
        <f t="shared" si="1"/>
        <v>1300</v>
      </c>
      <c r="H184" s="186"/>
      <c r="I184" s="131"/>
    </row>
    <row r="185" spans="1:9" x14ac:dyDescent="0.25">
      <c r="A185" s="182" t="s">
        <v>283</v>
      </c>
      <c r="B185" s="182" t="s">
        <v>279</v>
      </c>
      <c r="C185" s="9" t="s">
        <v>530</v>
      </c>
      <c r="D185" s="182" t="s">
        <v>776</v>
      </c>
      <c r="E185" s="185">
        <v>1</v>
      </c>
      <c r="F185" s="76">
        <v>1500</v>
      </c>
      <c r="G185" s="76">
        <f t="shared" si="1"/>
        <v>1500</v>
      </c>
    </row>
    <row r="186" spans="1:9" x14ac:dyDescent="0.25">
      <c r="A186" s="182" t="s">
        <v>529</v>
      </c>
      <c r="B186" s="182" t="s">
        <v>279</v>
      </c>
      <c r="C186" s="9" t="s">
        <v>531</v>
      </c>
      <c r="D186" s="182" t="s">
        <v>769</v>
      </c>
      <c r="E186" s="185">
        <v>1</v>
      </c>
      <c r="F186" s="76">
        <v>8000</v>
      </c>
      <c r="G186" s="76">
        <f t="shared" si="1"/>
        <v>8000</v>
      </c>
    </row>
    <row r="187" spans="1:9" x14ac:dyDescent="0.25">
      <c r="A187" s="182" t="s">
        <v>618</v>
      </c>
      <c r="B187" s="182" t="s">
        <v>279</v>
      </c>
      <c r="C187" s="9" t="s">
        <v>619</v>
      </c>
      <c r="D187" s="182" t="s">
        <v>776</v>
      </c>
      <c r="E187" s="185">
        <v>1</v>
      </c>
      <c r="F187" s="76">
        <v>1497</v>
      </c>
      <c r="G187" s="76">
        <f t="shared" si="1"/>
        <v>1497</v>
      </c>
    </row>
    <row r="188" spans="1:9" x14ac:dyDescent="0.25">
      <c r="A188" s="182" t="s">
        <v>284</v>
      </c>
      <c r="B188" s="182" t="s">
        <v>285</v>
      </c>
      <c r="C188" s="9" t="s">
        <v>286</v>
      </c>
      <c r="D188" s="182" t="s">
        <v>768</v>
      </c>
      <c r="E188" s="6">
        <v>1</v>
      </c>
      <c r="F188" s="76">
        <v>124718.45728</v>
      </c>
      <c r="G188" s="76">
        <f t="shared" si="1"/>
        <v>124718.45728</v>
      </c>
    </row>
    <row r="189" spans="1:9" x14ac:dyDescent="0.25">
      <c r="A189" s="182" t="s">
        <v>712</v>
      </c>
      <c r="B189" s="182" t="s">
        <v>285</v>
      </c>
      <c r="C189" s="9" t="s">
        <v>713</v>
      </c>
      <c r="D189" s="182" t="s">
        <v>773</v>
      </c>
      <c r="E189" s="6">
        <v>1</v>
      </c>
      <c r="F189" s="76">
        <v>259166.67</v>
      </c>
      <c r="G189" s="76">
        <f>+F189*E189</f>
        <v>259166.67</v>
      </c>
    </row>
    <row r="190" spans="1:9" x14ac:dyDescent="0.25">
      <c r="A190" s="182" t="s">
        <v>553</v>
      </c>
      <c r="B190" s="182" t="s">
        <v>285</v>
      </c>
      <c r="C190" s="9" t="s">
        <v>554</v>
      </c>
      <c r="D190" s="182" t="s">
        <v>775</v>
      </c>
      <c r="E190" s="6">
        <v>1</v>
      </c>
      <c r="F190" s="76">
        <v>186333333.33000001</v>
      </c>
      <c r="G190" s="76">
        <f>+F190*E190</f>
        <v>186333333.33000001</v>
      </c>
    </row>
    <row r="191" spans="1:9" x14ac:dyDescent="0.25">
      <c r="F191" s="161"/>
      <c r="G191" s="161"/>
    </row>
  </sheetData>
  <phoneticPr fontId="3" type="noConversion"/>
  <printOptions horizontalCentered="1"/>
  <pageMargins left="0.7" right="0.7" top="0.75" bottom="0.75" header="0.3" footer="0.3"/>
  <pageSetup scale="83" fitToHeight="0" orientation="portrait" r:id="rId1"/>
  <headerFooter>
    <oddFooter>&amp;CPagina &amp;P de &amp;N</oddFooter>
  </headerFooter>
  <rowBreaks count="1" manualBreakCount="1">
    <brk id="190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O339"/>
  <sheetViews>
    <sheetView tabSelected="1" zoomScale="115" zoomScaleNormal="115" zoomScaleSheetLayoutView="115" workbookViewId="0">
      <selection activeCell="E5" sqref="E5"/>
    </sheetView>
  </sheetViews>
  <sheetFormatPr baseColWidth="10" defaultColWidth="11.42578125" defaultRowHeight="15.95" customHeight="1" x14ac:dyDescent="0.25"/>
  <cols>
    <col min="1" max="1" width="11.42578125" style="231"/>
    <col min="2" max="2" width="6.85546875" style="131" customWidth="1"/>
    <col min="3" max="3" width="19.85546875" style="131" customWidth="1"/>
    <col min="4" max="4" width="12.5703125" style="131" customWidth="1"/>
    <col min="5" max="5" width="7.5703125" style="131" customWidth="1"/>
    <col min="6" max="6" width="7" style="131" customWidth="1"/>
    <col min="7" max="7" width="3.85546875" style="131" bestFit="1" customWidth="1"/>
    <col min="8" max="8" width="7" style="154" customWidth="1"/>
    <col min="9" max="9" width="5.28515625" style="131" customWidth="1"/>
    <col min="10" max="10" width="9.42578125" style="131" customWidth="1"/>
    <col min="11" max="11" width="12.7109375" style="131" customWidth="1"/>
    <col min="12" max="12" width="15.42578125" style="154" bestFit="1" customWidth="1"/>
    <col min="13" max="13" width="5.5703125" style="231" customWidth="1"/>
    <col min="14" max="67" width="11.42578125" style="231"/>
    <col min="68" max="242" width="11.42578125" style="131"/>
    <col min="243" max="243" width="22.42578125" style="131" customWidth="1"/>
    <col min="244" max="245" width="11.42578125" style="131"/>
    <col min="246" max="246" width="13.85546875" style="131" customWidth="1"/>
    <col min="247" max="247" width="12" style="131" bestFit="1" customWidth="1"/>
    <col min="248" max="16384" width="11.42578125" style="131"/>
  </cols>
  <sheetData>
    <row r="1" spans="1:67" s="231" customFormat="1" ht="15.95" customHeight="1" x14ac:dyDescent="0.25">
      <c r="H1" s="232"/>
      <c r="L1" s="232"/>
    </row>
    <row r="2" spans="1:67" s="231" customFormat="1" ht="51.75" customHeight="1" x14ac:dyDescent="0.25">
      <c r="B2" s="302" t="s">
        <v>814</v>
      </c>
      <c r="C2" s="303"/>
      <c r="D2" s="303"/>
      <c r="E2" s="303"/>
      <c r="F2" s="303"/>
      <c r="G2" s="303"/>
      <c r="H2" s="303"/>
      <c r="I2" s="303"/>
      <c r="J2" s="303"/>
      <c r="K2" s="303"/>
      <c r="L2" s="304"/>
    </row>
    <row r="3" spans="1:67" ht="3.75" customHeight="1" x14ac:dyDescent="0.25">
      <c r="B3" s="305"/>
      <c r="C3" s="306"/>
      <c r="D3" s="306"/>
      <c r="E3" s="306"/>
      <c r="F3" s="306"/>
      <c r="G3" s="306"/>
      <c r="H3" s="306"/>
      <c r="I3" s="306"/>
      <c r="J3" s="306"/>
      <c r="K3" s="306"/>
      <c r="L3" s="307"/>
    </row>
    <row r="4" spans="1:67" ht="15.75" customHeight="1" x14ac:dyDescent="0.25">
      <c r="B4" s="316" t="s">
        <v>801</v>
      </c>
      <c r="C4" s="317"/>
      <c r="D4" s="317"/>
      <c r="E4" s="317"/>
      <c r="F4" s="317"/>
      <c r="G4" s="317"/>
      <c r="H4" s="317"/>
      <c r="I4" s="317"/>
      <c r="J4" s="317"/>
      <c r="K4" s="317"/>
      <c r="L4" s="318"/>
    </row>
    <row r="5" spans="1:67" ht="15.75" customHeight="1" x14ac:dyDescent="0.25">
      <c r="B5" s="314" t="s">
        <v>802</v>
      </c>
      <c r="C5" s="315"/>
      <c r="D5" s="315"/>
      <c r="E5" s="155"/>
      <c r="F5" s="155"/>
      <c r="G5" s="188"/>
      <c r="H5" s="156"/>
      <c r="I5" s="157"/>
      <c r="J5" s="157"/>
      <c r="K5" s="157"/>
      <c r="L5" s="205"/>
    </row>
    <row r="6" spans="1:67" ht="5.25" customHeight="1" x14ac:dyDescent="0.25">
      <c r="B6" s="320"/>
      <c r="C6" s="321"/>
      <c r="D6" s="321"/>
      <c r="E6" s="321"/>
      <c r="F6" s="321"/>
      <c r="G6" s="321"/>
      <c r="H6" s="321"/>
      <c r="I6" s="321"/>
      <c r="J6" s="321"/>
      <c r="K6" s="321"/>
      <c r="L6" s="322"/>
    </row>
    <row r="7" spans="1:67" ht="10.5" customHeight="1" x14ac:dyDescent="0.25">
      <c r="B7" s="323" t="s">
        <v>288</v>
      </c>
      <c r="C7" s="319" t="s">
        <v>715</v>
      </c>
      <c r="D7" s="319"/>
      <c r="E7" s="319" t="s">
        <v>3</v>
      </c>
      <c r="F7" s="319" t="s">
        <v>736</v>
      </c>
      <c r="G7" s="324" t="s">
        <v>716</v>
      </c>
      <c r="H7" s="325"/>
      <c r="I7" s="326"/>
      <c r="J7" s="319" t="s">
        <v>732</v>
      </c>
      <c r="K7" s="319" t="s">
        <v>717</v>
      </c>
      <c r="L7" s="327" t="s">
        <v>718</v>
      </c>
    </row>
    <row r="8" spans="1:67" ht="15.95" customHeight="1" x14ac:dyDescent="0.25">
      <c r="B8" s="323"/>
      <c r="C8" s="319"/>
      <c r="D8" s="319"/>
      <c r="E8" s="319"/>
      <c r="F8" s="319"/>
      <c r="G8" s="319" t="s">
        <v>719</v>
      </c>
      <c r="H8" s="319"/>
      <c r="I8" s="319"/>
      <c r="J8" s="319"/>
      <c r="K8" s="319"/>
      <c r="L8" s="327"/>
    </row>
    <row r="9" spans="1:67" ht="15.95" customHeight="1" x14ac:dyDescent="0.25">
      <c r="B9" s="229">
        <v>1</v>
      </c>
      <c r="C9" s="330" t="s">
        <v>720</v>
      </c>
      <c r="D9" s="330"/>
      <c r="E9" s="330"/>
      <c r="F9" s="330"/>
      <c r="G9" s="330"/>
      <c r="H9" s="330"/>
      <c r="I9" s="330"/>
      <c r="J9" s="330"/>
      <c r="K9" s="330"/>
      <c r="L9" s="331"/>
    </row>
    <row r="10" spans="1:67" ht="15.95" customHeight="1" x14ac:dyDescent="0.25">
      <c r="B10" s="229" t="s">
        <v>733</v>
      </c>
      <c r="C10" s="284" t="s">
        <v>721</v>
      </c>
      <c r="D10" s="285"/>
      <c r="E10" s="285"/>
      <c r="F10" s="285"/>
      <c r="G10" s="285"/>
      <c r="H10" s="285"/>
      <c r="I10" s="285"/>
      <c r="J10" s="285"/>
      <c r="K10" s="285"/>
      <c r="L10" s="286"/>
    </row>
    <row r="11" spans="1:67" ht="18.75" customHeight="1" x14ac:dyDescent="0.25">
      <c r="B11" s="214"/>
      <c r="C11" s="332"/>
      <c r="D11" s="332"/>
      <c r="E11" s="215"/>
      <c r="F11" s="216"/>
      <c r="G11" s="293"/>
      <c r="H11" s="293"/>
      <c r="I11" s="293"/>
      <c r="J11" s="216"/>
      <c r="K11" s="217"/>
      <c r="L11" s="246"/>
    </row>
    <row r="12" spans="1:67" s="152" customFormat="1" ht="18.75" customHeight="1" x14ac:dyDescent="0.25">
      <c r="A12" s="233"/>
      <c r="B12" s="206"/>
      <c r="C12" s="295"/>
      <c r="D12" s="295"/>
      <c r="E12" s="190"/>
      <c r="F12" s="191"/>
      <c r="G12" s="294"/>
      <c r="H12" s="294"/>
      <c r="I12" s="294"/>
      <c r="J12" s="191"/>
      <c r="K12" s="192"/>
      <c r="L12" s="247"/>
      <c r="M12" s="233"/>
      <c r="N12" s="233"/>
      <c r="O12" s="235"/>
      <c r="P12" s="233"/>
      <c r="Q12" s="233"/>
      <c r="R12" s="233"/>
      <c r="S12" s="233"/>
      <c r="T12" s="233"/>
      <c r="U12" s="233"/>
      <c r="V12" s="233"/>
      <c r="W12" s="233"/>
      <c r="X12" s="233"/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/>
      <c r="AJ12" s="233"/>
      <c r="AK12" s="233"/>
      <c r="AL12" s="233"/>
      <c r="AM12" s="233"/>
      <c r="AN12" s="233"/>
      <c r="AO12" s="233"/>
      <c r="AP12" s="233"/>
      <c r="AQ12" s="233"/>
      <c r="AR12" s="233"/>
      <c r="AS12" s="233"/>
      <c r="AT12" s="233"/>
      <c r="AU12" s="233"/>
      <c r="AV12" s="233"/>
      <c r="AW12" s="233"/>
      <c r="AX12" s="233"/>
      <c r="AY12" s="233"/>
      <c r="AZ12" s="233"/>
      <c r="BA12" s="233"/>
      <c r="BB12" s="233"/>
      <c r="BC12" s="233"/>
      <c r="BD12" s="233"/>
      <c r="BE12" s="233"/>
      <c r="BF12" s="233"/>
      <c r="BG12" s="233"/>
      <c r="BH12" s="233"/>
      <c r="BI12" s="233"/>
      <c r="BJ12" s="233"/>
      <c r="BK12" s="233"/>
      <c r="BL12" s="233"/>
      <c r="BM12" s="233"/>
      <c r="BN12" s="233"/>
      <c r="BO12" s="233"/>
    </row>
    <row r="13" spans="1:67" s="152" customFormat="1" ht="29.25" customHeight="1" x14ac:dyDescent="0.25">
      <c r="A13" s="233"/>
      <c r="B13" s="206"/>
      <c r="C13" s="295"/>
      <c r="D13" s="295"/>
      <c r="E13" s="190"/>
      <c r="F13" s="191"/>
      <c r="G13" s="294"/>
      <c r="H13" s="294"/>
      <c r="I13" s="294"/>
      <c r="J13" s="191"/>
      <c r="K13" s="192"/>
      <c r="L13" s="247"/>
      <c r="M13" s="233"/>
      <c r="N13" s="233"/>
      <c r="O13" s="235"/>
      <c r="P13" s="233"/>
      <c r="Q13" s="233"/>
      <c r="R13" s="233"/>
      <c r="S13" s="233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D13" s="233"/>
      <c r="AE13" s="233"/>
      <c r="AF13" s="233"/>
      <c r="AG13" s="233"/>
      <c r="AH13" s="233"/>
      <c r="AI13" s="233"/>
      <c r="AJ13" s="233"/>
      <c r="AK13" s="233"/>
      <c r="AL13" s="233"/>
      <c r="AM13" s="233"/>
      <c r="AN13" s="233"/>
      <c r="AO13" s="233"/>
      <c r="AP13" s="233"/>
      <c r="AQ13" s="233"/>
      <c r="AR13" s="233"/>
      <c r="AS13" s="233"/>
      <c r="AT13" s="233"/>
      <c r="AU13" s="233"/>
      <c r="AV13" s="233"/>
      <c r="AW13" s="233"/>
      <c r="AX13" s="233"/>
      <c r="AY13" s="233"/>
      <c r="AZ13" s="233"/>
      <c r="BA13" s="233"/>
      <c r="BB13" s="233"/>
      <c r="BC13" s="233"/>
      <c r="BD13" s="233"/>
      <c r="BE13" s="233"/>
      <c r="BF13" s="233"/>
      <c r="BG13" s="233"/>
      <c r="BH13" s="233"/>
      <c r="BI13" s="233"/>
      <c r="BJ13" s="233"/>
      <c r="BK13" s="233"/>
      <c r="BL13" s="233"/>
      <c r="BM13" s="233"/>
      <c r="BN13" s="233"/>
      <c r="BO13" s="233"/>
    </row>
    <row r="14" spans="1:67" s="152" customFormat="1" ht="18.75" customHeight="1" x14ac:dyDescent="0.25">
      <c r="A14" s="233"/>
      <c r="B14" s="206"/>
      <c r="C14" s="295"/>
      <c r="D14" s="295"/>
      <c r="E14" s="190"/>
      <c r="F14" s="191"/>
      <c r="G14" s="294"/>
      <c r="H14" s="294"/>
      <c r="I14" s="294"/>
      <c r="J14" s="191"/>
      <c r="K14" s="192"/>
      <c r="L14" s="247"/>
      <c r="M14" s="233"/>
      <c r="N14" s="233"/>
      <c r="O14" s="235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233"/>
      <c r="AG14" s="233"/>
      <c r="AH14" s="23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  <c r="AW14" s="233"/>
      <c r="AX14" s="233"/>
      <c r="AY14" s="233"/>
      <c r="AZ14" s="233"/>
      <c r="BA14" s="233"/>
      <c r="BB14" s="233"/>
      <c r="BC14" s="233"/>
      <c r="BD14" s="233"/>
      <c r="BE14" s="233"/>
      <c r="BF14" s="233"/>
      <c r="BG14" s="233"/>
      <c r="BH14" s="233"/>
      <c r="BI14" s="233"/>
      <c r="BJ14" s="233"/>
      <c r="BK14" s="233"/>
      <c r="BL14" s="233"/>
      <c r="BM14" s="233"/>
      <c r="BN14" s="233"/>
      <c r="BO14" s="233"/>
    </row>
    <row r="15" spans="1:67" s="152" customFormat="1" ht="25.5" customHeight="1" x14ac:dyDescent="0.25">
      <c r="A15" s="233"/>
      <c r="B15" s="206"/>
      <c r="C15" s="295"/>
      <c r="D15" s="295"/>
      <c r="E15" s="190"/>
      <c r="F15" s="191"/>
      <c r="G15" s="294"/>
      <c r="H15" s="294"/>
      <c r="I15" s="294"/>
      <c r="J15" s="191"/>
      <c r="K15" s="192"/>
      <c r="L15" s="247"/>
      <c r="M15" s="233"/>
      <c r="N15" s="233"/>
      <c r="O15" s="235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  <c r="AW15" s="233"/>
      <c r="AX15" s="233"/>
      <c r="AY15" s="233"/>
      <c r="AZ15" s="233"/>
      <c r="BA15" s="233"/>
      <c r="BB15" s="233"/>
      <c r="BC15" s="233"/>
      <c r="BD15" s="233"/>
      <c r="BE15" s="233"/>
      <c r="BF15" s="233"/>
      <c r="BG15" s="233"/>
      <c r="BH15" s="233"/>
      <c r="BI15" s="233"/>
      <c r="BJ15" s="233"/>
      <c r="BK15" s="233"/>
      <c r="BL15" s="233"/>
      <c r="BM15" s="233"/>
      <c r="BN15" s="233"/>
      <c r="BO15" s="233"/>
    </row>
    <row r="16" spans="1:67" s="152" customFormat="1" ht="18.75" customHeight="1" x14ac:dyDescent="0.25">
      <c r="A16" s="233"/>
      <c r="B16" s="206"/>
      <c r="C16" s="295"/>
      <c r="D16" s="295"/>
      <c r="E16" s="190"/>
      <c r="F16" s="191"/>
      <c r="G16" s="294"/>
      <c r="H16" s="294"/>
      <c r="I16" s="294"/>
      <c r="J16" s="191"/>
      <c r="K16" s="192"/>
      <c r="L16" s="247"/>
      <c r="M16" s="233"/>
      <c r="N16" s="233"/>
      <c r="O16" s="233"/>
      <c r="P16" s="233"/>
      <c r="Q16" s="233"/>
      <c r="R16" s="233"/>
      <c r="S16" s="233"/>
      <c r="T16" s="233"/>
      <c r="U16" s="233"/>
      <c r="V16" s="233"/>
      <c r="W16" s="233"/>
      <c r="X16" s="233"/>
      <c r="Y16" s="233"/>
      <c r="Z16" s="233"/>
      <c r="AA16" s="233"/>
      <c r="AB16" s="233"/>
      <c r="AC16" s="233"/>
      <c r="AD16" s="233"/>
      <c r="AE16" s="233"/>
      <c r="AF16" s="233"/>
      <c r="AG16" s="233"/>
      <c r="AH16" s="233"/>
      <c r="AI16" s="233"/>
      <c r="AJ16" s="233"/>
      <c r="AK16" s="233"/>
      <c r="AL16" s="233"/>
      <c r="AM16" s="233"/>
      <c r="AN16" s="233"/>
      <c r="AO16" s="233"/>
      <c r="AP16" s="233"/>
      <c r="AQ16" s="233"/>
      <c r="AR16" s="233"/>
      <c r="AS16" s="233"/>
      <c r="AT16" s="233"/>
      <c r="AU16" s="233"/>
      <c r="AV16" s="233"/>
      <c r="AW16" s="233"/>
      <c r="AX16" s="233"/>
      <c r="AY16" s="233"/>
      <c r="AZ16" s="233"/>
      <c r="BA16" s="233"/>
      <c r="BB16" s="233"/>
      <c r="BC16" s="233"/>
      <c r="BD16" s="233"/>
      <c r="BE16" s="233"/>
      <c r="BF16" s="233"/>
      <c r="BG16" s="233"/>
      <c r="BH16" s="233"/>
      <c r="BI16" s="233"/>
      <c r="BJ16" s="233"/>
      <c r="BK16" s="233"/>
      <c r="BL16" s="233"/>
      <c r="BM16" s="233"/>
      <c r="BN16" s="233"/>
      <c r="BO16" s="233"/>
    </row>
    <row r="17" spans="1:67" s="152" customFormat="1" ht="18.75" customHeight="1" x14ac:dyDescent="0.25">
      <c r="A17" s="233"/>
      <c r="B17" s="206"/>
      <c r="C17" s="295"/>
      <c r="D17" s="295"/>
      <c r="E17" s="190"/>
      <c r="F17" s="191"/>
      <c r="G17" s="294"/>
      <c r="H17" s="294"/>
      <c r="I17" s="294"/>
      <c r="J17" s="191"/>
      <c r="K17" s="192"/>
      <c r="L17" s="247"/>
      <c r="M17" s="233"/>
      <c r="N17" s="233"/>
      <c r="O17" s="235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D17" s="233"/>
      <c r="AE17" s="233"/>
      <c r="AF17" s="233"/>
      <c r="AG17" s="233"/>
      <c r="AH17" s="233"/>
      <c r="AI17" s="233"/>
      <c r="AJ17" s="233"/>
      <c r="AK17" s="233"/>
      <c r="AL17" s="233"/>
      <c r="AM17" s="233"/>
      <c r="AN17" s="233"/>
      <c r="AO17" s="233"/>
      <c r="AP17" s="233"/>
      <c r="AQ17" s="233"/>
      <c r="AR17" s="233"/>
      <c r="AS17" s="233"/>
      <c r="AT17" s="233"/>
      <c r="AU17" s="233"/>
      <c r="AV17" s="233"/>
      <c r="AW17" s="233"/>
      <c r="AX17" s="233"/>
      <c r="AY17" s="233"/>
      <c r="AZ17" s="233"/>
      <c r="BA17" s="233"/>
      <c r="BB17" s="233"/>
      <c r="BC17" s="233"/>
      <c r="BD17" s="233"/>
      <c r="BE17" s="233"/>
      <c r="BF17" s="233"/>
      <c r="BG17" s="233"/>
      <c r="BH17" s="233"/>
      <c r="BI17" s="233"/>
      <c r="BJ17" s="233"/>
      <c r="BK17" s="233"/>
      <c r="BL17" s="233"/>
      <c r="BM17" s="233"/>
      <c r="BN17" s="233"/>
      <c r="BO17" s="233"/>
    </row>
    <row r="18" spans="1:67" s="152" customFormat="1" ht="18.75" customHeight="1" x14ac:dyDescent="0.25">
      <c r="A18" s="233"/>
      <c r="B18" s="218"/>
      <c r="C18" s="296" t="s">
        <v>809</v>
      </c>
      <c r="D18" s="296"/>
      <c r="E18" s="219"/>
      <c r="F18" s="220"/>
      <c r="G18" s="297"/>
      <c r="H18" s="297"/>
      <c r="I18" s="297"/>
      <c r="J18" s="220"/>
      <c r="K18" s="221"/>
      <c r="L18" s="248"/>
      <c r="M18" s="233"/>
      <c r="N18" s="233"/>
      <c r="O18" s="235"/>
      <c r="P18" s="233"/>
      <c r="Q18" s="233"/>
      <c r="R18" s="233"/>
      <c r="S18" s="233"/>
      <c r="T18" s="233"/>
      <c r="U18" s="233"/>
      <c r="V18" s="233"/>
      <c r="W18" s="233"/>
      <c r="X18" s="233"/>
      <c r="Y18" s="233"/>
      <c r="Z18" s="233"/>
      <c r="AA18" s="233"/>
      <c r="AB18" s="233"/>
      <c r="AC18" s="233"/>
      <c r="AD18" s="233"/>
      <c r="AE18" s="233"/>
      <c r="AF18" s="233"/>
      <c r="AG18" s="233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  <c r="AU18" s="233"/>
      <c r="AV18" s="233"/>
      <c r="AW18" s="233"/>
      <c r="AX18" s="233"/>
      <c r="AY18" s="233"/>
      <c r="AZ18" s="233"/>
      <c r="BA18" s="233"/>
      <c r="BB18" s="233"/>
      <c r="BC18" s="233"/>
      <c r="BD18" s="233"/>
      <c r="BE18" s="233"/>
      <c r="BF18" s="233"/>
      <c r="BG18" s="233"/>
      <c r="BH18" s="233"/>
      <c r="BI18" s="233"/>
      <c r="BJ18" s="233"/>
      <c r="BK18" s="233"/>
      <c r="BL18" s="233"/>
      <c r="BM18" s="233"/>
      <c r="BN18" s="233"/>
      <c r="BO18" s="233"/>
    </row>
    <row r="19" spans="1:67" s="152" customFormat="1" ht="16.5" customHeight="1" x14ac:dyDescent="0.25">
      <c r="A19" s="233"/>
      <c r="B19" s="230" t="s">
        <v>734</v>
      </c>
      <c r="C19" s="287" t="s">
        <v>722</v>
      </c>
      <c r="D19" s="288"/>
      <c r="E19" s="288"/>
      <c r="F19" s="288"/>
      <c r="G19" s="288"/>
      <c r="H19" s="288"/>
      <c r="I19" s="288"/>
      <c r="J19" s="288"/>
      <c r="K19" s="288"/>
      <c r="L19" s="289"/>
      <c r="M19" s="233"/>
      <c r="N19" s="233"/>
      <c r="O19" s="235"/>
      <c r="P19" s="233"/>
      <c r="Q19" s="233"/>
      <c r="R19" s="233"/>
      <c r="S19" s="233"/>
      <c r="T19" s="233"/>
      <c r="U19" s="233"/>
      <c r="V19" s="233"/>
      <c r="W19" s="233"/>
      <c r="X19" s="233"/>
      <c r="Y19" s="233"/>
      <c r="Z19" s="233"/>
      <c r="AA19" s="233"/>
      <c r="AB19" s="233"/>
      <c r="AC19" s="233"/>
      <c r="AD19" s="233"/>
      <c r="AE19" s="233"/>
      <c r="AF19" s="233"/>
      <c r="AG19" s="233"/>
      <c r="AH19" s="233"/>
      <c r="AI19" s="233"/>
      <c r="AJ19" s="233"/>
      <c r="AK19" s="233"/>
      <c r="AL19" s="233"/>
      <c r="AM19" s="233"/>
      <c r="AN19" s="233"/>
      <c r="AO19" s="233"/>
      <c r="AP19" s="233"/>
      <c r="AQ19" s="233"/>
      <c r="AR19" s="233"/>
      <c r="AS19" s="233"/>
      <c r="AT19" s="233"/>
      <c r="AU19" s="233"/>
      <c r="AV19" s="233"/>
      <c r="AW19" s="233"/>
      <c r="AX19" s="233"/>
      <c r="AY19" s="233"/>
      <c r="AZ19" s="233"/>
      <c r="BA19" s="233"/>
      <c r="BB19" s="233"/>
      <c r="BC19" s="233"/>
      <c r="BD19" s="233"/>
      <c r="BE19" s="233"/>
      <c r="BF19" s="233"/>
      <c r="BG19" s="233"/>
      <c r="BH19" s="233"/>
      <c r="BI19" s="233"/>
      <c r="BJ19" s="233"/>
      <c r="BK19" s="233"/>
      <c r="BL19" s="233"/>
      <c r="BM19" s="233"/>
      <c r="BN19" s="233"/>
      <c r="BO19" s="233"/>
    </row>
    <row r="20" spans="1:67" ht="15.95" customHeight="1" x14ac:dyDescent="0.25">
      <c r="B20" s="222"/>
      <c r="C20" s="333"/>
      <c r="D20" s="333"/>
      <c r="E20" s="215"/>
      <c r="F20" s="216"/>
      <c r="G20" s="293"/>
      <c r="H20" s="293"/>
      <c r="I20" s="293"/>
      <c r="J20" s="223"/>
      <c r="K20" s="224"/>
      <c r="L20" s="246"/>
      <c r="M20" s="233"/>
      <c r="N20" s="233"/>
      <c r="O20" s="233"/>
    </row>
    <row r="21" spans="1:67" ht="16.5" customHeight="1" x14ac:dyDescent="0.25">
      <c r="B21" s="207"/>
      <c r="C21" s="296" t="s">
        <v>809</v>
      </c>
      <c r="D21" s="296"/>
      <c r="E21" s="190"/>
      <c r="F21" s="191"/>
      <c r="G21" s="294"/>
      <c r="H21" s="294"/>
      <c r="I21" s="294"/>
      <c r="J21" s="193"/>
      <c r="K21" s="194"/>
      <c r="L21" s="247"/>
      <c r="M21" s="233"/>
      <c r="O21" s="236"/>
    </row>
    <row r="22" spans="1:67" ht="16.5" customHeight="1" x14ac:dyDescent="0.25">
      <c r="B22" s="308" t="s">
        <v>723</v>
      </c>
      <c r="C22" s="309"/>
      <c r="D22" s="309"/>
      <c r="E22" s="309"/>
      <c r="F22" s="309"/>
      <c r="G22" s="309"/>
      <c r="H22" s="309"/>
      <c r="I22" s="309"/>
      <c r="J22" s="309"/>
      <c r="K22" s="310"/>
      <c r="L22" s="249"/>
      <c r="M22" s="233"/>
      <c r="O22" s="236"/>
    </row>
    <row r="23" spans="1:67" ht="15.95" customHeight="1" x14ac:dyDescent="0.25">
      <c r="B23" s="311" t="s">
        <v>724</v>
      </c>
      <c r="C23" s="312"/>
      <c r="D23" s="312"/>
      <c r="E23" s="312"/>
      <c r="F23" s="312"/>
      <c r="G23" s="312"/>
      <c r="H23" s="312"/>
      <c r="I23" s="312"/>
      <c r="J23" s="312"/>
      <c r="K23" s="313"/>
      <c r="L23" s="210"/>
    </row>
    <row r="24" spans="1:67" ht="15.95" customHeight="1" x14ac:dyDescent="0.25">
      <c r="B24" s="308" t="s">
        <v>725</v>
      </c>
      <c r="C24" s="309"/>
      <c r="D24" s="309"/>
      <c r="E24" s="309"/>
      <c r="F24" s="309"/>
      <c r="G24" s="309"/>
      <c r="H24" s="309"/>
      <c r="I24" s="309"/>
      <c r="J24" s="309"/>
      <c r="K24" s="310"/>
      <c r="L24" s="208"/>
    </row>
    <row r="25" spans="1:67" ht="15.95" customHeight="1" x14ac:dyDescent="0.25">
      <c r="B25" s="320"/>
      <c r="C25" s="321"/>
      <c r="D25" s="321"/>
      <c r="E25" s="321"/>
      <c r="F25" s="321"/>
      <c r="G25" s="321"/>
      <c r="H25" s="321"/>
      <c r="I25" s="321"/>
      <c r="J25" s="321"/>
      <c r="K25" s="321"/>
      <c r="L25" s="322"/>
    </row>
    <row r="26" spans="1:67" ht="18" customHeight="1" x14ac:dyDescent="0.25">
      <c r="B26" s="230">
        <v>2</v>
      </c>
      <c r="C26" s="337" t="s">
        <v>726</v>
      </c>
      <c r="D26" s="337"/>
      <c r="E26" s="337"/>
      <c r="F26" s="337"/>
      <c r="G26" s="337"/>
      <c r="H26" s="337"/>
      <c r="I26" s="337"/>
      <c r="J26" s="337"/>
      <c r="K26" s="337"/>
      <c r="L26" s="338"/>
    </row>
    <row r="27" spans="1:67" s="153" customFormat="1" ht="15.95" customHeight="1" x14ac:dyDescent="0.25">
      <c r="A27" s="234"/>
      <c r="B27" s="227" t="s">
        <v>288</v>
      </c>
      <c r="C27" s="319" t="s">
        <v>727</v>
      </c>
      <c r="D27" s="319"/>
      <c r="E27" s="213" t="s">
        <v>3</v>
      </c>
      <c r="F27" s="213" t="s">
        <v>736</v>
      </c>
      <c r="G27" s="319" t="s">
        <v>792</v>
      </c>
      <c r="H27" s="319"/>
      <c r="I27" s="340" t="s">
        <v>728</v>
      </c>
      <c r="J27" s="340"/>
      <c r="K27" s="340"/>
      <c r="L27" s="228" t="s">
        <v>718</v>
      </c>
      <c r="M27" s="234"/>
      <c r="N27" s="234"/>
      <c r="O27" s="234"/>
      <c r="P27" s="234"/>
      <c r="Q27" s="234"/>
      <c r="R27" s="234"/>
      <c r="S27" s="234"/>
      <c r="T27" s="234"/>
      <c r="U27" s="234"/>
      <c r="V27" s="234"/>
      <c r="W27" s="234"/>
      <c r="X27" s="234"/>
      <c r="Y27" s="234"/>
      <c r="Z27" s="234"/>
      <c r="AA27" s="234"/>
      <c r="AB27" s="234"/>
      <c r="AC27" s="234"/>
      <c r="AD27" s="234"/>
      <c r="AE27" s="234"/>
      <c r="AF27" s="234"/>
      <c r="AG27" s="234"/>
      <c r="AH27" s="234"/>
      <c r="AI27" s="234"/>
      <c r="AJ27" s="234"/>
      <c r="AK27" s="234"/>
      <c r="AL27" s="234"/>
      <c r="AM27" s="234"/>
      <c r="AN27" s="234"/>
      <c r="AO27" s="234"/>
      <c r="AP27" s="234"/>
      <c r="AQ27" s="234"/>
      <c r="AR27" s="234"/>
      <c r="AS27" s="234"/>
      <c r="AT27" s="234"/>
      <c r="AU27" s="234"/>
      <c r="AV27" s="234"/>
      <c r="AW27" s="234"/>
      <c r="AX27" s="234"/>
      <c r="AY27" s="234"/>
      <c r="AZ27" s="234"/>
      <c r="BA27" s="234"/>
      <c r="BB27" s="234"/>
      <c r="BC27" s="234"/>
      <c r="BD27" s="234"/>
      <c r="BE27" s="234"/>
      <c r="BF27" s="234"/>
      <c r="BG27" s="234"/>
      <c r="BH27" s="234"/>
      <c r="BI27" s="234"/>
      <c r="BJ27" s="234"/>
      <c r="BK27" s="234"/>
      <c r="BL27" s="234"/>
      <c r="BM27" s="234"/>
      <c r="BN27" s="234"/>
      <c r="BO27" s="234"/>
    </row>
    <row r="28" spans="1:67" ht="21.75" customHeight="1" x14ac:dyDescent="0.25">
      <c r="B28" s="211"/>
      <c r="C28" s="335"/>
      <c r="D28" s="335"/>
      <c r="E28" s="212"/>
      <c r="F28" s="212"/>
      <c r="G28" s="339"/>
      <c r="H28" s="339"/>
      <c r="I28" s="341"/>
      <c r="J28" s="341"/>
      <c r="K28" s="341"/>
      <c r="L28" s="243"/>
    </row>
    <row r="29" spans="1:67" ht="21.75" customHeight="1" x14ac:dyDescent="0.25">
      <c r="B29" s="209"/>
      <c r="C29" s="328"/>
      <c r="D29" s="328"/>
      <c r="E29" s="189"/>
      <c r="F29" s="189"/>
      <c r="G29" s="329"/>
      <c r="H29" s="329"/>
      <c r="I29" s="336"/>
      <c r="J29" s="336"/>
      <c r="K29" s="336"/>
      <c r="L29" s="244"/>
      <c r="N29" s="237"/>
    </row>
    <row r="30" spans="1:67" ht="21.75" customHeight="1" x14ac:dyDescent="0.25">
      <c r="B30" s="209"/>
      <c r="C30" s="328"/>
      <c r="D30" s="328"/>
      <c r="E30" s="189"/>
      <c r="F30" s="189"/>
      <c r="G30" s="329"/>
      <c r="H30" s="329"/>
      <c r="I30" s="334"/>
      <c r="J30" s="334"/>
      <c r="K30" s="334"/>
      <c r="L30" s="244"/>
      <c r="M30" s="238"/>
      <c r="N30" s="237"/>
    </row>
    <row r="31" spans="1:67" ht="21.75" customHeight="1" x14ac:dyDescent="0.25">
      <c r="B31" s="225"/>
      <c r="C31" s="296" t="s">
        <v>809</v>
      </c>
      <c r="D31" s="296"/>
      <c r="E31" s="226"/>
      <c r="F31" s="226"/>
      <c r="G31" s="342"/>
      <c r="H31" s="342"/>
      <c r="I31" s="343"/>
      <c r="J31" s="343"/>
      <c r="K31" s="343"/>
      <c r="L31" s="245"/>
      <c r="N31" s="237"/>
    </row>
    <row r="32" spans="1:67" ht="15" customHeight="1" x14ac:dyDescent="0.25">
      <c r="B32" s="290" t="s">
        <v>735</v>
      </c>
      <c r="C32" s="291"/>
      <c r="D32" s="291"/>
      <c r="E32" s="291"/>
      <c r="F32" s="291"/>
      <c r="G32" s="291"/>
      <c r="H32" s="291"/>
      <c r="I32" s="291"/>
      <c r="J32" s="291"/>
      <c r="K32" s="292"/>
      <c r="L32" s="252"/>
      <c r="N32" s="237"/>
    </row>
    <row r="33" spans="2:17" ht="6.75" customHeight="1" x14ac:dyDescent="0.25">
      <c r="B33" s="344"/>
      <c r="C33" s="345"/>
      <c r="D33" s="345"/>
      <c r="E33" s="345"/>
      <c r="F33" s="345"/>
      <c r="G33" s="345"/>
      <c r="H33" s="345"/>
      <c r="I33" s="345"/>
      <c r="J33" s="345"/>
      <c r="K33" s="345"/>
      <c r="L33" s="346"/>
    </row>
    <row r="34" spans="2:17" ht="15.95" customHeight="1" x14ac:dyDescent="0.25">
      <c r="B34" s="298" t="s">
        <v>729</v>
      </c>
      <c r="C34" s="299"/>
      <c r="D34" s="299"/>
      <c r="E34" s="299"/>
      <c r="F34" s="299"/>
      <c r="G34" s="299"/>
      <c r="H34" s="299"/>
      <c r="I34" s="299"/>
      <c r="J34" s="299"/>
      <c r="K34" s="299"/>
      <c r="L34" s="250"/>
    </row>
    <row r="35" spans="2:17" ht="24" customHeight="1" x14ac:dyDescent="0.25">
      <c r="B35" s="298" t="s">
        <v>794</v>
      </c>
      <c r="C35" s="299"/>
      <c r="D35" s="299"/>
      <c r="E35" s="299"/>
      <c r="F35" s="299"/>
      <c r="G35" s="299"/>
      <c r="H35" s="299"/>
      <c r="I35" s="299"/>
      <c r="J35" s="299"/>
      <c r="K35" s="253" t="s">
        <v>803</v>
      </c>
      <c r="L35" s="250"/>
    </row>
    <row r="36" spans="2:17" ht="27" customHeight="1" x14ac:dyDescent="0.25">
      <c r="B36" s="298" t="s">
        <v>730</v>
      </c>
      <c r="C36" s="299"/>
      <c r="D36" s="299"/>
      <c r="E36" s="299"/>
      <c r="F36" s="299"/>
      <c r="G36" s="299"/>
      <c r="H36" s="299"/>
      <c r="I36" s="299"/>
      <c r="J36" s="299"/>
      <c r="K36" s="253" t="s">
        <v>803</v>
      </c>
      <c r="L36" s="250"/>
    </row>
    <row r="37" spans="2:17" ht="22.5" customHeight="1" thickBot="1" x14ac:dyDescent="0.3">
      <c r="B37" s="300" t="s">
        <v>731</v>
      </c>
      <c r="C37" s="301"/>
      <c r="D37" s="301"/>
      <c r="E37" s="301"/>
      <c r="F37" s="301"/>
      <c r="G37" s="301"/>
      <c r="H37" s="301"/>
      <c r="I37" s="301"/>
      <c r="J37" s="301"/>
      <c r="K37" s="301"/>
      <c r="L37" s="251"/>
      <c r="M37" s="239"/>
    </row>
    <row r="38" spans="2:17" ht="21" customHeight="1" x14ac:dyDescent="0.25">
      <c r="B38" s="231"/>
      <c r="C38" s="231"/>
      <c r="D38" s="231"/>
      <c r="E38" s="231"/>
      <c r="F38" s="231"/>
      <c r="G38" s="231"/>
      <c r="H38" s="232"/>
      <c r="I38" s="231"/>
      <c r="J38" s="231"/>
      <c r="K38" s="231"/>
      <c r="L38" s="232"/>
      <c r="M38" s="240"/>
    </row>
    <row r="39" spans="2:17" s="231" customFormat="1" ht="17.25" customHeight="1" x14ac:dyDescent="0.25">
      <c r="B39" s="281" t="s">
        <v>810</v>
      </c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41"/>
    </row>
    <row r="40" spans="2:17" s="231" customFormat="1" ht="27.75" customHeight="1" x14ac:dyDescent="0.25">
      <c r="B40" s="282" t="s">
        <v>811</v>
      </c>
      <c r="C40" s="282"/>
      <c r="D40" s="282"/>
      <c r="E40" s="282"/>
      <c r="F40" s="282"/>
      <c r="G40" s="282"/>
      <c r="H40" s="282"/>
      <c r="I40" s="282"/>
      <c r="J40" s="282"/>
      <c r="K40" s="282"/>
      <c r="L40" s="282"/>
    </row>
    <row r="41" spans="2:17" s="231" customFormat="1" ht="30.75" customHeight="1" x14ac:dyDescent="0.25">
      <c r="B41" s="283" t="s">
        <v>812</v>
      </c>
      <c r="C41" s="283"/>
      <c r="D41" s="283"/>
      <c r="E41" s="283"/>
      <c r="F41" s="283"/>
      <c r="G41" s="283"/>
      <c r="H41" s="283"/>
      <c r="I41" s="283"/>
      <c r="J41" s="283"/>
      <c r="K41" s="283"/>
      <c r="L41" s="283"/>
    </row>
    <row r="42" spans="2:17" s="231" customFormat="1" ht="15.95" customHeight="1" x14ac:dyDescent="0.25">
      <c r="B42" s="254"/>
      <c r="C42" s="254"/>
      <c r="D42" s="254"/>
      <c r="E42" s="254"/>
      <c r="F42" s="254"/>
      <c r="G42" s="254"/>
      <c r="H42" s="232"/>
      <c r="L42" s="232"/>
      <c r="M42" s="242"/>
    </row>
    <row r="43" spans="2:17" s="231" customFormat="1" ht="28.5" customHeight="1" thickBot="1" x14ac:dyDescent="0.3">
      <c r="B43" s="273" t="s">
        <v>813</v>
      </c>
      <c r="C43" s="273"/>
      <c r="D43" s="273"/>
      <c r="E43" s="273"/>
      <c r="F43" s="273"/>
      <c r="G43" s="273"/>
      <c r="H43" s="273"/>
      <c r="I43" s="273"/>
      <c r="J43" s="273"/>
      <c r="K43" s="273"/>
      <c r="L43" s="273"/>
    </row>
    <row r="44" spans="2:17" s="231" customFormat="1" ht="15.95" customHeight="1" x14ac:dyDescent="0.2">
      <c r="B44" s="255"/>
      <c r="C44" s="256"/>
      <c r="D44" s="256"/>
      <c r="E44" s="256"/>
      <c r="F44" s="256"/>
      <c r="G44" s="256"/>
      <c r="H44" s="256"/>
      <c r="I44" s="256"/>
      <c r="J44" s="256"/>
      <c r="K44" s="256"/>
      <c r="L44" s="257"/>
      <c r="M44" s="232"/>
      <c r="Q44" s="232"/>
    </row>
    <row r="45" spans="2:17" s="231" customFormat="1" ht="15.75" customHeight="1" x14ac:dyDescent="0.2">
      <c r="B45" s="258" t="s">
        <v>804</v>
      </c>
      <c r="C45" s="259"/>
      <c r="D45" s="259"/>
      <c r="E45" s="259"/>
      <c r="F45" s="259"/>
      <c r="G45" s="259"/>
      <c r="H45" s="259"/>
      <c r="I45" s="259"/>
      <c r="J45" s="259"/>
      <c r="K45" s="259"/>
      <c r="L45" s="260"/>
      <c r="M45" s="232"/>
      <c r="Q45" s="232"/>
    </row>
    <row r="46" spans="2:17" s="231" customFormat="1" ht="15.75" hidden="1" customHeight="1" x14ac:dyDescent="0.2">
      <c r="B46" s="276"/>
      <c r="C46" s="277"/>
      <c r="D46" s="277"/>
      <c r="E46" s="277"/>
      <c r="F46" s="277"/>
      <c r="G46" s="261"/>
      <c r="H46" s="261"/>
      <c r="I46" s="259"/>
      <c r="J46" s="272"/>
      <c r="K46" s="272"/>
      <c r="L46" s="260"/>
      <c r="M46" s="232"/>
      <c r="Q46" s="232"/>
    </row>
    <row r="47" spans="2:17" s="231" customFormat="1" ht="42" customHeight="1" x14ac:dyDescent="0.2">
      <c r="B47" s="262"/>
      <c r="C47" s="278" t="s">
        <v>805</v>
      </c>
      <c r="D47" s="278"/>
      <c r="E47" s="278"/>
      <c r="F47" s="271"/>
      <c r="G47" s="271"/>
      <c r="H47" s="271"/>
      <c r="I47" s="279" t="s">
        <v>806</v>
      </c>
      <c r="J47" s="279"/>
      <c r="K47" s="279"/>
      <c r="L47" s="263"/>
      <c r="M47" s="232"/>
      <c r="Q47" s="232"/>
    </row>
    <row r="48" spans="2:17" s="231" customFormat="1" ht="15.95" customHeight="1" x14ac:dyDescent="0.25">
      <c r="B48" s="274" t="s">
        <v>807</v>
      </c>
      <c r="C48" s="275"/>
      <c r="D48" s="275"/>
      <c r="E48" s="275"/>
      <c r="F48" s="275"/>
      <c r="G48" s="264"/>
      <c r="H48" s="264"/>
      <c r="I48" s="280" t="s">
        <v>808</v>
      </c>
      <c r="J48" s="280"/>
      <c r="K48" s="280"/>
      <c r="L48" s="263"/>
      <c r="M48" s="232"/>
      <c r="Q48" s="232"/>
    </row>
    <row r="49" spans="2:17" s="231" customFormat="1" ht="15.95" customHeight="1" thickBot="1" x14ac:dyDescent="0.25">
      <c r="B49" s="265"/>
      <c r="C49" s="266"/>
      <c r="D49" s="266"/>
      <c r="E49" s="266"/>
      <c r="F49" s="266"/>
      <c r="G49" s="266"/>
      <c r="H49" s="266"/>
      <c r="I49" s="267"/>
      <c r="J49" s="268"/>
      <c r="K49" s="269"/>
      <c r="L49" s="270"/>
      <c r="M49" s="232"/>
      <c r="Q49" s="232"/>
    </row>
    <row r="50" spans="2:17" s="231" customFormat="1" ht="15.95" customHeight="1" x14ac:dyDescent="0.25">
      <c r="H50" s="232"/>
      <c r="L50" s="232"/>
    </row>
    <row r="51" spans="2:17" s="231" customFormat="1" ht="15.95" customHeight="1" x14ac:dyDescent="0.25">
      <c r="H51" s="232"/>
      <c r="L51" s="232"/>
    </row>
    <row r="52" spans="2:17" s="231" customFormat="1" ht="15.95" customHeight="1" x14ac:dyDescent="0.25">
      <c r="H52" s="232"/>
      <c r="L52" s="232"/>
    </row>
    <row r="53" spans="2:17" s="231" customFormat="1" ht="15.95" customHeight="1" x14ac:dyDescent="0.25">
      <c r="H53" s="232"/>
      <c r="L53" s="232"/>
    </row>
    <row r="54" spans="2:17" s="231" customFormat="1" ht="15.95" customHeight="1" x14ac:dyDescent="0.25">
      <c r="H54" s="232"/>
      <c r="L54" s="232"/>
    </row>
    <row r="55" spans="2:17" s="231" customFormat="1" ht="15.95" customHeight="1" x14ac:dyDescent="0.25">
      <c r="H55" s="232"/>
      <c r="L55" s="232"/>
    </row>
    <row r="56" spans="2:17" s="231" customFormat="1" ht="15.95" customHeight="1" x14ac:dyDescent="0.25">
      <c r="H56" s="232"/>
      <c r="L56" s="232"/>
    </row>
    <row r="57" spans="2:17" s="231" customFormat="1" ht="15.95" customHeight="1" x14ac:dyDescent="0.25">
      <c r="H57" s="232"/>
      <c r="L57" s="232"/>
    </row>
    <row r="58" spans="2:17" s="231" customFormat="1" ht="15.95" customHeight="1" x14ac:dyDescent="0.25">
      <c r="H58" s="232"/>
      <c r="L58" s="232"/>
    </row>
    <row r="59" spans="2:17" s="231" customFormat="1" ht="15.95" customHeight="1" x14ac:dyDescent="0.25">
      <c r="H59" s="232"/>
      <c r="L59" s="232"/>
    </row>
    <row r="60" spans="2:17" s="231" customFormat="1" ht="15.95" customHeight="1" x14ac:dyDescent="0.25">
      <c r="H60" s="232"/>
      <c r="L60" s="232"/>
    </row>
    <row r="61" spans="2:17" s="231" customFormat="1" ht="15.95" customHeight="1" x14ac:dyDescent="0.25">
      <c r="H61" s="232"/>
      <c r="L61" s="232"/>
    </row>
    <row r="62" spans="2:17" s="231" customFormat="1" ht="15.95" customHeight="1" x14ac:dyDescent="0.25">
      <c r="H62" s="232"/>
      <c r="L62" s="232"/>
    </row>
    <row r="63" spans="2:17" s="231" customFormat="1" ht="15.95" customHeight="1" x14ac:dyDescent="0.25">
      <c r="H63" s="232"/>
      <c r="L63" s="232"/>
    </row>
    <row r="64" spans="2:17" s="231" customFormat="1" ht="15.95" customHeight="1" x14ac:dyDescent="0.25">
      <c r="H64" s="232"/>
      <c r="L64" s="232"/>
    </row>
    <row r="65" spans="8:12" s="231" customFormat="1" ht="15.95" customHeight="1" x14ac:dyDescent="0.25">
      <c r="H65" s="232"/>
      <c r="L65" s="232"/>
    </row>
    <row r="66" spans="8:12" s="231" customFormat="1" ht="15.95" customHeight="1" x14ac:dyDescent="0.25">
      <c r="H66" s="232"/>
      <c r="L66" s="232"/>
    </row>
    <row r="67" spans="8:12" s="231" customFormat="1" ht="15.95" customHeight="1" x14ac:dyDescent="0.25">
      <c r="H67" s="232"/>
      <c r="L67" s="232"/>
    </row>
    <row r="68" spans="8:12" s="231" customFormat="1" ht="15.95" customHeight="1" x14ac:dyDescent="0.25">
      <c r="H68" s="232"/>
      <c r="L68" s="232"/>
    </row>
    <row r="69" spans="8:12" s="231" customFormat="1" ht="15.95" customHeight="1" x14ac:dyDescent="0.25">
      <c r="H69" s="232"/>
      <c r="L69" s="232"/>
    </row>
    <row r="70" spans="8:12" s="231" customFormat="1" ht="15.95" customHeight="1" x14ac:dyDescent="0.25">
      <c r="H70" s="232"/>
      <c r="L70" s="232"/>
    </row>
    <row r="71" spans="8:12" s="231" customFormat="1" ht="15.95" customHeight="1" x14ac:dyDescent="0.25">
      <c r="H71" s="232"/>
      <c r="L71" s="232"/>
    </row>
    <row r="72" spans="8:12" s="231" customFormat="1" ht="15.95" customHeight="1" x14ac:dyDescent="0.25">
      <c r="H72" s="232"/>
      <c r="L72" s="232"/>
    </row>
    <row r="73" spans="8:12" s="231" customFormat="1" ht="15.95" customHeight="1" x14ac:dyDescent="0.25">
      <c r="H73" s="232"/>
      <c r="L73" s="232"/>
    </row>
    <row r="74" spans="8:12" s="231" customFormat="1" ht="15.95" customHeight="1" x14ac:dyDescent="0.25">
      <c r="H74" s="232"/>
      <c r="L74" s="232"/>
    </row>
    <row r="75" spans="8:12" s="231" customFormat="1" ht="15.95" customHeight="1" x14ac:dyDescent="0.25">
      <c r="H75" s="232"/>
      <c r="L75" s="232"/>
    </row>
    <row r="76" spans="8:12" s="231" customFormat="1" ht="15.95" customHeight="1" x14ac:dyDescent="0.25">
      <c r="H76" s="232"/>
      <c r="L76" s="232"/>
    </row>
    <row r="77" spans="8:12" s="231" customFormat="1" ht="15.95" customHeight="1" x14ac:dyDescent="0.25">
      <c r="H77" s="232"/>
      <c r="L77" s="232"/>
    </row>
    <row r="78" spans="8:12" s="231" customFormat="1" ht="15.95" customHeight="1" x14ac:dyDescent="0.25">
      <c r="H78" s="232"/>
      <c r="L78" s="232"/>
    </row>
    <row r="79" spans="8:12" s="231" customFormat="1" ht="15.95" customHeight="1" x14ac:dyDescent="0.25">
      <c r="H79" s="232"/>
      <c r="L79" s="232"/>
    </row>
    <row r="80" spans="8:12" s="231" customFormat="1" ht="15.95" customHeight="1" x14ac:dyDescent="0.25">
      <c r="H80" s="232"/>
      <c r="L80" s="232"/>
    </row>
    <row r="81" spans="8:12" s="231" customFormat="1" ht="15.95" customHeight="1" x14ac:dyDescent="0.25">
      <c r="H81" s="232"/>
      <c r="L81" s="232"/>
    </row>
    <row r="82" spans="8:12" s="231" customFormat="1" ht="15.95" customHeight="1" x14ac:dyDescent="0.25">
      <c r="H82" s="232"/>
      <c r="L82" s="232"/>
    </row>
    <row r="83" spans="8:12" s="231" customFormat="1" ht="15.95" customHeight="1" x14ac:dyDescent="0.25">
      <c r="H83" s="232"/>
      <c r="L83" s="232"/>
    </row>
    <row r="84" spans="8:12" s="231" customFormat="1" ht="15.95" customHeight="1" x14ac:dyDescent="0.25">
      <c r="H84" s="232"/>
      <c r="L84" s="232"/>
    </row>
    <row r="85" spans="8:12" s="231" customFormat="1" ht="15.95" customHeight="1" x14ac:dyDescent="0.25">
      <c r="H85" s="232"/>
      <c r="L85" s="232"/>
    </row>
    <row r="86" spans="8:12" s="231" customFormat="1" ht="15.95" customHeight="1" x14ac:dyDescent="0.25">
      <c r="H86" s="232"/>
      <c r="L86" s="232"/>
    </row>
    <row r="87" spans="8:12" s="231" customFormat="1" ht="15.95" customHeight="1" x14ac:dyDescent="0.25">
      <c r="H87" s="232"/>
      <c r="L87" s="232"/>
    </row>
    <row r="88" spans="8:12" s="231" customFormat="1" ht="15.95" customHeight="1" x14ac:dyDescent="0.25">
      <c r="H88" s="232"/>
      <c r="L88" s="232"/>
    </row>
    <row r="89" spans="8:12" s="231" customFormat="1" ht="15.95" customHeight="1" x14ac:dyDescent="0.25">
      <c r="H89" s="232"/>
      <c r="L89" s="232"/>
    </row>
    <row r="90" spans="8:12" s="231" customFormat="1" ht="15.95" customHeight="1" x14ac:dyDescent="0.25">
      <c r="H90" s="232"/>
      <c r="L90" s="232"/>
    </row>
    <row r="91" spans="8:12" s="231" customFormat="1" ht="15.95" customHeight="1" x14ac:dyDescent="0.25">
      <c r="H91" s="232"/>
      <c r="L91" s="232"/>
    </row>
    <row r="92" spans="8:12" s="231" customFormat="1" ht="15.95" customHeight="1" x14ac:dyDescent="0.25">
      <c r="H92" s="232"/>
      <c r="L92" s="232"/>
    </row>
    <row r="93" spans="8:12" s="231" customFormat="1" ht="15.95" customHeight="1" x14ac:dyDescent="0.25">
      <c r="H93" s="232"/>
      <c r="L93" s="232"/>
    </row>
    <row r="94" spans="8:12" s="231" customFormat="1" ht="15.95" customHeight="1" x14ac:dyDescent="0.25">
      <c r="H94" s="232"/>
      <c r="L94" s="232"/>
    </row>
    <row r="95" spans="8:12" s="231" customFormat="1" ht="15.95" customHeight="1" x14ac:dyDescent="0.25">
      <c r="H95" s="232"/>
      <c r="L95" s="232"/>
    </row>
    <row r="96" spans="8:12" s="231" customFormat="1" ht="15.95" customHeight="1" x14ac:dyDescent="0.25">
      <c r="H96" s="232"/>
      <c r="L96" s="232"/>
    </row>
    <row r="97" spans="8:12" s="231" customFormat="1" ht="15.95" customHeight="1" x14ac:dyDescent="0.25">
      <c r="H97" s="232"/>
      <c r="L97" s="232"/>
    </row>
    <row r="98" spans="8:12" s="231" customFormat="1" ht="15.95" customHeight="1" x14ac:dyDescent="0.25">
      <c r="H98" s="232"/>
      <c r="L98" s="232"/>
    </row>
    <row r="99" spans="8:12" s="231" customFormat="1" ht="15.95" customHeight="1" x14ac:dyDescent="0.25">
      <c r="H99" s="232"/>
      <c r="L99" s="232"/>
    </row>
    <row r="100" spans="8:12" s="231" customFormat="1" ht="15.95" customHeight="1" x14ac:dyDescent="0.25">
      <c r="H100" s="232"/>
      <c r="L100" s="232"/>
    </row>
    <row r="101" spans="8:12" s="231" customFormat="1" ht="15.95" customHeight="1" x14ac:dyDescent="0.25">
      <c r="H101" s="232"/>
      <c r="L101" s="232"/>
    </row>
    <row r="102" spans="8:12" s="231" customFormat="1" ht="15.95" customHeight="1" x14ac:dyDescent="0.25">
      <c r="H102" s="232"/>
      <c r="L102" s="232"/>
    </row>
    <row r="103" spans="8:12" s="231" customFormat="1" ht="15.95" customHeight="1" x14ac:dyDescent="0.25">
      <c r="H103" s="232"/>
      <c r="L103" s="232"/>
    </row>
    <row r="104" spans="8:12" s="231" customFormat="1" ht="15.95" customHeight="1" x14ac:dyDescent="0.25">
      <c r="H104" s="232"/>
      <c r="L104" s="232"/>
    </row>
    <row r="105" spans="8:12" s="231" customFormat="1" ht="15.95" customHeight="1" x14ac:dyDescent="0.25">
      <c r="H105" s="232"/>
      <c r="L105" s="232"/>
    </row>
    <row r="106" spans="8:12" s="231" customFormat="1" ht="15.95" customHeight="1" x14ac:dyDescent="0.25">
      <c r="H106" s="232"/>
      <c r="L106" s="232"/>
    </row>
    <row r="107" spans="8:12" s="231" customFormat="1" ht="15.95" customHeight="1" x14ac:dyDescent="0.25">
      <c r="H107" s="232"/>
      <c r="L107" s="232"/>
    </row>
    <row r="108" spans="8:12" s="231" customFormat="1" ht="15.95" customHeight="1" x14ac:dyDescent="0.25">
      <c r="H108" s="232"/>
      <c r="L108" s="232"/>
    </row>
    <row r="109" spans="8:12" s="231" customFormat="1" ht="15.95" customHeight="1" x14ac:dyDescent="0.25">
      <c r="H109" s="232"/>
      <c r="L109" s="232"/>
    </row>
    <row r="110" spans="8:12" s="231" customFormat="1" ht="15.95" customHeight="1" x14ac:dyDescent="0.25">
      <c r="H110" s="232"/>
      <c r="L110" s="232"/>
    </row>
    <row r="111" spans="8:12" s="231" customFormat="1" ht="15.95" customHeight="1" x14ac:dyDescent="0.25">
      <c r="H111" s="232"/>
      <c r="L111" s="232"/>
    </row>
    <row r="112" spans="8:12" s="231" customFormat="1" ht="15.95" customHeight="1" x14ac:dyDescent="0.25">
      <c r="H112" s="232"/>
      <c r="L112" s="232"/>
    </row>
    <row r="113" spans="8:12" s="231" customFormat="1" ht="15.95" customHeight="1" x14ac:dyDescent="0.25">
      <c r="H113" s="232"/>
      <c r="L113" s="232"/>
    </row>
    <row r="114" spans="8:12" s="231" customFormat="1" ht="15.95" customHeight="1" x14ac:dyDescent="0.25">
      <c r="H114" s="232"/>
      <c r="L114" s="232"/>
    </row>
    <row r="115" spans="8:12" s="231" customFormat="1" ht="15.95" customHeight="1" x14ac:dyDescent="0.25">
      <c r="H115" s="232"/>
      <c r="L115" s="232"/>
    </row>
    <row r="116" spans="8:12" s="231" customFormat="1" ht="15.95" customHeight="1" x14ac:dyDescent="0.25">
      <c r="H116" s="232"/>
      <c r="L116" s="232"/>
    </row>
    <row r="117" spans="8:12" s="231" customFormat="1" ht="15.95" customHeight="1" x14ac:dyDescent="0.25">
      <c r="H117" s="232"/>
      <c r="L117" s="232"/>
    </row>
    <row r="118" spans="8:12" s="231" customFormat="1" ht="15.95" customHeight="1" x14ac:dyDescent="0.25">
      <c r="H118" s="232"/>
      <c r="L118" s="232"/>
    </row>
    <row r="119" spans="8:12" s="231" customFormat="1" ht="15.95" customHeight="1" x14ac:dyDescent="0.25">
      <c r="H119" s="232"/>
      <c r="L119" s="232"/>
    </row>
    <row r="120" spans="8:12" s="231" customFormat="1" ht="15.95" customHeight="1" x14ac:dyDescent="0.25">
      <c r="H120" s="232"/>
      <c r="L120" s="232"/>
    </row>
    <row r="121" spans="8:12" s="231" customFormat="1" ht="15.95" customHeight="1" x14ac:dyDescent="0.25">
      <c r="H121" s="232"/>
      <c r="L121" s="232"/>
    </row>
    <row r="122" spans="8:12" s="231" customFormat="1" ht="15.95" customHeight="1" x14ac:dyDescent="0.25">
      <c r="H122" s="232"/>
      <c r="L122" s="232"/>
    </row>
    <row r="123" spans="8:12" s="231" customFormat="1" ht="15.95" customHeight="1" x14ac:dyDescent="0.25">
      <c r="H123" s="232"/>
      <c r="L123" s="232"/>
    </row>
    <row r="124" spans="8:12" s="231" customFormat="1" ht="15.95" customHeight="1" x14ac:dyDescent="0.25">
      <c r="H124" s="232"/>
      <c r="L124" s="232"/>
    </row>
    <row r="125" spans="8:12" s="231" customFormat="1" ht="15.95" customHeight="1" x14ac:dyDescent="0.25">
      <c r="H125" s="232"/>
      <c r="L125" s="232"/>
    </row>
    <row r="126" spans="8:12" s="231" customFormat="1" ht="15.95" customHeight="1" x14ac:dyDescent="0.25">
      <c r="H126" s="232"/>
      <c r="L126" s="232"/>
    </row>
    <row r="127" spans="8:12" s="231" customFormat="1" ht="15.95" customHeight="1" x14ac:dyDescent="0.25">
      <c r="H127" s="232"/>
      <c r="L127" s="232"/>
    </row>
    <row r="128" spans="8:12" s="231" customFormat="1" ht="15.95" customHeight="1" x14ac:dyDescent="0.25">
      <c r="H128" s="232"/>
      <c r="L128" s="232"/>
    </row>
    <row r="129" spans="8:12" s="231" customFormat="1" ht="15.95" customHeight="1" x14ac:dyDescent="0.25">
      <c r="H129" s="232"/>
      <c r="L129" s="232"/>
    </row>
    <row r="130" spans="8:12" s="231" customFormat="1" ht="15.95" customHeight="1" x14ac:dyDescent="0.25">
      <c r="H130" s="232"/>
      <c r="L130" s="232"/>
    </row>
    <row r="131" spans="8:12" s="231" customFormat="1" ht="15.95" customHeight="1" x14ac:dyDescent="0.25">
      <c r="H131" s="232"/>
      <c r="L131" s="232"/>
    </row>
    <row r="132" spans="8:12" s="231" customFormat="1" ht="15.95" customHeight="1" x14ac:dyDescent="0.25">
      <c r="H132" s="232"/>
      <c r="L132" s="232"/>
    </row>
    <row r="133" spans="8:12" s="231" customFormat="1" ht="15.95" customHeight="1" x14ac:dyDescent="0.25">
      <c r="H133" s="232"/>
      <c r="L133" s="232"/>
    </row>
    <row r="134" spans="8:12" s="231" customFormat="1" ht="15.95" customHeight="1" x14ac:dyDescent="0.25">
      <c r="H134" s="232"/>
      <c r="L134" s="232"/>
    </row>
    <row r="135" spans="8:12" s="231" customFormat="1" ht="15.95" customHeight="1" x14ac:dyDescent="0.25">
      <c r="H135" s="232"/>
      <c r="L135" s="232"/>
    </row>
    <row r="136" spans="8:12" s="231" customFormat="1" ht="15.95" customHeight="1" x14ac:dyDescent="0.25">
      <c r="H136" s="232"/>
      <c r="L136" s="232"/>
    </row>
    <row r="137" spans="8:12" s="231" customFormat="1" ht="15.95" customHeight="1" x14ac:dyDescent="0.25">
      <c r="H137" s="232"/>
      <c r="L137" s="232"/>
    </row>
    <row r="138" spans="8:12" s="231" customFormat="1" ht="15.95" customHeight="1" x14ac:dyDescent="0.25">
      <c r="H138" s="232"/>
      <c r="L138" s="232"/>
    </row>
    <row r="139" spans="8:12" s="231" customFormat="1" ht="15.95" customHeight="1" x14ac:dyDescent="0.25">
      <c r="H139" s="232"/>
      <c r="L139" s="232"/>
    </row>
    <row r="140" spans="8:12" s="231" customFormat="1" ht="15.95" customHeight="1" x14ac:dyDescent="0.25">
      <c r="H140" s="232"/>
      <c r="L140" s="232"/>
    </row>
    <row r="141" spans="8:12" s="231" customFormat="1" ht="15.95" customHeight="1" x14ac:dyDescent="0.25">
      <c r="H141" s="232"/>
      <c r="L141" s="232"/>
    </row>
    <row r="142" spans="8:12" s="231" customFormat="1" ht="15.95" customHeight="1" x14ac:dyDescent="0.25">
      <c r="H142" s="232"/>
      <c r="L142" s="232"/>
    </row>
    <row r="143" spans="8:12" s="231" customFormat="1" ht="15.95" customHeight="1" x14ac:dyDescent="0.25">
      <c r="H143" s="232"/>
      <c r="L143" s="232"/>
    </row>
    <row r="144" spans="8:12" s="231" customFormat="1" ht="15.95" customHeight="1" x14ac:dyDescent="0.25">
      <c r="H144" s="232"/>
      <c r="L144" s="232"/>
    </row>
    <row r="145" spans="8:12" s="231" customFormat="1" ht="15.95" customHeight="1" x14ac:dyDescent="0.25">
      <c r="H145" s="232"/>
      <c r="L145" s="232"/>
    </row>
    <row r="146" spans="8:12" s="231" customFormat="1" ht="15.95" customHeight="1" x14ac:dyDescent="0.25">
      <c r="H146" s="232"/>
      <c r="L146" s="232"/>
    </row>
    <row r="147" spans="8:12" s="231" customFormat="1" ht="15.95" customHeight="1" x14ac:dyDescent="0.25">
      <c r="H147" s="232"/>
      <c r="L147" s="232"/>
    </row>
    <row r="148" spans="8:12" s="231" customFormat="1" ht="15.95" customHeight="1" x14ac:dyDescent="0.25">
      <c r="H148" s="232"/>
      <c r="L148" s="232"/>
    </row>
    <row r="149" spans="8:12" s="231" customFormat="1" ht="15.95" customHeight="1" x14ac:dyDescent="0.25">
      <c r="H149" s="232"/>
      <c r="L149" s="232"/>
    </row>
    <row r="150" spans="8:12" s="231" customFormat="1" ht="15.95" customHeight="1" x14ac:dyDescent="0.25">
      <c r="H150" s="232"/>
      <c r="L150" s="232"/>
    </row>
    <row r="151" spans="8:12" s="231" customFormat="1" ht="15.95" customHeight="1" x14ac:dyDescent="0.25">
      <c r="H151" s="232"/>
      <c r="L151" s="232"/>
    </row>
    <row r="152" spans="8:12" s="231" customFormat="1" ht="15.95" customHeight="1" x14ac:dyDescent="0.25">
      <c r="H152" s="232"/>
      <c r="L152" s="232"/>
    </row>
    <row r="153" spans="8:12" s="231" customFormat="1" ht="15.95" customHeight="1" x14ac:dyDescent="0.25">
      <c r="H153" s="232"/>
      <c r="L153" s="232"/>
    </row>
    <row r="154" spans="8:12" s="231" customFormat="1" ht="15.95" customHeight="1" x14ac:dyDescent="0.25">
      <c r="H154" s="232"/>
      <c r="L154" s="232"/>
    </row>
    <row r="155" spans="8:12" s="231" customFormat="1" ht="15.95" customHeight="1" x14ac:dyDescent="0.25">
      <c r="H155" s="232"/>
      <c r="L155" s="232"/>
    </row>
    <row r="156" spans="8:12" s="231" customFormat="1" ht="15.95" customHeight="1" x14ac:dyDescent="0.25">
      <c r="H156" s="232"/>
      <c r="L156" s="232"/>
    </row>
    <row r="157" spans="8:12" s="231" customFormat="1" ht="15.95" customHeight="1" x14ac:dyDescent="0.25">
      <c r="H157" s="232"/>
      <c r="L157" s="232"/>
    </row>
    <row r="158" spans="8:12" s="231" customFormat="1" ht="15.95" customHeight="1" x14ac:dyDescent="0.25">
      <c r="H158" s="232"/>
      <c r="L158" s="232"/>
    </row>
    <row r="159" spans="8:12" s="231" customFormat="1" ht="15.95" customHeight="1" x14ac:dyDescent="0.25">
      <c r="H159" s="232"/>
      <c r="L159" s="232"/>
    </row>
    <row r="160" spans="8:12" s="231" customFormat="1" ht="15.95" customHeight="1" x14ac:dyDescent="0.25">
      <c r="H160" s="232"/>
      <c r="L160" s="232"/>
    </row>
    <row r="161" spans="8:12" s="231" customFormat="1" ht="15.95" customHeight="1" x14ac:dyDescent="0.25">
      <c r="H161" s="232"/>
      <c r="L161" s="232"/>
    </row>
    <row r="162" spans="8:12" s="231" customFormat="1" ht="15.95" customHeight="1" x14ac:dyDescent="0.25">
      <c r="H162" s="232"/>
      <c r="L162" s="232"/>
    </row>
    <row r="163" spans="8:12" s="231" customFormat="1" ht="15.95" customHeight="1" x14ac:dyDescent="0.25">
      <c r="H163" s="232"/>
      <c r="L163" s="232"/>
    </row>
    <row r="164" spans="8:12" s="231" customFormat="1" ht="15.95" customHeight="1" x14ac:dyDescent="0.25">
      <c r="H164" s="232"/>
      <c r="L164" s="232"/>
    </row>
    <row r="165" spans="8:12" s="231" customFormat="1" ht="15.95" customHeight="1" x14ac:dyDescent="0.25">
      <c r="H165" s="232"/>
      <c r="L165" s="232"/>
    </row>
    <row r="166" spans="8:12" s="231" customFormat="1" ht="15.95" customHeight="1" x14ac:dyDescent="0.25">
      <c r="H166" s="232"/>
      <c r="L166" s="232"/>
    </row>
    <row r="167" spans="8:12" s="231" customFormat="1" ht="15.95" customHeight="1" x14ac:dyDescent="0.25">
      <c r="H167" s="232"/>
      <c r="L167" s="232"/>
    </row>
    <row r="168" spans="8:12" s="231" customFormat="1" ht="15.95" customHeight="1" x14ac:dyDescent="0.25">
      <c r="H168" s="232"/>
      <c r="L168" s="232"/>
    </row>
    <row r="169" spans="8:12" s="231" customFormat="1" ht="15.95" customHeight="1" x14ac:dyDescent="0.25">
      <c r="H169" s="232"/>
      <c r="L169" s="232"/>
    </row>
    <row r="170" spans="8:12" s="231" customFormat="1" ht="15.95" customHeight="1" x14ac:dyDescent="0.25">
      <c r="H170" s="232"/>
      <c r="L170" s="232"/>
    </row>
    <row r="171" spans="8:12" s="231" customFormat="1" ht="15.95" customHeight="1" x14ac:dyDescent="0.25">
      <c r="H171" s="232"/>
      <c r="L171" s="232"/>
    </row>
    <row r="172" spans="8:12" s="231" customFormat="1" ht="15.95" customHeight="1" x14ac:dyDescent="0.25">
      <c r="H172" s="232"/>
      <c r="L172" s="232"/>
    </row>
    <row r="173" spans="8:12" s="231" customFormat="1" ht="15.95" customHeight="1" x14ac:dyDescent="0.25">
      <c r="H173" s="232"/>
      <c r="L173" s="232"/>
    </row>
    <row r="174" spans="8:12" s="231" customFormat="1" ht="15.95" customHeight="1" x14ac:dyDescent="0.25">
      <c r="H174" s="232"/>
      <c r="L174" s="232"/>
    </row>
    <row r="175" spans="8:12" s="231" customFormat="1" ht="15.95" customHeight="1" x14ac:dyDescent="0.25">
      <c r="H175" s="232"/>
      <c r="L175" s="232"/>
    </row>
    <row r="176" spans="8:12" s="231" customFormat="1" ht="15.95" customHeight="1" x14ac:dyDescent="0.25">
      <c r="H176" s="232"/>
      <c r="L176" s="232"/>
    </row>
    <row r="177" spans="8:12" s="231" customFormat="1" ht="15.95" customHeight="1" x14ac:dyDescent="0.25">
      <c r="H177" s="232"/>
      <c r="L177" s="232"/>
    </row>
    <row r="178" spans="8:12" s="231" customFormat="1" ht="15.95" customHeight="1" x14ac:dyDescent="0.25">
      <c r="H178" s="232"/>
      <c r="L178" s="232"/>
    </row>
    <row r="179" spans="8:12" s="231" customFormat="1" ht="15.95" customHeight="1" x14ac:dyDescent="0.25">
      <c r="H179" s="232"/>
      <c r="L179" s="232"/>
    </row>
    <row r="180" spans="8:12" s="231" customFormat="1" ht="15.95" customHeight="1" x14ac:dyDescent="0.25">
      <c r="H180" s="232"/>
      <c r="L180" s="232"/>
    </row>
    <row r="181" spans="8:12" s="231" customFormat="1" ht="15.95" customHeight="1" x14ac:dyDescent="0.25">
      <c r="H181" s="232"/>
      <c r="L181" s="232"/>
    </row>
    <row r="182" spans="8:12" s="231" customFormat="1" ht="15.95" customHeight="1" x14ac:dyDescent="0.25">
      <c r="H182" s="232"/>
      <c r="L182" s="232"/>
    </row>
    <row r="183" spans="8:12" s="231" customFormat="1" ht="15.95" customHeight="1" x14ac:dyDescent="0.25">
      <c r="H183" s="232"/>
      <c r="L183" s="232"/>
    </row>
    <row r="184" spans="8:12" s="231" customFormat="1" ht="15.95" customHeight="1" x14ac:dyDescent="0.25">
      <c r="H184" s="232"/>
      <c r="L184" s="232"/>
    </row>
    <row r="185" spans="8:12" s="231" customFormat="1" ht="15.95" customHeight="1" x14ac:dyDescent="0.25">
      <c r="H185" s="232"/>
      <c r="L185" s="232"/>
    </row>
    <row r="186" spans="8:12" s="231" customFormat="1" ht="15.95" customHeight="1" x14ac:dyDescent="0.25">
      <c r="H186" s="232"/>
      <c r="L186" s="232"/>
    </row>
    <row r="187" spans="8:12" s="231" customFormat="1" ht="15.95" customHeight="1" x14ac:dyDescent="0.25">
      <c r="H187" s="232"/>
      <c r="L187" s="232"/>
    </row>
    <row r="188" spans="8:12" s="231" customFormat="1" ht="15.95" customHeight="1" x14ac:dyDescent="0.25">
      <c r="H188" s="232"/>
      <c r="L188" s="232"/>
    </row>
    <row r="189" spans="8:12" s="231" customFormat="1" ht="15.95" customHeight="1" x14ac:dyDescent="0.25">
      <c r="H189" s="232"/>
      <c r="L189" s="232"/>
    </row>
    <row r="190" spans="8:12" s="231" customFormat="1" ht="15.95" customHeight="1" x14ac:dyDescent="0.25">
      <c r="H190" s="232"/>
      <c r="L190" s="232"/>
    </row>
    <row r="191" spans="8:12" s="231" customFormat="1" ht="15.95" customHeight="1" x14ac:dyDescent="0.25">
      <c r="H191" s="232"/>
      <c r="L191" s="232"/>
    </row>
    <row r="192" spans="8:12" s="231" customFormat="1" ht="15.95" customHeight="1" x14ac:dyDescent="0.25">
      <c r="H192" s="232"/>
      <c r="L192" s="232"/>
    </row>
    <row r="193" spans="8:12" s="231" customFormat="1" ht="15.95" customHeight="1" x14ac:dyDescent="0.25">
      <c r="H193" s="232"/>
      <c r="L193" s="232"/>
    </row>
    <row r="194" spans="8:12" s="231" customFormat="1" ht="15.95" customHeight="1" x14ac:dyDescent="0.25">
      <c r="H194" s="232"/>
      <c r="L194" s="232"/>
    </row>
    <row r="195" spans="8:12" s="231" customFormat="1" ht="15.95" customHeight="1" x14ac:dyDescent="0.25">
      <c r="H195" s="232"/>
      <c r="L195" s="232"/>
    </row>
    <row r="196" spans="8:12" s="231" customFormat="1" ht="15.95" customHeight="1" x14ac:dyDescent="0.25">
      <c r="H196" s="232"/>
      <c r="L196" s="232"/>
    </row>
    <row r="197" spans="8:12" s="231" customFormat="1" ht="15.95" customHeight="1" x14ac:dyDescent="0.25">
      <c r="H197" s="232"/>
      <c r="L197" s="232"/>
    </row>
    <row r="198" spans="8:12" s="231" customFormat="1" ht="15.95" customHeight="1" x14ac:dyDescent="0.25">
      <c r="H198" s="232"/>
      <c r="L198" s="232"/>
    </row>
    <row r="199" spans="8:12" s="231" customFormat="1" ht="15.95" customHeight="1" x14ac:dyDescent="0.25">
      <c r="H199" s="232"/>
      <c r="L199" s="232"/>
    </row>
    <row r="200" spans="8:12" s="231" customFormat="1" ht="15.95" customHeight="1" x14ac:dyDescent="0.25">
      <c r="H200" s="232"/>
      <c r="L200" s="232"/>
    </row>
    <row r="201" spans="8:12" s="231" customFormat="1" ht="15.95" customHeight="1" x14ac:dyDescent="0.25">
      <c r="H201" s="232"/>
      <c r="L201" s="232"/>
    </row>
    <row r="202" spans="8:12" s="231" customFormat="1" ht="15.95" customHeight="1" x14ac:dyDescent="0.25">
      <c r="H202" s="232"/>
      <c r="L202" s="232"/>
    </row>
    <row r="203" spans="8:12" s="231" customFormat="1" ht="15.95" customHeight="1" x14ac:dyDescent="0.25">
      <c r="H203" s="232"/>
      <c r="L203" s="232"/>
    </row>
    <row r="204" spans="8:12" s="231" customFormat="1" ht="15.95" customHeight="1" x14ac:dyDescent="0.25">
      <c r="H204" s="232"/>
      <c r="L204" s="232"/>
    </row>
    <row r="205" spans="8:12" s="231" customFormat="1" ht="15.95" customHeight="1" x14ac:dyDescent="0.25">
      <c r="H205" s="232"/>
      <c r="L205" s="232"/>
    </row>
    <row r="206" spans="8:12" s="231" customFormat="1" ht="15.95" customHeight="1" x14ac:dyDescent="0.25">
      <c r="H206" s="232"/>
      <c r="L206" s="232"/>
    </row>
    <row r="207" spans="8:12" s="231" customFormat="1" ht="15.95" customHeight="1" x14ac:dyDescent="0.25">
      <c r="H207" s="232"/>
      <c r="L207" s="232"/>
    </row>
    <row r="208" spans="8:12" s="231" customFormat="1" ht="15.95" customHeight="1" x14ac:dyDescent="0.25">
      <c r="H208" s="232"/>
      <c r="L208" s="232"/>
    </row>
    <row r="209" spans="8:12" s="231" customFormat="1" ht="15.95" customHeight="1" x14ac:dyDescent="0.25">
      <c r="H209" s="232"/>
      <c r="L209" s="232"/>
    </row>
    <row r="210" spans="8:12" s="231" customFormat="1" ht="15.95" customHeight="1" x14ac:dyDescent="0.25">
      <c r="H210" s="232"/>
      <c r="L210" s="232"/>
    </row>
    <row r="211" spans="8:12" s="231" customFormat="1" ht="15.95" customHeight="1" x14ac:dyDescent="0.25">
      <c r="H211" s="232"/>
      <c r="L211" s="232"/>
    </row>
    <row r="212" spans="8:12" s="231" customFormat="1" ht="15.95" customHeight="1" x14ac:dyDescent="0.25">
      <c r="H212" s="232"/>
      <c r="L212" s="232"/>
    </row>
    <row r="213" spans="8:12" s="231" customFormat="1" ht="15.95" customHeight="1" x14ac:dyDescent="0.25">
      <c r="H213" s="232"/>
      <c r="L213" s="232"/>
    </row>
    <row r="214" spans="8:12" s="231" customFormat="1" ht="15.95" customHeight="1" x14ac:dyDescent="0.25">
      <c r="H214" s="232"/>
      <c r="L214" s="232"/>
    </row>
    <row r="215" spans="8:12" s="231" customFormat="1" ht="15.95" customHeight="1" x14ac:dyDescent="0.25">
      <c r="H215" s="232"/>
      <c r="L215" s="232"/>
    </row>
    <row r="216" spans="8:12" s="231" customFormat="1" ht="15.95" customHeight="1" x14ac:dyDescent="0.25">
      <c r="H216" s="232"/>
      <c r="L216" s="232"/>
    </row>
    <row r="217" spans="8:12" s="231" customFormat="1" ht="15.95" customHeight="1" x14ac:dyDescent="0.25">
      <c r="H217" s="232"/>
      <c r="L217" s="232"/>
    </row>
    <row r="218" spans="8:12" s="231" customFormat="1" ht="15.95" customHeight="1" x14ac:dyDescent="0.25">
      <c r="H218" s="232"/>
      <c r="L218" s="232"/>
    </row>
    <row r="219" spans="8:12" s="231" customFormat="1" ht="15.95" customHeight="1" x14ac:dyDescent="0.25">
      <c r="H219" s="232"/>
      <c r="L219" s="232"/>
    </row>
    <row r="220" spans="8:12" s="231" customFormat="1" ht="15.95" customHeight="1" x14ac:dyDescent="0.25">
      <c r="H220" s="232"/>
      <c r="L220" s="232"/>
    </row>
    <row r="221" spans="8:12" s="231" customFormat="1" ht="15.95" customHeight="1" x14ac:dyDescent="0.25">
      <c r="H221" s="232"/>
      <c r="L221" s="232"/>
    </row>
    <row r="222" spans="8:12" s="231" customFormat="1" ht="15.95" customHeight="1" x14ac:dyDescent="0.25">
      <c r="H222" s="232"/>
      <c r="L222" s="232"/>
    </row>
    <row r="223" spans="8:12" s="231" customFormat="1" ht="15.95" customHeight="1" x14ac:dyDescent="0.25">
      <c r="H223" s="232"/>
      <c r="L223" s="232"/>
    </row>
    <row r="224" spans="8:12" s="231" customFormat="1" ht="15.95" customHeight="1" x14ac:dyDescent="0.25">
      <c r="H224" s="232"/>
      <c r="L224" s="232"/>
    </row>
    <row r="225" spans="8:12" s="231" customFormat="1" ht="15.95" customHeight="1" x14ac:dyDescent="0.25">
      <c r="H225" s="232"/>
      <c r="L225" s="232"/>
    </row>
    <row r="226" spans="8:12" s="231" customFormat="1" ht="15.95" customHeight="1" x14ac:dyDescent="0.25">
      <c r="H226" s="232"/>
      <c r="L226" s="232"/>
    </row>
    <row r="227" spans="8:12" s="231" customFormat="1" ht="15.95" customHeight="1" x14ac:dyDescent="0.25">
      <c r="H227" s="232"/>
      <c r="L227" s="232"/>
    </row>
    <row r="228" spans="8:12" s="231" customFormat="1" ht="15.95" customHeight="1" x14ac:dyDescent="0.25">
      <c r="H228" s="232"/>
      <c r="L228" s="232"/>
    </row>
    <row r="229" spans="8:12" s="231" customFormat="1" ht="15.95" customHeight="1" x14ac:dyDescent="0.25">
      <c r="H229" s="232"/>
      <c r="L229" s="232"/>
    </row>
    <row r="230" spans="8:12" s="231" customFormat="1" ht="15.95" customHeight="1" x14ac:dyDescent="0.25">
      <c r="H230" s="232"/>
      <c r="L230" s="232"/>
    </row>
    <row r="231" spans="8:12" s="231" customFormat="1" ht="15.95" customHeight="1" x14ac:dyDescent="0.25">
      <c r="H231" s="232"/>
      <c r="L231" s="232"/>
    </row>
    <row r="232" spans="8:12" s="231" customFormat="1" ht="15.95" customHeight="1" x14ac:dyDescent="0.25">
      <c r="H232" s="232"/>
      <c r="L232" s="232"/>
    </row>
    <row r="233" spans="8:12" s="231" customFormat="1" ht="15.95" customHeight="1" x14ac:dyDescent="0.25">
      <c r="H233" s="232"/>
      <c r="L233" s="232"/>
    </row>
    <row r="234" spans="8:12" s="231" customFormat="1" ht="15.95" customHeight="1" x14ac:dyDescent="0.25">
      <c r="H234" s="232"/>
      <c r="L234" s="232"/>
    </row>
    <row r="235" spans="8:12" s="231" customFormat="1" ht="15.95" customHeight="1" x14ac:dyDescent="0.25">
      <c r="H235" s="232"/>
      <c r="L235" s="232"/>
    </row>
    <row r="236" spans="8:12" s="231" customFormat="1" ht="15.95" customHeight="1" x14ac:dyDescent="0.25">
      <c r="H236" s="232"/>
      <c r="L236" s="232"/>
    </row>
    <row r="237" spans="8:12" s="231" customFormat="1" ht="15.95" customHeight="1" x14ac:dyDescent="0.25">
      <c r="H237" s="232"/>
      <c r="L237" s="232"/>
    </row>
    <row r="238" spans="8:12" s="231" customFormat="1" ht="15.95" customHeight="1" x14ac:dyDescent="0.25">
      <c r="H238" s="232"/>
      <c r="L238" s="232"/>
    </row>
    <row r="239" spans="8:12" s="231" customFormat="1" ht="15.95" customHeight="1" x14ac:dyDescent="0.25">
      <c r="H239" s="232"/>
      <c r="L239" s="232"/>
    </row>
    <row r="240" spans="8:12" s="231" customFormat="1" ht="15.95" customHeight="1" x14ac:dyDescent="0.25">
      <c r="H240" s="232"/>
      <c r="L240" s="232"/>
    </row>
    <row r="241" spans="8:12" s="231" customFormat="1" ht="15.95" customHeight="1" x14ac:dyDescent="0.25">
      <c r="H241" s="232"/>
      <c r="L241" s="232"/>
    </row>
    <row r="242" spans="8:12" s="231" customFormat="1" ht="15.95" customHeight="1" x14ac:dyDescent="0.25">
      <c r="H242" s="232"/>
      <c r="L242" s="232"/>
    </row>
    <row r="243" spans="8:12" s="231" customFormat="1" ht="15.95" customHeight="1" x14ac:dyDescent="0.25">
      <c r="H243" s="232"/>
      <c r="L243" s="232"/>
    </row>
    <row r="244" spans="8:12" s="231" customFormat="1" ht="15.95" customHeight="1" x14ac:dyDescent="0.25">
      <c r="H244" s="232"/>
      <c r="L244" s="232"/>
    </row>
    <row r="245" spans="8:12" s="231" customFormat="1" ht="15.95" customHeight="1" x14ac:dyDescent="0.25">
      <c r="H245" s="232"/>
      <c r="L245" s="232"/>
    </row>
    <row r="246" spans="8:12" s="231" customFormat="1" ht="15.95" customHeight="1" x14ac:dyDescent="0.25">
      <c r="H246" s="232"/>
      <c r="L246" s="232"/>
    </row>
    <row r="247" spans="8:12" s="231" customFormat="1" ht="15.95" customHeight="1" x14ac:dyDescent="0.25">
      <c r="H247" s="232"/>
      <c r="L247" s="232"/>
    </row>
    <row r="248" spans="8:12" s="231" customFormat="1" ht="15.95" customHeight="1" x14ac:dyDescent="0.25">
      <c r="H248" s="232"/>
      <c r="L248" s="232"/>
    </row>
    <row r="249" spans="8:12" s="231" customFormat="1" ht="15.95" customHeight="1" x14ac:dyDescent="0.25">
      <c r="H249" s="232"/>
      <c r="L249" s="232"/>
    </row>
    <row r="250" spans="8:12" s="231" customFormat="1" ht="15.95" customHeight="1" x14ac:dyDescent="0.25">
      <c r="H250" s="232"/>
      <c r="L250" s="232"/>
    </row>
    <row r="251" spans="8:12" s="231" customFormat="1" ht="15.95" customHeight="1" x14ac:dyDescent="0.25">
      <c r="H251" s="232"/>
      <c r="L251" s="232"/>
    </row>
    <row r="252" spans="8:12" s="231" customFormat="1" ht="15.95" customHeight="1" x14ac:dyDescent="0.25">
      <c r="H252" s="232"/>
      <c r="L252" s="232"/>
    </row>
    <row r="253" spans="8:12" s="231" customFormat="1" ht="15.95" customHeight="1" x14ac:dyDescent="0.25">
      <c r="H253" s="232"/>
      <c r="L253" s="232"/>
    </row>
    <row r="254" spans="8:12" s="231" customFormat="1" ht="15.95" customHeight="1" x14ac:dyDescent="0.25">
      <c r="H254" s="232"/>
      <c r="L254" s="232"/>
    </row>
    <row r="255" spans="8:12" s="231" customFormat="1" ht="15.95" customHeight="1" x14ac:dyDescent="0.25">
      <c r="H255" s="232"/>
      <c r="L255" s="232"/>
    </row>
    <row r="256" spans="8:12" s="231" customFormat="1" ht="15.95" customHeight="1" x14ac:dyDescent="0.25">
      <c r="H256" s="232"/>
      <c r="L256" s="232"/>
    </row>
    <row r="257" spans="8:12" s="231" customFormat="1" ht="15.95" customHeight="1" x14ac:dyDescent="0.25">
      <c r="H257" s="232"/>
      <c r="L257" s="232"/>
    </row>
    <row r="258" spans="8:12" s="231" customFormat="1" ht="15.95" customHeight="1" x14ac:dyDescent="0.25">
      <c r="H258" s="232"/>
      <c r="L258" s="232"/>
    </row>
    <row r="259" spans="8:12" s="231" customFormat="1" ht="15.95" customHeight="1" x14ac:dyDescent="0.25">
      <c r="H259" s="232"/>
      <c r="L259" s="232"/>
    </row>
    <row r="260" spans="8:12" s="231" customFormat="1" ht="15.95" customHeight="1" x14ac:dyDescent="0.25">
      <c r="H260" s="232"/>
      <c r="L260" s="232"/>
    </row>
    <row r="261" spans="8:12" s="231" customFormat="1" ht="15.95" customHeight="1" x14ac:dyDescent="0.25">
      <c r="H261" s="232"/>
      <c r="L261" s="232"/>
    </row>
    <row r="262" spans="8:12" s="231" customFormat="1" ht="15.95" customHeight="1" x14ac:dyDescent="0.25">
      <c r="H262" s="232"/>
      <c r="L262" s="232"/>
    </row>
    <row r="263" spans="8:12" s="231" customFormat="1" ht="15.95" customHeight="1" x14ac:dyDescent="0.25">
      <c r="H263" s="232"/>
      <c r="L263" s="232"/>
    </row>
    <row r="264" spans="8:12" s="231" customFormat="1" ht="15.95" customHeight="1" x14ac:dyDescent="0.25">
      <c r="H264" s="232"/>
      <c r="L264" s="232"/>
    </row>
    <row r="265" spans="8:12" s="231" customFormat="1" ht="15.95" customHeight="1" x14ac:dyDescent="0.25">
      <c r="H265" s="232"/>
      <c r="L265" s="232"/>
    </row>
    <row r="266" spans="8:12" s="231" customFormat="1" ht="15.95" customHeight="1" x14ac:dyDescent="0.25">
      <c r="H266" s="232"/>
      <c r="L266" s="232"/>
    </row>
    <row r="267" spans="8:12" s="231" customFormat="1" ht="15.95" customHeight="1" x14ac:dyDescent="0.25">
      <c r="H267" s="232"/>
      <c r="L267" s="232"/>
    </row>
    <row r="268" spans="8:12" s="231" customFormat="1" ht="15.95" customHeight="1" x14ac:dyDescent="0.25">
      <c r="H268" s="232"/>
      <c r="L268" s="232"/>
    </row>
    <row r="269" spans="8:12" s="231" customFormat="1" ht="15.95" customHeight="1" x14ac:dyDescent="0.25">
      <c r="H269" s="232"/>
      <c r="L269" s="232"/>
    </row>
    <row r="270" spans="8:12" s="231" customFormat="1" ht="15.95" customHeight="1" x14ac:dyDescent="0.25">
      <c r="H270" s="232"/>
      <c r="L270" s="232"/>
    </row>
    <row r="271" spans="8:12" s="231" customFormat="1" ht="15.95" customHeight="1" x14ac:dyDescent="0.25">
      <c r="H271" s="232"/>
      <c r="L271" s="232"/>
    </row>
    <row r="272" spans="8:12" s="231" customFormat="1" ht="15.95" customHeight="1" x14ac:dyDescent="0.25">
      <c r="H272" s="232"/>
      <c r="L272" s="232"/>
    </row>
    <row r="273" spans="8:12" s="231" customFormat="1" ht="15.95" customHeight="1" x14ac:dyDescent="0.25">
      <c r="H273" s="232"/>
      <c r="L273" s="232"/>
    </row>
    <row r="274" spans="8:12" s="231" customFormat="1" ht="15.95" customHeight="1" x14ac:dyDescent="0.25">
      <c r="H274" s="232"/>
      <c r="L274" s="232"/>
    </row>
    <row r="275" spans="8:12" s="231" customFormat="1" ht="15.95" customHeight="1" x14ac:dyDescent="0.25">
      <c r="H275" s="232"/>
      <c r="L275" s="232"/>
    </row>
    <row r="276" spans="8:12" s="231" customFormat="1" ht="15.95" customHeight="1" x14ac:dyDescent="0.25">
      <c r="H276" s="232"/>
      <c r="L276" s="232"/>
    </row>
    <row r="277" spans="8:12" s="231" customFormat="1" ht="15.95" customHeight="1" x14ac:dyDescent="0.25">
      <c r="H277" s="232"/>
      <c r="L277" s="232"/>
    </row>
    <row r="278" spans="8:12" s="231" customFormat="1" ht="15.95" customHeight="1" x14ac:dyDescent="0.25">
      <c r="H278" s="232"/>
      <c r="L278" s="232"/>
    </row>
    <row r="279" spans="8:12" s="231" customFormat="1" ht="15.95" customHeight="1" x14ac:dyDescent="0.25">
      <c r="H279" s="232"/>
      <c r="L279" s="232"/>
    </row>
    <row r="280" spans="8:12" s="231" customFormat="1" ht="15.95" customHeight="1" x14ac:dyDescent="0.25">
      <c r="H280" s="232"/>
      <c r="L280" s="232"/>
    </row>
    <row r="281" spans="8:12" s="231" customFormat="1" ht="15.95" customHeight="1" x14ac:dyDescent="0.25">
      <c r="H281" s="232"/>
      <c r="L281" s="232"/>
    </row>
    <row r="282" spans="8:12" s="231" customFormat="1" ht="15.95" customHeight="1" x14ac:dyDescent="0.25">
      <c r="H282" s="232"/>
      <c r="L282" s="232"/>
    </row>
    <row r="283" spans="8:12" s="231" customFormat="1" ht="15.95" customHeight="1" x14ac:dyDescent="0.25">
      <c r="H283" s="232"/>
      <c r="L283" s="232"/>
    </row>
    <row r="284" spans="8:12" s="231" customFormat="1" ht="15.95" customHeight="1" x14ac:dyDescent="0.25">
      <c r="H284" s="232"/>
      <c r="L284" s="232"/>
    </row>
    <row r="285" spans="8:12" s="231" customFormat="1" ht="15.95" customHeight="1" x14ac:dyDescent="0.25">
      <c r="H285" s="232"/>
      <c r="L285" s="232"/>
    </row>
    <row r="286" spans="8:12" s="231" customFormat="1" ht="15.95" customHeight="1" x14ac:dyDescent="0.25">
      <c r="H286" s="232"/>
      <c r="L286" s="232"/>
    </row>
    <row r="287" spans="8:12" s="231" customFormat="1" ht="15.95" customHeight="1" x14ac:dyDescent="0.25">
      <c r="H287" s="232"/>
      <c r="L287" s="232"/>
    </row>
    <row r="288" spans="8:12" s="231" customFormat="1" ht="15.95" customHeight="1" x14ac:dyDescent="0.25">
      <c r="H288" s="232"/>
      <c r="L288" s="232"/>
    </row>
    <row r="289" spans="8:12" s="231" customFormat="1" ht="15.95" customHeight="1" x14ac:dyDescent="0.25">
      <c r="H289" s="232"/>
      <c r="L289" s="232"/>
    </row>
    <row r="290" spans="8:12" s="231" customFormat="1" ht="15.95" customHeight="1" x14ac:dyDescent="0.25">
      <c r="H290" s="232"/>
      <c r="L290" s="232"/>
    </row>
    <row r="291" spans="8:12" s="231" customFormat="1" ht="15.95" customHeight="1" x14ac:dyDescent="0.25">
      <c r="H291" s="232"/>
      <c r="L291" s="232"/>
    </row>
    <row r="292" spans="8:12" s="231" customFormat="1" ht="15.95" customHeight="1" x14ac:dyDescent="0.25">
      <c r="H292" s="232"/>
      <c r="L292" s="232"/>
    </row>
    <row r="293" spans="8:12" s="231" customFormat="1" ht="15.95" customHeight="1" x14ac:dyDescent="0.25">
      <c r="H293" s="232"/>
      <c r="L293" s="232"/>
    </row>
    <row r="294" spans="8:12" s="231" customFormat="1" ht="15.95" customHeight="1" x14ac:dyDescent="0.25">
      <c r="H294" s="232"/>
      <c r="L294" s="232"/>
    </row>
    <row r="295" spans="8:12" s="231" customFormat="1" ht="15.95" customHeight="1" x14ac:dyDescent="0.25">
      <c r="H295" s="232"/>
      <c r="L295" s="232"/>
    </row>
    <row r="296" spans="8:12" s="231" customFormat="1" ht="15.95" customHeight="1" x14ac:dyDescent="0.25">
      <c r="H296" s="232"/>
      <c r="L296" s="232"/>
    </row>
    <row r="297" spans="8:12" s="231" customFormat="1" ht="15.95" customHeight="1" x14ac:dyDescent="0.25">
      <c r="H297" s="232"/>
      <c r="L297" s="232"/>
    </row>
    <row r="298" spans="8:12" s="231" customFormat="1" ht="15.95" customHeight="1" x14ac:dyDescent="0.25">
      <c r="H298" s="232"/>
      <c r="L298" s="232"/>
    </row>
    <row r="299" spans="8:12" s="231" customFormat="1" ht="15.95" customHeight="1" x14ac:dyDescent="0.25">
      <c r="H299" s="232"/>
      <c r="L299" s="232"/>
    </row>
    <row r="300" spans="8:12" s="231" customFormat="1" ht="15.95" customHeight="1" x14ac:dyDescent="0.25">
      <c r="H300" s="232"/>
      <c r="L300" s="232"/>
    </row>
    <row r="301" spans="8:12" s="231" customFormat="1" ht="15.95" customHeight="1" x14ac:dyDescent="0.25">
      <c r="H301" s="232"/>
      <c r="L301" s="232"/>
    </row>
    <row r="302" spans="8:12" s="231" customFormat="1" ht="15.95" customHeight="1" x14ac:dyDescent="0.25">
      <c r="H302" s="232"/>
      <c r="L302" s="232"/>
    </row>
    <row r="303" spans="8:12" s="231" customFormat="1" ht="15.95" customHeight="1" x14ac:dyDescent="0.25">
      <c r="H303" s="232"/>
      <c r="L303" s="232"/>
    </row>
    <row r="304" spans="8:12" s="231" customFormat="1" ht="15.95" customHeight="1" x14ac:dyDescent="0.25">
      <c r="H304" s="232"/>
      <c r="L304" s="232"/>
    </row>
    <row r="305" spans="8:12" s="231" customFormat="1" ht="15.95" customHeight="1" x14ac:dyDescent="0.25">
      <c r="H305" s="232"/>
      <c r="L305" s="232"/>
    </row>
    <row r="306" spans="8:12" s="231" customFormat="1" ht="15.95" customHeight="1" x14ac:dyDescent="0.25">
      <c r="H306" s="232"/>
      <c r="L306" s="232"/>
    </row>
    <row r="307" spans="8:12" s="231" customFormat="1" ht="15.95" customHeight="1" x14ac:dyDescent="0.25">
      <c r="H307" s="232"/>
      <c r="L307" s="232"/>
    </row>
    <row r="308" spans="8:12" s="231" customFormat="1" ht="15.95" customHeight="1" x14ac:dyDescent="0.25">
      <c r="H308" s="232"/>
      <c r="L308" s="232"/>
    </row>
    <row r="309" spans="8:12" s="231" customFormat="1" ht="15.95" customHeight="1" x14ac:dyDescent="0.25">
      <c r="H309" s="232"/>
      <c r="L309" s="232"/>
    </row>
    <row r="310" spans="8:12" s="231" customFormat="1" ht="15.95" customHeight="1" x14ac:dyDescent="0.25">
      <c r="H310" s="232"/>
      <c r="L310" s="232"/>
    </row>
    <row r="311" spans="8:12" s="231" customFormat="1" ht="15.95" customHeight="1" x14ac:dyDescent="0.25">
      <c r="H311" s="232"/>
      <c r="L311" s="232"/>
    </row>
    <row r="312" spans="8:12" s="231" customFormat="1" ht="15.95" customHeight="1" x14ac:dyDescent="0.25">
      <c r="H312" s="232"/>
      <c r="L312" s="232"/>
    </row>
    <row r="313" spans="8:12" s="231" customFormat="1" ht="15.95" customHeight="1" x14ac:dyDescent="0.25">
      <c r="H313" s="232"/>
      <c r="L313" s="232"/>
    </row>
    <row r="314" spans="8:12" s="231" customFormat="1" ht="15.95" customHeight="1" x14ac:dyDescent="0.25">
      <c r="H314" s="232"/>
      <c r="L314" s="232"/>
    </row>
    <row r="315" spans="8:12" s="231" customFormat="1" ht="15.95" customHeight="1" x14ac:dyDescent="0.25">
      <c r="H315" s="232"/>
      <c r="L315" s="232"/>
    </row>
    <row r="316" spans="8:12" s="231" customFormat="1" ht="15.95" customHeight="1" x14ac:dyDescent="0.25">
      <c r="H316" s="232"/>
      <c r="L316" s="232"/>
    </row>
    <row r="317" spans="8:12" s="231" customFormat="1" ht="15.95" customHeight="1" x14ac:dyDescent="0.25">
      <c r="H317" s="232"/>
      <c r="L317" s="232"/>
    </row>
    <row r="318" spans="8:12" s="231" customFormat="1" ht="15.95" customHeight="1" x14ac:dyDescent="0.25">
      <c r="H318" s="232"/>
      <c r="L318" s="232"/>
    </row>
    <row r="319" spans="8:12" s="231" customFormat="1" ht="15.95" customHeight="1" x14ac:dyDescent="0.25">
      <c r="H319" s="232"/>
      <c r="L319" s="232"/>
    </row>
    <row r="320" spans="8:12" s="231" customFormat="1" ht="15.95" customHeight="1" x14ac:dyDescent="0.25">
      <c r="H320" s="232"/>
      <c r="L320" s="232"/>
    </row>
    <row r="321" spans="8:12" s="231" customFormat="1" ht="15.95" customHeight="1" x14ac:dyDescent="0.25">
      <c r="H321" s="232"/>
      <c r="L321" s="232"/>
    </row>
    <row r="322" spans="8:12" s="231" customFormat="1" ht="15.95" customHeight="1" x14ac:dyDescent="0.25">
      <c r="H322" s="232"/>
      <c r="L322" s="232"/>
    </row>
    <row r="323" spans="8:12" s="231" customFormat="1" ht="15.95" customHeight="1" x14ac:dyDescent="0.25">
      <c r="H323" s="232"/>
      <c r="L323" s="232"/>
    </row>
    <row r="324" spans="8:12" s="231" customFormat="1" ht="15.95" customHeight="1" x14ac:dyDescent="0.25">
      <c r="H324" s="232"/>
      <c r="L324" s="232"/>
    </row>
    <row r="325" spans="8:12" s="231" customFormat="1" ht="15.95" customHeight="1" x14ac:dyDescent="0.25">
      <c r="H325" s="232"/>
      <c r="L325" s="232"/>
    </row>
    <row r="326" spans="8:12" s="231" customFormat="1" ht="15.95" customHeight="1" x14ac:dyDescent="0.25">
      <c r="H326" s="232"/>
      <c r="L326" s="232"/>
    </row>
    <row r="327" spans="8:12" s="231" customFormat="1" ht="15.95" customHeight="1" x14ac:dyDescent="0.25">
      <c r="H327" s="232"/>
      <c r="L327" s="232"/>
    </row>
    <row r="328" spans="8:12" s="231" customFormat="1" ht="15.95" customHeight="1" x14ac:dyDescent="0.25">
      <c r="H328" s="232"/>
      <c r="L328" s="232"/>
    </row>
    <row r="329" spans="8:12" s="231" customFormat="1" ht="15.95" customHeight="1" x14ac:dyDescent="0.25">
      <c r="H329" s="232"/>
      <c r="L329" s="232"/>
    </row>
    <row r="330" spans="8:12" s="231" customFormat="1" ht="15.95" customHeight="1" x14ac:dyDescent="0.25">
      <c r="H330" s="232"/>
      <c r="L330" s="232"/>
    </row>
    <row r="331" spans="8:12" s="231" customFormat="1" ht="15.95" customHeight="1" x14ac:dyDescent="0.25">
      <c r="H331" s="232"/>
      <c r="L331" s="232"/>
    </row>
    <row r="332" spans="8:12" s="231" customFormat="1" ht="15.95" customHeight="1" x14ac:dyDescent="0.25">
      <c r="H332" s="232"/>
      <c r="L332" s="232"/>
    </row>
    <row r="333" spans="8:12" s="231" customFormat="1" ht="15.95" customHeight="1" x14ac:dyDescent="0.25">
      <c r="H333" s="232"/>
      <c r="L333" s="232"/>
    </row>
    <row r="334" spans="8:12" s="231" customFormat="1" ht="15.95" customHeight="1" x14ac:dyDescent="0.25">
      <c r="H334" s="232"/>
      <c r="L334" s="232"/>
    </row>
    <row r="335" spans="8:12" s="231" customFormat="1" ht="15.95" customHeight="1" x14ac:dyDescent="0.25">
      <c r="H335" s="232"/>
      <c r="L335" s="232"/>
    </row>
    <row r="336" spans="8:12" s="231" customFormat="1" ht="15.95" customHeight="1" x14ac:dyDescent="0.25">
      <c r="H336" s="232"/>
      <c r="L336" s="232"/>
    </row>
    <row r="337" spans="2:12" s="231" customFormat="1" ht="15.95" customHeight="1" x14ac:dyDescent="0.25">
      <c r="H337" s="232"/>
      <c r="L337" s="232"/>
    </row>
    <row r="338" spans="2:12" s="231" customFormat="1" ht="15.95" customHeight="1" x14ac:dyDescent="0.25">
      <c r="H338" s="232"/>
      <c r="L338" s="232"/>
    </row>
    <row r="339" spans="2:12" s="231" customFormat="1" ht="15.95" customHeight="1" x14ac:dyDescent="0.25">
      <c r="B339" s="131"/>
      <c r="C339" s="131"/>
      <c r="D339" s="131"/>
      <c r="E339" s="131"/>
      <c r="F339" s="131"/>
      <c r="G339" s="131"/>
      <c r="H339" s="154"/>
      <c r="I339" s="131"/>
      <c r="J339" s="131"/>
      <c r="K339" s="131"/>
      <c r="L339" s="154"/>
    </row>
  </sheetData>
  <mergeCells count="73">
    <mergeCell ref="B35:J35"/>
    <mergeCell ref="G31:H31"/>
    <mergeCell ref="I31:K31"/>
    <mergeCell ref="B33:L33"/>
    <mergeCell ref="B34:K34"/>
    <mergeCell ref="C31:D31"/>
    <mergeCell ref="I30:K30"/>
    <mergeCell ref="C27:D27"/>
    <mergeCell ref="C28:D28"/>
    <mergeCell ref="I29:K29"/>
    <mergeCell ref="B25:L25"/>
    <mergeCell ref="C26:L26"/>
    <mergeCell ref="G27:H27"/>
    <mergeCell ref="G28:H28"/>
    <mergeCell ref="G29:H29"/>
    <mergeCell ref="C29:D29"/>
    <mergeCell ref="I27:K27"/>
    <mergeCell ref="I28:K28"/>
    <mergeCell ref="G8:I8"/>
    <mergeCell ref="C30:D30"/>
    <mergeCell ref="G30:H30"/>
    <mergeCell ref="C9:L9"/>
    <mergeCell ref="C11:D11"/>
    <mergeCell ref="G11:I11"/>
    <mergeCell ref="C12:D12"/>
    <mergeCell ref="G12:I12"/>
    <mergeCell ref="C13:D13"/>
    <mergeCell ref="G13:I13"/>
    <mergeCell ref="C16:D16"/>
    <mergeCell ref="C14:D14"/>
    <mergeCell ref="G14:I14"/>
    <mergeCell ref="C15:D15"/>
    <mergeCell ref="G15:I15"/>
    <mergeCell ref="C20:D20"/>
    <mergeCell ref="B2:L2"/>
    <mergeCell ref="B3:L3"/>
    <mergeCell ref="B22:K22"/>
    <mergeCell ref="B23:K23"/>
    <mergeCell ref="B24:K24"/>
    <mergeCell ref="B5:D5"/>
    <mergeCell ref="B4:L4"/>
    <mergeCell ref="E7:E8"/>
    <mergeCell ref="F7:F8"/>
    <mergeCell ref="B6:L6"/>
    <mergeCell ref="B7:B8"/>
    <mergeCell ref="C7:D8"/>
    <mergeCell ref="G7:I7"/>
    <mergeCell ref="J7:J8"/>
    <mergeCell ref="K7:K8"/>
    <mergeCell ref="L7:L8"/>
    <mergeCell ref="B39:L39"/>
    <mergeCell ref="B40:L40"/>
    <mergeCell ref="B41:L41"/>
    <mergeCell ref="C10:L10"/>
    <mergeCell ref="C19:L19"/>
    <mergeCell ref="B32:K32"/>
    <mergeCell ref="G20:I20"/>
    <mergeCell ref="G16:I16"/>
    <mergeCell ref="C17:D17"/>
    <mergeCell ref="G17:I17"/>
    <mergeCell ref="C21:D21"/>
    <mergeCell ref="G21:I21"/>
    <mergeCell ref="C18:D18"/>
    <mergeCell ref="G18:I18"/>
    <mergeCell ref="B36:J36"/>
    <mergeCell ref="B37:K37"/>
    <mergeCell ref="J46:K46"/>
    <mergeCell ref="B43:L43"/>
    <mergeCell ref="B48:F48"/>
    <mergeCell ref="B46:F46"/>
    <mergeCell ref="C47:E47"/>
    <mergeCell ref="I47:K47"/>
    <mergeCell ref="I48:K4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scale="7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"/>
  <dimension ref="A1:I65"/>
  <sheetViews>
    <sheetView showGridLines="0" view="pageBreakPreview" topLeftCell="A40" zoomScaleNormal="100" zoomScaleSheetLayoutView="100" workbookViewId="0">
      <selection activeCell="B69" sqref="B69"/>
    </sheetView>
  </sheetViews>
  <sheetFormatPr baseColWidth="10" defaultColWidth="11.42578125" defaultRowHeight="12.75" x14ac:dyDescent="0.25"/>
  <cols>
    <col min="1" max="1" width="14.7109375" style="74" customWidth="1"/>
    <col min="2" max="2" width="64.28515625" style="4" customWidth="1"/>
    <col min="3" max="3" width="6.42578125" style="1" customWidth="1"/>
    <col min="4" max="4" width="8.28515625" style="1" bestFit="1" customWidth="1"/>
    <col min="5" max="5" width="15.5703125" style="2" bestFit="1" customWidth="1"/>
    <col min="6" max="6" width="19.28515625" style="2" bestFit="1" customWidth="1"/>
    <col min="7" max="8" width="16.7109375" style="1" bestFit="1" customWidth="1"/>
    <col min="9" max="16384" width="11.42578125" style="1"/>
  </cols>
  <sheetData>
    <row r="1" spans="1:9" ht="16.5" customHeight="1" x14ac:dyDescent="0.25">
      <c r="A1" s="348"/>
      <c r="B1" s="352" t="s">
        <v>793</v>
      </c>
      <c r="C1" s="352"/>
      <c r="D1" s="352"/>
      <c r="E1" s="352"/>
      <c r="F1" s="353"/>
    </row>
    <row r="2" spans="1:9" ht="16.5" customHeight="1" x14ac:dyDescent="0.25">
      <c r="A2" s="349"/>
      <c r="B2" s="354"/>
      <c r="C2" s="354"/>
      <c r="D2" s="354"/>
      <c r="E2" s="354"/>
      <c r="F2" s="355"/>
      <c r="I2" s="1">
        <v>10</v>
      </c>
    </row>
    <row r="3" spans="1:9" ht="16.5" customHeight="1" x14ac:dyDescent="0.25">
      <c r="A3" s="349"/>
      <c r="B3" s="354"/>
      <c r="C3" s="354"/>
      <c r="D3" s="354"/>
      <c r="E3" s="354"/>
      <c r="F3" s="355"/>
    </row>
    <row r="4" spans="1:9" ht="16.5" customHeight="1" x14ac:dyDescent="0.25">
      <c r="A4" s="349"/>
      <c r="B4" s="354"/>
      <c r="C4" s="354"/>
      <c r="D4" s="354"/>
      <c r="E4" s="354"/>
      <c r="F4" s="355"/>
    </row>
    <row r="5" spans="1:9" ht="16.5" customHeight="1" x14ac:dyDescent="0.25">
      <c r="A5" s="350"/>
      <c r="B5" s="356"/>
      <c r="C5" s="356"/>
      <c r="D5" s="356"/>
      <c r="E5" s="356"/>
      <c r="F5" s="357"/>
    </row>
    <row r="6" spans="1:9" x14ac:dyDescent="0.25">
      <c r="A6" s="347" t="s">
        <v>790</v>
      </c>
      <c r="B6" s="347"/>
      <c r="C6" s="347"/>
      <c r="D6" s="347"/>
      <c r="E6" s="347"/>
      <c r="F6" s="347"/>
    </row>
    <row r="7" spans="1:9" x14ac:dyDescent="0.25">
      <c r="A7" s="70" t="s">
        <v>288</v>
      </c>
      <c r="B7" s="11" t="s">
        <v>706</v>
      </c>
      <c r="C7" s="12" t="s">
        <v>31</v>
      </c>
      <c r="D7" s="12" t="s">
        <v>4</v>
      </c>
      <c r="E7" s="13" t="s">
        <v>5</v>
      </c>
      <c r="F7" s="13" t="s">
        <v>6</v>
      </c>
    </row>
    <row r="8" spans="1:9" s="5" customFormat="1" x14ac:dyDescent="0.25">
      <c r="A8" s="71" t="s">
        <v>289</v>
      </c>
      <c r="B8" s="17" t="s">
        <v>290</v>
      </c>
      <c r="C8" s="18"/>
      <c r="D8" s="18"/>
      <c r="E8" s="19"/>
      <c r="F8" s="20"/>
    </row>
    <row r="9" spans="1:9" x14ac:dyDescent="0.25">
      <c r="A9" s="90" t="s">
        <v>291</v>
      </c>
      <c r="B9" s="14" t="s">
        <v>292</v>
      </c>
      <c r="C9" s="15" t="s">
        <v>31</v>
      </c>
      <c r="D9" s="175">
        <f>ROUND(+VLOOKUP(A9,M.C.!$A$8:$J$438,$I$2,FALSE),2)</f>
        <v>1</v>
      </c>
      <c r="E9" s="16">
        <f>+'1.00'!F6</f>
        <v>5639155.9899999993</v>
      </c>
      <c r="F9" s="16">
        <f>+ROUND(E9*D9,2)</f>
        <v>5639155.9900000002</v>
      </c>
      <c r="G9" s="5"/>
    </row>
    <row r="10" spans="1:9" x14ac:dyDescent="0.25">
      <c r="A10" s="119" t="s">
        <v>293</v>
      </c>
      <c r="B10" s="9" t="s">
        <v>294</v>
      </c>
      <c r="C10" s="6" t="s">
        <v>12</v>
      </c>
      <c r="D10" s="175">
        <f>ROUND(+VLOOKUP(A10,M.C.!$A$8:$J$438,$I$2,FALSE),2)</f>
        <v>4314.07</v>
      </c>
      <c r="E10" s="76">
        <f>+'1.01'!F6</f>
        <v>3981.0699999999997</v>
      </c>
      <c r="F10" s="76">
        <f t="shared" ref="F10:F15" si="0">+ROUND(E10*D10,2)</f>
        <v>17174614.649999999</v>
      </c>
      <c r="G10" s="5"/>
    </row>
    <row r="11" spans="1:9" x14ac:dyDescent="0.25">
      <c r="A11" s="119" t="s">
        <v>295</v>
      </c>
      <c r="B11" s="9" t="s">
        <v>296</v>
      </c>
      <c r="C11" s="6" t="s">
        <v>12</v>
      </c>
      <c r="D11" s="175">
        <f>ROUND(+VLOOKUP(A11,M.C.!$A$8:$J$438,$I$2,FALSE),2)</f>
        <v>4314.07</v>
      </c>
      <c r="E11" s="76">
        <f>+'1.02'!F6</f>
        <v>6465.72</v>
      </c>
      <c r="F11" s="76">
        <f t="shared" si="0"/>
        <v>27893568.68</v>
      </c>
      <c r="G11" s="5"/>
    </row>
    <row r="12" spans="1:9" x14ac:dyDescent="0.25">
      <c r="A12" s="119" t="s">
        <v>297</v>
      </c>
      <c r="B12" s="9" t="s">
        <v>299</v>
      </c>
      <c r="C12" s="6" t="s">
        <v>27</v>
      </c>
      <c r="D12" s="175">
        <f>ROUND(+VLOOKUP(A12,M.C.!$A$8:$J$438,$I$2,FALSE),2)</f>
        <v>457.4</v>
      </c>
      <c r="E12" s="76">
        <f>+'1.03'!F6</f>
        <v>46751.85</v>
      </c>
      <c r="F12" s="76">
        <f t="shared" si="0"/>
        <v>21384296.190000001</v>
      </c>
    </row>
    <row r="13" spans="1:9" x14ac:dyDescent="0.25">
      <c r="A13" s="119" t="s">
        <v>298</v>
      </c>
      <c r="B13" s="9" t="s">
        <v>301</v>
      </c>
      <c r="C13" s="6" t="s">
        <v>31</v>
      </c>
      <c r="D13" s="175">
        <f>ROUND(+VLOOKUP(A13,M.C.!$A$8:$J$438,$I$2,FALSE),2)</f>
        <v>1</v>
      </c>
      <c r="E13" s="76">
        <f>+'1.04'!F6</f>
        <v>8000840.0300000003</v>
      </c>
      <c r="F13" s="76">
        <f t="shared" si="0"/>
        <v>8000840.0300000003</v>
      </c>
    </row>
    <row r="14" spans="1:9" x14ac:dyDescent="0.25">
      <c r="A14" s="119" t="s">
        <v>300</v>
      </c>
      <c r="B14" s="9" t="s">
        <v>303</v>
      </c>
      <c r="C14" s="6" t="s">
        <v>24</v>
      </c>
      <c r="D14" s="175">
        <f>ROUND(+VLOOKUP(A14,M.C.!$A$8:$J$438,$I$2,FALSE),2)</f>
        <v>585.16</v>
      </c>
      <c r="E14" s="76">
        <f>+'1.05'!F6</f>
        <v>28671.02</v>
      </c>
      <c r="F14" s="76">
        <f t="shared" si="0"/>
        <v>16777134.060000001</v>
      </c>
    </row>
    <row r="15" spans="1:9" x14ac:dyDescent="0.25">
      <c r="A15" s="119" t="s">
        <v>302</v>
      </c>
      <c r="B15" s="21" t="s">
        <v>304</v>
      </c>
      <c r="C15" s="22" t="s">
        <v>27</v>
      </c>
      <c r="D15" s="175">
        <f>ROUND(+VLOOKUP(A15,M.C.!$A$8:$J$438,$I$2,FALSE),2)</f>
        <v>32.700000000000003</v>
      </c>
      <c r="E15" s="76">
        <f>+'1.06'!F6</f>
        <v>155410.49</v>
      </c>
      <c r="F15" s="76">
        <f t="shared" si="0"/>
        <v>5081923.0199999996</v>
      </c>
    </row>
    <row r="16" spans="1:9" x14ac:dyDescent="0.25">
      <c r="A16" s="72"/>
      <c r="B16" s="29"/>
      <c r="C16" s="30"/>
      <c r="D16" s="31"/>
      <c r="E16" s="25" t="s">
        <v>305</v>
      </c>
      <c r="F16" s="23">
        <f>+SUM(F9:F15)</f>
        <v>101951532.62</v>
      </c>
    </row>
    <row r="17" spans="1:7" s="5" customFormat="1" x14ac:dyDescent="0.25">
      <c r="A17" s="73" t="s">
        <v>306</v>
      </c>
      <c r="B17" s="26" t="s">
        <v>307</v>
      </c>
      <c r="C17" s="27"/>
      <c r="D17" s="27"/>
      <c r="E17" s="18"/>
      <c r="F17" s="24"/>
    </row>
    <row r="18" spans="1:7" x14ac:dyDescent="0.25">
      <c r="A18" s="119" t="s">
        <v>308</v>
      </c>
      <c r="B18" s="9" t="s">
        <v>311</v>
      </c>
      <c r="C18" s="6" t="s">
        <v>27</v>
      </c>
      <c r="D18" s="175">
        <f>ROUND(+VLOOKUP(A18,M.C.!$A$8:$J$438,$I$2,FALSE),2)</f>
        <v>9401</v>
      </c>
      <c r="E18" s="76">
        <f>+'2.01'!F23</f>
        <v>44810.13</v>
      </c>
      <c r="F18" s="76">
        <f>+ROUND(E18*D18,2)</f>
        <v>421260032.13</v>
      </c>
    </row>
    <row r="19" spans="1:7" x14ac:dyDescent="0.25">
      <c r="A19" s="119" t="s">
        <v>309</v>
      </c>
      <c r="B19" s="9" t="s">
        <v>314</v>
      </c>
      <c r="C19" s="6" t="s">
        <v>27</v>
      </c>
      <c r="D19" s="175">
        <f>ROUND(+VLOOKUP(A19,M.C.!$A$8:$J$438,$I$2,FALSE),2)</f>
        <v>940.1</v>
      </c>
      <c r="E19" s="76">
        <f>+'2.02'!F6</f>
        <v>13773.95</v>
      </c>
      <c r="F19" s="76">
        <f t="shared" ref="F19:F21" si="1">+ROUND(E19*D19,2)</f>
        <v>12948890.4</v>
      </c>
    </row>
    <row r="20" spans="1:7" x14ac:dyDescent="0.25">
      <c r="A20" s="119" t="s">
        <v>310</v>
      </c>
      <c r="B20" s="9" t="s">
        <v>316</v>
      </c>
      <c r="C20" s="6" t="s">
        <v>27</v>
      </c>
      <c r="D20" s="175">
        <f>ROUND(+VLOOKUP(A20,M.C.!$A$8:$J$438,$I$2,FALSE),2)</f>
        <v>148.47</v>
      </c>
      <c r="E20" s="76">
        <f>+'2.03'!F6</f>
        <v>263920.99</v>
      </c>
      <c r="F20" s="76">
        <f t="shared" si="1"/>
        <v>39184349.390000001</v>
      </c>
    </row>
    <row r="21" spans="1:7" ht="25.5" x14ac:dyDescent="0.25">
      <c r="A21" s="119" t="s">
        <v>312</v>
      </c>
      <c r="B21" s="9" t="s">
        <v>317</v>
      </c>
      <c r="C21" s="6" t="s">
        <v>27</v>
      </c>
      <c r="D21" s="175">
        <f>ROUND(+VLOOKUP(A21,M.C.!$A$8:$J$438,$I$2,FALSE),2)</f>
        <v>7520.8</v>
      </c>
      <c r="E21" s="7">
        <f>+'2.04'!F6</f>
        <v>52157.850000000006</v>
      </c>
      <c r="F21" s="7">
        <f t="shared" si="1"/>
        <v>392268758.27999997</v>
      </c>
    </row>
    <row r="22" spans="1:7" x14ac:dyDescent="0.25">
      <c r="A22" s="72"/>
      <c r="B22" s="29"/>
      <c r="C22" s="30"/>
      <c r="D22" s="31"/>
      <c r="E22" s="25" t="s">
        <v>305</v>
      </c>
      <c r="F22" s="23">
        <f>+SUM(F18:F21)</f>
        <v>865662030.19999993</v>
      </c>
    </row>
    <row r="23" spans="1:7" s="5" customFormat="1" x14ac:dyDescent="0.25">
      <c r="A23" s="73" t="s">
        <v>323</v>
      </c>
      <c r="B23" s="26" t="s">
        <v>324</v>
      </c>
      <c r="C23" s="27"/>
      <c r="D23" s="27"/>
      <c r="E23" s="18"/>
      <c r="F23" s="24"/>
      <c r="G23" s="92"/>
    </row>
    <row r="24" spans="1:7" x14ac:dyDescent="0.25">
      <c r="A24" s="119" t="s">
        <v>325</v>
      </c>
      <c r="B24" s="9" t="s">
        <v>329</v>
      </c>
      <c r="C24" s="6" t="s">
        <v>12</v>
      </c>
      <c r="D24" s="15">
        <f>+VLOOKUP(A24,M.C.!$A$8:$J$438,$I$2,FALSE)</f>
        <v>4353.3249999999998</v>
      </c>
      <c r="E24" s="76">
        <f>+'3.01'!F6</f>
        <v>424596.57</v>
      </c>
      <c r="F24" s="76">
        <f t="shared" ref="F24:F27" si="2">+ROUND(E24*D24,2)</f>
        <v>1848406863.0999999</v>
      </c>
    </row>
    <row r="25" spans="1:7" x14ac:dyDescent="0.25">
      <c r="A25" s="90" t="s">
        <v>326</v>
      </c>
      <c r="B25" s="9" t="s">
        <v>331</v>
      </c>
      <c r="C25" s="6" t="s">
        <v>27</v>
      </c>
      <c r="D25" s="15">
        <f>+VLOOKUP(A25,M.C.!$A$8:$J$438,$I$2,FALSE)</f>
        <v>642.20000000000005</v>
      </c>
      <c r="E25" s="76">
        <f>+'3.02'!F6</f>
        <v>1299801.94</v>
      </c>
      <c r="F25" s="76">
        <f t="shared" si="2"/>
        <v>834732805.87</v>
      </c>
    </row>
    <row r="26" spans="1:7" x14ac:dyDescent="0.25">
      <c r="A26" s="90" t="s">
        <v>327</v>
      </c>
      <c r="B26" s="9" t="s">
        <v>782</v>
      </c>
      <c r="C26" s="6" t="s">
        <v>24</v>
      </c>
      <c r="D26" s="15">
        <f>+VLOOKUP(A26,M.C.!$A$8:$J$438,$I$2,FALSE)</f>
        <v>330</v>
      </c>
      <c r="E26" s="76">
        <f>+'3.03'!F6</f>
        <v>768364.21</v>
      </c>
      <c r="F26" s="76">
        <f t="shared" si="2"/>
        <v>253560189.30000001</v>
      </c>
    </row>
    <row r="27" spans="1:7" ht="19.5" customHeight="1" x14ac:dyDescent="0.25">
      <c r="A27" s="90" t="s">
        <v>328</v>
      </c>
      <c r="B27" s="9" t="s">
        <v>333</v>
      </c>
      <c r="C27" s="6" t="s">
        <v>27</v>
      </c>
      <c r="D27" s="15">
        <f>+VLOOKUP(A27,M.C.!$A$8:$J$438,$I$2,FALSE)</f>
        <v>148.47299999999998</v>
      </c>
      <c r="E27" s="76">
        <f>+'3.04'!F6</f>
        <v>825784.23</v>
      </c>
      <c r="F27" s="76">
        <f t="shared" si="2"/>
        <v>122606661.98</v>
      </c>
    </row>
    <row r="28" spans="1:7" x14ac:dyDescent="0.25">
      <c r="A28" s="72"/>
      <c r="B28" s="29"/>
      <c r="C28" s="30"/>
      <c r="D28" s="31"/>
      <c r="E28" s="25" t="s">
        <v>305</v>
      </c>
      <c r="F28" s="23">
        <f>+SUM(F24:F27)</f>
        <v>3059306520.25</v>
      </c>
    </row>
    <row r="29" spans="1:7" s="5" customFormat="1" x14ac:dyDescent="0.25">
      <c r="A29" s="73" t="s">
        <v>336</v>
      </c>
      <c r="B29" s="183" t="s">
        <v>337</v>
      </c>
      <c r="C29" s="27"/>
      <c r="D29" s="27"/>
      <c r="E29" s="19"/>
      <c r="F29" s="20"/>
    </row>
    <row r="30" spans="1:7" x14ac:dyDescent="0.25">
      <c r="A30" s="119" t="s">
        <v>338</v>
      </c>
      <c r="B30" s="14" t="s">
        <v>339</v>
      </c>
      <c r="C30" s="15" t="s">
        <v>9</v>
      </c>
      <c r="D30" s="174">
        <f>+VLOOKUP(A30,M.C.!$A$8:$J$438,$I$2,FALSE)</f>
        <v>10641.526000000002</v>
      </c>
      <c r="E30" s="120">
        <f>+'4.01'!F6</f>
        <v>9335.64</v>
      </c>
      <c r="F30" s="120">
        <f t="shared" ref="F30:F36" si="3">+ROUND(E30*D30,2)</f>
        <v>99345455.790000007</v>
      </c>
    </row>
    <row r="31" spans="1:7" x14ac:dyDescent="0.25">
      <c r="A31" s="119" t="s">
        <v>340</v>
      </c>
      <c r="B31" s="9" t="s">
        <v>341</v>
      </c>
      <c r="C31" s="6" t="s">
        <v>24</v>
      </c>
      <c r="D31" s="174">
        <f>+VLOOKUP(A31,M.C.!$A$8:$J$438,$I$2,FALSE)</f>
        <v>18330</v>
      </c>
      <c r="E31" s="76">
        <f>+'4.02'!F25</f>
        <v>122879.38</v>
      </c>
      <c r="F31" s="76">
        <f t="shared" si="3"/>
        <v>2252379035.4000001</v>
      </c>
    </row>
    <row r="32" spans="1:7" x14ac:dyDescent="0.25">
      <c r="A32" s="119" t="s">
        <v>342</v>
      </c>
      <c r="B32" s="9" t="s">
        <v>707</v>
      </c>
      <c r="C32" s="6" t="s">
        <v>31</v>
      </c>
      <c r="D32" s="174">
        <f>+VLOOKUP(A32,M.C.!$A$8:$J$438,$I$2,FALSE)</f>
        <v>611</v>
      </c>
      <c r="E32" s="76">
        <f>+'4.03'!F6</f>
        <v>205531.75</v>
      </c>
      <c r="F32" s="76">
        <f t="shared" si="3"/>
        <v>125579899.25</v>
      </c>
    </row>
    <row r="33" spans="1:6" x14ac:dyDescent="0.25">
      <c r="A33" s="119" t="s">
        <v>343</v>
      </c>
      <c r="B33" s="9" t="s">
        <v>344</v>
      </c>
      <c r="C33" s="6" t="s">
        <v>12</v>
      </c>
      <c r="D33" s="174">
        <f>+VLOOKUP(A33,M.C.!$A$8:$J$438,$I$2,FALSE)</f>
        <v>4353.3249999999998</v>
      </c>
      <c r="E33" s="76">
        <f>+'4.04'!F6</f>
        <v>26147.75</v>
      </c>
      <c r="F33" s="76">
        <f t="shared" si="3"/>
        <v>113829653.77</v>
      </c>
    </row>
    <row r="34" spans="1:6" x14ac:dyDescent="0.25">
      <c r="A34" s="119" t="s">
        <v>345</v>
      </c>
      <c r="B34" s="9" t="s">
        <v>549</v>
      </c>
      <c r="C34" s="6" t="s">
        <v>31</v>
      </c>
      <c r="D34" s="174">
        <f>+VLOOKUP(A34,M.C.!$A$8:$J$438,$I$2,FALSE)</f>
        <v>611</v>
      </c>
      <c r="E34" s="76">
        <f>+'4.05'!F6</f>
        <v>114522.59000000001</v>
      </c>
      <c r="F34" s="76">
        <f t="shared" si="3"/>
        <v>69973302.489999995</v>
      </c>
    </row>
    <row r="35" spans="1:6" x14ac:dyDescent="0.25">
      <c r="A35" s="119" t="s">
        <v>346</v>
      </c>
      <c r="B35" s="9" t="s">
        <v>779</v>
      </c>
      <c r="C35" s="6" t="s">
        <v>31</v>
      </c>
      <c r="D35" s="174">
        <f>+VLOOKUP(A35,M.C.!$A$8:$J$438,$I$2,FALSE)</f>
        <v>1833</v>
      </c>
      <c r="E35" s="76">
        <f>+'4.06'!F6</f>
        <v>27794.850000000002</v>
      </c>
      <c r="F35" s="76">
        <f t="shared" si="3"/>
        <v>50947960.049999997</v>
      </c>
    </row>
    <row r="36" spans="1:6" x14ac:dyDescent="0.25">
      <c r="A36" s="119" t="s">
        <v>348</v>
      </c>
      <c r="B36" s="21" t="s">
        <v>347</v>
      </c>
      <c r="C36" s="22" t="s">
        <v>31</v>
      </c>
      <c r="D36" s="174">
        <f>+VLOOKUP(A36,M.C.!$A$8:$J$438,$I$2,FALSE)</f>
        <v>611</v>
      </c>
      <c r="E36" s="76">
        <f>+'4,07'!F6</f>
        <v>131589.69</v>
      </c>
      <c r="F36" s="76">
        <f t="shared" si="3"/>
        <v>80401300.590000004</v>
      </c>
    </row>
    <row r="37" spans="1:6" x14ac:dyDescent="0.25">
      <c r="A37" s="72"/>
      <c r="B37" s="29"/>
      <c r="C37" s="30"/>
      <c r="D37" s="31"/>
      <c r="E37" s="121" t="s">
        <v>305</v>
      </c>
      <c r="F37" s="122">
        <f>+SUM(F30:F36)</f>
        <v>2792456607.3400002</v>
      </c>
    </row>
    <row r="38" spans="1:6" s="5" customFormat="1" x14ac:dyDescent="0.25">
      <c r="A38" s="73" t="s">
        <v>349</v>
      </c>
      <c r="B38" s="26" t="s">
        <v>350</v>
      </c>
      <c r="C38" s="27"/>
      <c r="D38" s="27"/>
      <c r="E38" s="19"/>
      <c r="F38" s="20"/>
    </row>
    <row r="39" spans="1:6" ht="25.5" x14ac:dyDescent="0.25">
      <c r="A39" s="119" t="s">
        <v>351</v>
      </c>
      <c r="B39" s="14" t="s">
        <v>551</v>
      </c>
      <c r="C39" s="15" t="s">
        <v>24</v>
      </c>
      <c r="D39" s="15">
        <f>+VLOOKUP(A39,M.C.!$A$8:$J$438,$I$2,FALSE)</f>
        <v>4040</v>
      </c>
      <c r="E39" s="120">
        <f>+'5.01'!F6</f>
        <v>375363.19</v>
      </c>
      <c r="F39" s="120">
        <f t="shared" ref="F39:F41" si="4">+ROUND(E39*D39,2)</f>
        <v>1516467287.5999999</v>
      </c>
    </row>
    <row r="40" spans="1:6" ht="25.5" x14ac:dyDescent="0.25">
      <c r="A40" s="119" t="s">
        <v>352</v>
      </c>
      <c r="B40" s="9" t="s">
        <v>552</v>
      </c>
      <c r="C40" s="6" t="s">
        <v>24</v>
      </c>
      <c r="D40" s="15">
        <f>+VLOOKUP(A40,M.C.!$A$8:$J$438,$I$2,FALSE)</f>
        <v>1010</v>
      </c>
      <c r="E40" s="76">
        <f>+'5.02'!F6</f>
        <v>418278.33</v>
      </c>
      <c r="F40" s="76">
        <f t="shared" si="4"/>
        <v>422461113.30000001</v>
      </c>
    </row>
    <row r="41" spans="1:6" x14ac:dyDescent="0.25">
      <c r="A41" s="119" t="s">
        <v>353</v>
      </c>
      <c r="B41" s="9" t="s">
        <v>354</v>
      </c>
      <c r="C41" s="6" t="s">
        <v>24</v>
      </c>
      <c r="D41" s="15">
        <f>+VLOOKUP(A41,M.C.!$A$8:$J$438,$I$2,FALSE)</f>
        <v>21760</v>
      </c>
      <c r="E41" s="76">
        <f>+'5.03'!F6</f>
        <v>194356.46</v>
      </c>
      <c r="F41" s="76">
        <f t="shared" si="4"/>
        <v>4229196569.5999999</v>
      </c>
    </row>
    <row r="42" spans="1:6" x14ac:dyDescent="0.25">
      <c r="A42" s="72"/>
      <c r="B42" s="29"/>
      <c r="C42" s="30"/>
      <c r="D42" s="31"/>
      <c r="E42" s="25" t="s">
        <v>305</v>
      </c>
      <c r="F42" s="23">
        <f>+SUM(F39:F41)</f>
        <v>6168124970.5</v>
      </c>
    </row>
    <row r="43" spans="1:6" s="5" customFormat="1" x14ac:dyDescent="0.25">
      <c r="A43" s="73" t="s">
        <v>360</v>
      </c>
      <c r="B43" s="26" t="s">
        <v>361</v>
      </c>
      <c r="C43" s="27"/>
      <c r="D43" s="27"/>
      <c r="E43" s="19"/>
      <c r="F43" s="20"/>
    </row>
    <row r="44" spans="1:6" x14ac:dyDescent="0.25">
      <c r="A44" s="90" t="s">
        <v>362</v>
      </c>
      <c r="B44" s="14" t="s">
        <v>363</v>
      </c>
      <c r="C44" s="15" t="s">
        <v>24</v>
      </c>
      <c r="D44" s="15">
        <f>+VLOOKUP(A44,M.C.!$A$8:$J$438,$I$2,FALSE)</f>
        <v>11140</v>
      </c>
      <c r="E44" s="16">
        <f>+'6.01'!F6</f>
        <v>392902.98000000004</v>
      </c>
      <c r="F44" s="16">
        <f t="shared" ref="F44:F45" si="5">+ROUND(E44*D44,2)</f>
        <v>4376939197.1999998</v>
      </c>
    </row>
    <row r="45" spans="1:6" x14ac:dyDescent="0.25">
      <c r="A45" s="90" t="s">
        <v>364</v>
      </c>
      <c r="B45" s="9" t="s">
        <v>365</v>
      </c>
      <c r="C45" s="6" t="s">
        <v>24</v>
      </c>
      <c r="D45" s="15">
        <f>+VLOOKUP(A45,M.C.!$A$8:$J$438,$I$2,FALSE)</f>
        <v>5570</v>
      </c>
      <c r="E45" s="7">
        <f>+'6.02'!F6</f>
        <v>422221.22</v>
      </c>
      <c r="F45" s="7">
        <f t="shared" si="5"/>
        <v>2351772195.4000001</v>
      </c>
    </row>
    <row r="46" spans="1:6" x14ac:dyDescent="0.25">
      <c r="A46" s="72"/>
      <c r="B46" s="29"/>
      <c r="C46" s="30"/>
      <c r="D46" s="31"/>
      <c r="E46" s="25" t="s">
        <v>305</v>
      </c>
      <c r="F46" s="23">
        <f>+SUM(F44:F45)</f>
        <v>6728711392.6000004</v>
      </c>
    </row>
    <row r="47" spans="1:6" s="5" customFormat="1" x14ac:dyDescent="0.25">
      <c r="A47" s="73" t="s">
        <v>366</v>
      </c>
      <c r="B47" s="26" t="s">
        <v>367</v>
      </c>
      <c r="C47" s="27"/>
      <c r="D47" s="27"/>
      <c r="E47" s="19"/>
      <c r="F47" s="20"/>
    </row>
    <row r="48" spans="1:6" x14ac:dyDescent="0.25">
      <c r="A48" s="119" t="s">
        <v>368</v>
      </c>
      <c r="B48" s="14" t="s">
        <v>780</v>
      </c>
      <c r="C48" s="15" t="s">
        <v>24</v>
      </c>
      <c r="D48" s="15">
        <f>+VLOOKUP(A48,M.C.!$A$8:$J$438,$I$2,FALSE)</f>
        <v>542.1</v>
      </c>
      <c r="E48" s="120">
        <f>+'7.01'!F6</f>
        <v>487280.93</v>
      </c>
      <c r="F48" s="120">
        <f t="shared" ref="F48:F51" si="6">+ROUND(E48*D48,2)</f>
        <v>264154992.15000001</v>
      </c>
    </row>
    <row r="49" spans="1:8" x14ac:dyDescent="0.25">
      <c r="A49" s="119" t="s">
        <v>369</v>
      </c>
      <c r="B49" s="9" t="s">
        <v>490</v>
      </c>
      <c r="C49" s="6" t="s">
        <v>24</v>
      </c>
      <c r="D49" s="15">
        <f>+VLOOKUP(A49,M.C.!$A$8:$J$438,$I$2,FALSE)</f>
        <v>542.1</v>
      </c>
      <c r="E49" s="76">
        <f>+'7.02'!F6</f>
        <v>211580.14</v>
      </c>
      <c r="F49" s="76">
        <f t="shared" si="6"/>
        <v>114697593.89</v>
      </c>
    </row>
    <row r="50" spans="1:8" x14ac:dyDescent="0.25">
      <c r="A50" s="119" t="s">
        <v>370</v>
      </c>
      <c r="B50" s="9" t="s">
        <v>373</v>
      </c>
      <c r="C50" s="6" t="s">
        <v>12</v>
      </c>
      <c r="D50" s="15">
        <f>+VLOOKUP(A50,M.C.!$A$8:$J$438,$I$2,FALSE)</f>
        <v>4314.07</v>
      </c>
      <c r="E50" s="76">
        <f>+'7.03'!F6</f>
        <v>1922.61</v>
      </c>
      <c r="F50" s="76">
        <f t="shared" si="6"/>
        <v>8294274.1200000001</v>
      </c>
    </row>
    <row r="51" spans="1:8" x14ac:dyDescent="0.25">
      <c r="A51" s="119" t="s">
        <v>371</v>
      </c>
      <c r="B51" s="9" t="s">
        <v>709</v>
      </c>
      <c r="C51" s="6" t="s">
        <v>24</v>
      </c>
      <c r="D51" s="15">
        <f>+VLOOKUP(A51,M.C.!$A$8:$J$438,$I$2,FALSE)</f>
        <v>160.13999999999999</v>
      </c>
      <c r="E51" s="76">
        <f>+'7.04'!F6</f>
        <v>2357297.23</v>
      </c>
      <c r="F51" s="76">
        <f t="shared" si="6"/>
        <v>377497578.41000003</v>
      </c>
    </row>
    <row r="52" spans="1:8" x14ac:dyDescent="0.25">
      <c r="A52" s="72"/>
      <c r="B52" s="29"/>
      <c r="C52" s="30"/>
      <c r="D52" s="31"/>
      <c r="E52" s="25" t="s">
        <v>305</v>
      </c>
      <c r="F52" s="23">
        <f>+SUM(F48:F51)</f>
        <v>764644438.57000005</v>
      </c>
    </row>
    <row r="53" spans="1:8" ht="19.5" customHeight="1" x14ac:dyDescent="0.25">
      <c r="A53" s="351" t="s">
        <v>410</v>
      </c>
      <c r="B53" s="351"/>
      <c r="C53" s="351"/>
      <c r="D53" s="351"/>
      <c r="E53" s="351"/>
      <c r="F53" s="8">
        <f>+ROUND(+F52+F46+F42+F37+F28+F22+F16,2)</f>
        <v>20480857492.080002</v>
      </c>
      <c r="H53" s="32">
        <v>20480857492.080002</v>
      </c>
    </row>
    <row r="54" spans="1:8" ht="14.25" customHeight="1" x14ac:dyDescent="0.25">
      <c r="A54" s="359" t="s">
        <v>411</v>
      </c>
      <c r="B54" s="359"/>
      <c r="C54" s="359"/>
      <c r="D54" s="359"/>
      <c r="E54" s="91">
        <v>0.3</v>
      </c>
      <c r="F54" s="7">
        <f>+ROUND(F$53*$E54,2)</f>
        <v>6144257247.6199999</v>
      </c>
    </row>
    <row r="55" spans="1:8" ht="14.25" customHeight="1" x14ac:dyDescent="0.25">
      <c r="A55" s="359" t="s">
        <v>412</v>
      </c>
      <c r="B55" s="359"/>
      <c r="C55" s="359"/>
      <c r="D55" s="359"/>
      <c r="E55" s="91">
        <v>0.05</v>
      </c>
      <c r="F55" s="7">
        <f t="shared" ref="F55" si="7">+ROUND(F$53*$E55,2)</f>
        <v>1024042874.6</v>
      </c>
    </row>
    <row r="56" spans="1:8" s="149" customFormat="1" ht="16.5" customHeight="1" x14ac:dyDescent="0.25">
      <c r="A56" s="358" t="s">
        <v>796</v>
      </c>
      <c r="B56" s="358"/>
      <c r="C56" s="358"/>
      <c r="D56" s="358"/>
      <c r="E56" s="358"/>
      <c r="F56" s="150">
        <f>+ROUND(SUM(F53+F54+F55),2)</f>
        <v>27649157614.299999</v>
      </c>
    </row>
    <row r="57" spans="1:8" s="149" customFormat="1" ht="16.5" customHeight="1" x14ac:dyDescent="0.25">
      <c r="A57" s="363" t="s">
        <v>799</v>
      </c>
      <c r="B57" s="364"/>
      <c r="C57" s="364"/>
      <c r="D57" s="364"/>
      <c r="E57" s="365"/>
      <c r="F57" s="150">
        <f>LIN.AMB!F15</f>
        <v>25769432.402999997</v>
      </c>
      <c r="G57" s="195"/>
      <c r="H57" s="195"/>
    </row>
    <row r="58" spans="1:8" s="149" customFormat="1" ht="16.5" customHeight="1" x14ac:dyDescent="0.25">
      <c r="A58" s="366" t="s">
        <v>800</v>
      </c>
      <c r="B58" s="367"/>
      <c r="C58" s="367"/>
      <c r="D58" s="367"/>
      <c r="E58" s="368"/>
      <c r="F58" s="150">
        <f>PMT!F29</f>
        <v>38205242.399999999</v>
      </c>
      <c r="G58" s="195"/>
      <c r="H58" s="195"/>
    </row>
    <row r="59" spans="1:8" s="149" customFormat="1" ht="16.5" customHeight="1" x14ac:dyDescent="0.25">
      <c r="A59" s="360" t="s">
        <v>789</v>
      </c>
      <c r="B59" s="361"/>
      <c r="C59" s="361"/>
      <c r="D59" s="361"/>
      <c r="E59" s="362"/>
      <c r="F59" s="150">
        <v>180000000</v>
      </c>
    </row>
    <row r="60" spans="1:8" s="149" customFormat="1" ht="16.5" customHeight="1" x14ac:dyDescent="0.25">
      <c r="A60" s="358" t="s">
        <v>795</v>
      </c>
      <c r="B60" s="358"/>
      <c r="C60" s="358"/>
      <c r="D60" s="358"/>
      <c r="E60" s="358"/>
      <c r="F60" s="150">
        <f>F56+F57+F58+F59</f>
        <v>27893132289.103001</v>
      </c>
    </row>
    <row r="61" spans="1:8" s="149" customFormat="1" ht="16.5" customHeight="1" x14ac:dyDescent="0.25">
      <c r="A61" s="358" t="s">
        <v>787</v>
      </c>
      <c r="B61" s="358"/>
      <c r="C61" s="358"/>
      <c r="D61" s="358"/>
      <c r="E61" s="358"/>
      <c r="F61" s="150">
        <f>+'OFERTA ECONOMICA'!L37</f>
        <v>0</v>
      </c>
      <c r="H61" s="195"/>
    </row>
    <row r="62" spans="1:8" s="149" customFormat="1" ht="16.5" customHeight="1" x14ac:dyDescent="0.25">
      <c r="A62" s="358" t="s">
        <v>788</v>
      </c>
      <c r="B62" s="358"/>
      <c r="C62" s="358"/>
      <c r="D62" s="358"/>
      <c r="E62" s="358"/>
      <c r="F62" s="150">
        <f>+F56+F61+F59+F57+F58</f>
        <v>27893132289.103001</v>
      </c>
      <c r="G62" s="187"/>
    </row>
    <row r="63" spans="1:8" x14ac:dyDescent="0.25">
      <c r="H63" s="32"/>
    </row>
    <row r="64" spans="1:8" x14ac:dyDescent="0.25">
      <c r="F64" s="2">
        <v>29437439079.25</v>
      </c>
      <c r="H64" s="2">
        <f>F62-F64</f>
        <v>-1544306790.1469994</v>
      </c>
    </row>
    <row r="65" spans="6:6" x14ac:dyDescent="0.25">
      <c r="F65" s="177"/>
    </row>
  </sheetData>
  <mergeCells count="13">
    <mergeCell ref="A62:E62"/>
    <mergeCell ref="A56:E56"/>
    <mergeCell ref="A54:D54"/>
    <mergeCell ref="A55:D55"/>
    <mergeCell ref="A59:E59"/>
    <mergeCell ref="A60:E60"/>
    <mergeCell ref="A57:E57"/>
    <mergeCell ref="A58:E58"/>
    <mergeCell ref="A6:F6"/>
    <mergeCell ref="A1:A5"/>
    <mergeCell ref="A53:E53"/>
    <mergeCell ref="B1:F5"/>
    <mergeCell ref="A61:E61"/>
  </mergeCells>
  <hyperlinks>
    <hyperlink ref="A30" location="'4.01'!A1" display="4.01" xr:uid="{00000000-0004-0000-0400-000000000000}"/>
    <hyperlink ref="A39" location="'5.01'!A1" display="5.01" xr:uid="{00000000-0004-0000-0400-000001000000}"/>
    <hyperlink ref="A48" location="'7.01'!A1" display="7.01" xr:uid="{00000000-0004-0000-0400-000002000000}"/>
    <hyperlink ref="A9" location="'1.00'!A1" display="1.00" xr:uid="{00000000-0004-0000-0400-000004000000}"/>
    <hyperlink ref="A10" location="'1.01'!A1" display="1.01" xr:uid="{00000000-0004-0000-0400-000005000000}"/>
    <hyperlink ref="A11" location="'1.02'!A1" display="1.02" xr:uid="{00000000-0004-0000-0400-000006000000}"/>
    <hyperlink ref="A31" location="'4.02'!A1" display="4.02" xr:uid="{00000000-0004-0000-0400-000007000000}"/>
    <hyperlink ref="A32" location="'4.03'!A1" display="4.03" xr:uid="{00000000-0004-0000-0400-000008000000}"/>
    <hyperlink ref="A40" location="'5.02'!A1" display="5.02" xr:uid="{00000000-0004-0000-0400-000009000000}"/>
    <hyperlink ref="A41" location="'5.03'!A1" display="5.03" xr:uid="{00000000-0004-0000-0400-00000A000000}"/>
    <hyperlink ref="A49" location="'7.03'!A1" display="7.03" xr:uid="{00000000-0004-0000-0400-00000B000000}"/>
    <hyperlink ref="A50" location="'7.06'!A1" display="7.06" xr:uid="{00000000-0004-0000-0400-00000C000000}"/>
    <hyperlink ref="A51" location="'7.17'!A1" display="7.17" xr:uid="{00000000-0004-0000-0400-00000D000000}"/>
    <hyperlink ref="A12" location="'1.01'!A1" display="1.01" xr:uid="{00000000-0004-0000-0400-00000F000000}"/>
    <hyperlink ref="A14" location="'1.01'!A1" display="1.01" xr:uid="{00000000-0004-0000-0400-000010000000}"/>
    <hyperlink ref="A13" location="'1.02'!A1" display="1.02" xr:uid="{00000000-0004-0000-0400-000011000000}"/>
    <hyperlink ref="A15" location="'1.02'!A1" display="1.02" xr:uid="{00000000-0004-0000-0400-000012000000}"/>
    <hyperlink ref="A19" location="'2.06'!A1" display="2.06" xr:uid="{00000000-0004-0000-0400-000013000000}"/>
    <hyperlink ref="A26" location="'3.02'!A1" display="3.02" xr:uid="{00000000-0004-0000-0400-000014000000}"/>
    <hyperlink ref="A27" location="'3.03'!A1" display="3.03" xr:uid="{00000000-0004-0000-0400-000015000000}"/>
    <hyperlink ref="A18" location="'2.03'!A1" display="2.03" xr:uid="{00000000-0004-0000-0400-000016000000}"/>
    <hyperlink ref="A33" location="'4.02'!A1" display="4.02" xr:uid="{00000000-0004-0000-0400-000017000000}"/>
    <hyperlink ref="A35" location="'4.02'!A1" display="4.02" xr:uid="{00000000-0004-0000-0400-000018000000}"/>
    <hyperlink ref="A36" location="'4.03'!A1" display="4.03" xr:uid="{00000000-0004-0000-0400-000019000000}"/>
    <hyperlink ref="A34" location="'4.03'!A1" display="4.03" xr:uid="{00000000-0004-0000-0400-00001A000000}"/>
  </hyperlinks>
  <printOptions horizontalCentered="1"/>
  <pageMargins left="0.19685039370078741" right="0.19685039370078741" top="0.19685039370078741" bottom="0.19685039370078741" header="0.31496062992125984" footer="0.31496062992125984"/>
  <pageSetup scale="75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>
    <pageSetUpPr fitToPage="1"/>
  </sheetPr>
  <dimension ref="A2:M462"/>
  <sheetViews>
    <sheetView showGridLines="0" view="pageBreakPreview" zoomScaleNormal="100" zoomScaleSheetLayoutView="100" workbookViewId="0">
      <selection activeCell="K6" sqref="K6"/>
    </sheetView>
  </sheetViews>
  <sheetFormatPr baseColWidth="10" defaultColWidth="11.42578125" defaultRowHeight="12.75" x14ac:dyDescent="0.25"/>
  <cols>
    <col min="1" max="1" width="17.140625" style="80" customWidth="1"/>
    <col min="2" max="2" width="36.28515625" style="80" customWidth="1"/>
    <col min="3" max="3" width="8.28515625" style="1" bestFit="1" customWidth="1"/>
    <col min="4" max="4" width="8.7109375" style="1" bestFit="1" customWidth="1"/>
    <col min="5" max="6" width="7.85546875" style="1" customWidth="1"/>
    <col min="7" max="7" width="13" style="1" customWidth="1"/>
    <col min="8" max="8" width="9.28515625" style="1" customWidth="1"/>
    <col min="9" max="9" width="13.140625" style="1" customWidth="1"/>
    <col min="10" max="10" width="11.42578125" style="1"/>
    <col min="11" max="11" width="51.28515625" style="1" customWidth="1"/>
    <col min="12" max="12" width="11.42578125" style="1"/>
    <col min="13" max="13" width="14.140625" style="1" bestFit="1" customWidth="1"/>
    <col min="14" max="16384" width="11.42578125" style="1"/>
  </cols>
  <sheetData>
    <row r="2" spans="1:11" ht="58.5" customHeight="1" x14ac:dyDescent="0.25">
      <c r="A2" s="379"/>
      <c r="B2" s="384" t="str">
        <f>+PPTO!B1</f>
        <v>CONSTRUCCIÓN DE OBRAS DE MITIGACIÓN DEL BARRIO LA FERIA, ASENTAMIENTO CAMILO TORRES Y CUYANITA ETAPA 1.  UBICADOS EN LA COMUNA 4 DEL MUNICIPIO DE BUCARAMANGA, SANTANDER</v>
      </c>
      <c r="C2" s="385"/>
      <c r="D2" s="385"/>
      <c r="E2" s="385"/>
      <c r="F2" s="385"/>
      <c r="G2" s="385"/>
      <c r="H2" s="385"/>
      <c r="I2" s="385"/>
      <c r="J2" s="386"/>
      <c r="K2" s="375"/>
    </row>
    <row r="3" spans="1:11" ht="27.75" customHeight="1" x14ac:dyDescent="0.25">
      <c r="A3" s="380"/>
      <c r="B3" s="381" t="str">
        <f>+CONCATENATE("MEMORIA DE CALCULO ",PPTO!A6)</f>
        <v>MEMORIA DE CALCULO PRESUPUESTO OFICIAL</v>
      </c>
      <c r="C3" s="382"/>
      <c r="D3" s="382"/>
      <c r="E3" s="382"/>
      <c r="F3" s="382"/>
      <c r="G3" s="382"/>
      <c r="H3" s="382"/>
      <c r="I3" s="382"/>
      <c r="J3" s="383"/>
      <c r="K3" s="375"/>
    </row>
    <row r="4" spans="1:11" ht="13.5" thickBot="1" x14ac:dyDescent="0.3">
      <c r="A4" s="123"/>
      <c r="B4" s="123"/>
    </row>
    <row r="5" spans="1:11" ht="13.5" thickBot="1" x14ac:dyDescent="0.3">
      <c r="A5" s="93" t="s">
        <v>289</v>
      </c>
      <c r="B5" s="81" t="s">
        <v>290</v>
      </c>
      <c r="C5" s="81"/>
      <c r="D5" s="81"/>
      <c r="E5" s="81"/>
      <c r="F5" s="81"/>
      <c r="G5" s="81"/>
      <c r="H5" s="81"/>
      <c r="I5" s="82"/>
      <c r="J5" s="82"/>
      <c r="K5" s="83"/>
    </row>
    <row r="6" spans="1:11" x14ac:dyDescent="0.25">
      <c r="A6" s="94"/>
      <c r="B6" s="79"/>
      <c r="C6" s="79"/>
      <c r="D6" s="79"/>
      <c r="E6" s="79"/>
      <c r="F6" s="79"/>
      <c r="G6" s="79"/>
      <c r="H6" s="79"/>
      <c r="I6" s="5"/>
      <c r="J6" s="5"/>
    </row>
    <row r="7" spans="1:11" x14ac:dyDescent="0.25">
      <c r="A7" s="89" t="s">
        <v>288</v>
      </c>
      <c r="B7" s="378" t="s">
        <v>706</v>
      </c>
      <c r="C7" s="378"/>
      <c r="D7" s="378"/>
      <c r="E7" s="378"/>
      <c r="F7" s="378"/>
      <c r="G7" s="378"/>
      <c r="H7" s="378"/>
      <c r="I7" s="75" t="s">
        <v>31</v>
      </c>
      <c r="J7" s="75" t="s">
        <v>4</v>
      </c>
      <c r="K7" s="75" t="s">
        <v>413</v>
      </c>
    </row>
    <row r="8" spans="1:11" x14ac:dyDescent="0.25">
      <c r="A8" s="95" t="s">
        <v>291</v>
      </c>
      <c r="B8" s="384" t="str">
        <f>+UPPER(VLOOKUP(A8,PPTO!$A$9:$C$52,2,FALSE))</f>
        <v>CAMPAMENTO</v>
      </c>
      <c r="C8" s="384"/>
      <c r="D8" s="384"/>
      <c r="E8" s="384"/>
      <c r="F8" s="384"/>
      <c r="G8" s="384"/>
      <c r="H8" s="384"/>
      <c r="I8" s="6" t="str">
        <f>+VLOOKUP(A8,PPTO!$A$9:$C$52,3,FALSE)</f>
        <v>UND</v>
      </c>
      <c r="J8" s="6">
        <f>+J19</f>
        <v>1</v>
      </c>
      <c r="K8" s="375"/>
    </row>
    <row r="9" spans="1:11" ht="19.5" customHeight="1" x14ac:dyDescent="0.25">
      <c r="A9" s="96" t="s">
        <v>414</v>
      </c>
      <c r="B9" s="84" t="s">
        <v>415</v>
      </c>
      <c r="C9" s="84" t="s">
        <v>416</v>
      </c>
      <c r="D9" s="84" t="s">
        <v>417</v>
      </c>
      <c r="E9" s="84" t="s">
        <v>418</v>
      </c>
      <c r="F9" s="84" t="s">
        <v>419</v>
      </c>
      <c r="G9" s="84" t="s">
        <v>420</v>
      </c>
      <c r="H9" s="84" t="s">
        <v>421</v>
      </c>
      <c r="I9" s="84" t="s">
        <v>422</v>
      </c>
      <c r="J9" s="84" t="s">
        <v>423</v>
      </c>
      <c r="K9" s="375"/>
    </row>
    <row r="10" spans="1:11" x14ac:dyDescent="0.25">
      <c r="A10" s="85" t="s">
        <v>556</v>
      </c>
      <c r="B10" s="85" t="s">
        <v>557</v>
      </c>
      <c r="C10" s="6"/>
      <c r="D10" s="6"/>
      <c r="E10" s="6"/>
      <c r="F10" s="6"/>
      <c r="G10" s="6"/>
      <c r="H10" s="6"/>
      <c r="I10" s="6">
        <v>1</v>
      </c>
      <c r="J10" s="6">
        <f>+SUM(C10:I10)</f>
        <v>1</v>
      </c>
      <c r="K10" s="375"/>
    </row>
    <row r="11" spans="1:11" ht="15" x14ac:dyDescent="0.25">
      <c r="A11" s="95"/>
      <c r="B11" s="85"/>
      <c r="C11" s="178"/>
      <c r="D11" s="85"/>
      <c r="E11" s="85"/>
      <c r="F11" s="85"/>
      <c r="G11" s="85"/>
      <c r="H11" s="85"/>
      <c r="I11" s="6"/>
      <c r="J11" s="6"/>
      <c r="K11" s="375"/>
    </row>
    <row r="12" spans="1:11" x14ac:dyDescent="0.25">
      <c r="A12" s="95"/>
      <c r="B12" s="85"/>
      <c r="C12" s="85"/>
      <c r="D12" s="85"/>
      <c r="E12" s="85"/>
      <c r="F12" s="85"/>
      <c r="G12" s="85"/>
      <c r="H12" s="85"/>
      <c r="I12" s="6"/>
      <c r="J12" s="6"/>
      <c r="K12" s="375"/>
    </row>
    <row r="13" spans="1:11" x14ac:dyDescent="0.25">
      <c r="A13" s="95"/>
      <c r="B13" s="85"/>
      <c r="C13" s="85"/>
      <c r="D13" s="85"/>
      <c r="E13" s="85"/>
      <c r="F13" s="85"/>
      <c r="G13" s="85"/>
      <c r="H13" s="85"/>
      <c r="I13" s="6"/>
      <c r="J13" s="6"/>
      <c r="K13" s="375"/>
    </row>
    <row r="14" spans="1:11" x14ac:dyDescent="0.25">
      <c r="A14" s="95"/>
      <c r="B14" s="85"/>
      <c r="C14" s="85"/>
      <c r="D14" s="85"/>
      <c r="E14" s="85"/>
      <c r="F14" s="85"/>
      <c r="G14" s="85"/>
      <c r="H14" s="85"/>
      <c r="I14" s="6"/>
      <c r="J14" s="6"/>
      <c r="K14" s="375"/>
    </row>
    <row r="15" spans="1:11" x14ac:dyDescent="0.25">
      <c r="A15" s="95"/>
      <c r="B15" s="85"/>
      <c r="C15" s="85"/>
      <c r="D15" s="85"/>
      <c r="E15" s="85"/>
      <c r="F15" s="85"/>
      <c r="G15" s="85"/>
      <c r="H15" s="85"/>
      <c r="I15" s="6"/>
      <c r="J15" s="6"/>
      <c r="K15" s="375"/>
    </row>
    <row r="16" spans="1:11" x14ac:dyDescent="0.25">
      <c r="A16" s="95"/>
      <c r="B16" s="85"/>
      <c r="C16" s="85"/>
      <c r="D16" s="85"/>
      <c r="E16" s="85"/>
      <c r="F16" s="85"/>
      <c r="G16" s="85"/>
      <c r="H16" s="85"/>
      <c r="I16" s="6"/>
      <c r="J16" s="6"/>
      <c r="K16" s="375"/>
    </row>
    <row r="17" spans="1:11" x14ac:dyDescent="0.25">
      <c r="A17" s="95"/>
      <c r="B17" s="85"/>
      <c r="C17" s="85"/>
      <c r="D17" s="85"/>
      <c r="E17" s="85"/>
      <c r="F17" s="85"/>
      <c r="G17" s="85"/>
      <c r="H17" s="85"/>
      <c r="I17" s="6"/>
      <c r="J17" s="6"/>
      <c r="K17" s="375"/>
    </row>
    <row r="18" spans="1:11" x14ac:dyDescent="0.25">
      <c r="A18" s="95"/>
      <c r="B18" s="85"/>
      <c r="C18" s="85"/>
      <c r="D18" s="85"/>
      <c r="E18" s="85"/>
      <c r="F18" s="85"/>
      <c r="G18" s="85"/>
      <c r="H18" s="85"/>
      <c r="I18" s="6"/>
      <c r="J18" s="6"/>
      <c r="K18" s="375"/>
    </row>
    <row r="19" spans="1:11" x14ac:dyDescent="0.25">
      <c r="A19" s="387" t="s">
        <v>424</v>
      </c>
      <c r="B19" s="387"/>
      <c r="C19" s="387"/>
      <c r="D19" s="387"/>
      <c r="E19" s="387"/>
      <c r="F19" s="387"/>
      <c r="G19" s="387"/>
      <c r="H19" s="387"/>
      <c r="I19" s="387"/>
      <c r="J19" s="63">
        <f>+SUM(J10:J18)</f>
        <v>1</v>
      </c>
      <c r="K19" s="375"/>
    </row>
    <row r="20" spans="1:11" x14ac:dyDescent="0.25">
      <c r="A20" s="89" t="s">
        <v>288</v>
      </c>
      <c r="B20" s="378" t="s">
        <v>706</v>
      </c>
      <c r="C20" s="378"/>
      <c r="D20" s="378"/>
      <c r="E20" s="378"/>
      <c r="F20" s="378"/>
      <c r="G20" s="378"/>
      <c r="H20" s="378"/>
      <c r="I20" s="75" t="s">
        <v>31</v>
      </c>
      <c r="J20" s="75" t="s">
        <v>4</v>
      </c>
      <c r="K20" s="75" t="s">
        <v>413</v>
      </c>
    </row>
    <row r="21" spans="1:11" ht="15" customHeight="1" x14ac:dyDescent="0.25">
      <c r="A21" s="95" t="s">
        <v>293</v>
      </c>
      <c r="B21" s="384" t="str">
        <f>+UPPER(VLOOKUP(A21,PPTO!$A$9:$C$52,2,FALSE))</f>
        <v>LOCALIZACIÓN Y REPLANTEO (INCLUYE EQUIPOS DE PRECISIÓN Y/O TOPOGAFÍA)</v>
      </c>
      <c r="C21" s="384"/>
      <c r="D21" s="384"/>
      <c r="E21" s="384"/>
      <c r="F21" s="384"/>
      <c r="G21" s="384"/>
      <c r="H21" s="384"/>
      <c r="I21" s="6" t="str">
        <f>+VLOOKUP(A21,PPTO!$A$9:$C$52,3,FALSE)</f>
        <v>M2</v>
      </c>
      <c r="J21" s="6">
        <f>+J32</f>
        <v>4314.07</v>
      </c>
      <c r="K21" s="375"/>
    </row>
    <row r="22" spans="1:11" ht="19.5" customHeight="1" x14ac:dyDescent="0.25">
      <c r="A22" s="96" t="s">
        <v>414</v>
      </c>
      <c r="B22" s="84" t="s">
        <v>415</v>
      </c>
      <c r="C22" s="84" t="s">
        <v>416</v>
      </c>
      <c r="D22" s="84" t="s">
        <v>417</v>
      </c>
      <c r="E22" s="84" t="s">
        <v>418</v>
      </c>
      <c r="F22" s="84" t="s">
        <v>419</v>
      </c>
      <c r="G22" s="84" t="s">
        <v>420</v>
      </c>
      <c r="H22" s="84" t="s">
        <v>421</v>
      </c>
      <c r="I22" s="84" t="s">
        <v>422</v>
      </c>
      <c r="J22" s="84" t="s">
        <v>423</v>
      </c>
      <c r="K22" s="375"/>
    </row>
    <row r="23" spans="1:11" x14ac:dyDescent="0.25">
      <c r="A23" s="85" t="s">
        <v>558</v>
      </c>
      <c r="B23" s="85" t="str">
        <f>+CALCULOS!C4</f>
        <v>Poligono 1</v>
      </c>
      <c r="C23" s="6"/>
      <c r="D23" s="6"/>
      <c r="E23" s="6"/>
      <c r="F23" s="6">
        <f>+CALCULOS!D4</f>
        <v>562.79999999999995</v>
      </c>
      <c r="G23" s="6"/>
      <c r="H23" s="6"/>
      <c r="I23" s="6"/>
      <c r="J23" s="6">
        <f>+IF(SUM(C23:I23)=0,"",SUM(C23:I23))</f>
        <v>562.79999999999995</v>
      </c>
      <c r="K23" s="375"/>
    </row>
    <row r="24" spans="1:11" x14ac:dyDescent="0.25">
      <c r="A24" s="85" t="s">
        <v>559</v>
      </c>
      <c r="B24" s="85" t="str">
        <f>+CALCULOS!C5</f>
        <v>Poligono 2</v>
      </c>
      <c r="C24" s="85"/>
      <c r="D24" s="85"/>
      <c r="E24" s="85"/>
      <c r="F24" s="6">
        <f>+CALCULOS!D5</f>
        <v>798.81</v>
      </c>
      <c r="G24" s="85"/>
      <c r="H24" s="85"/>
      <c r="I24" s="6"/>
      <c r="J24" s="6">
        <f t="shared" ref="J24:J31" si="0">+IF(SUM(C24:I24)=0,"",SUM(C24:I24))</f>
        <v>798.81</v>
      </c>
      <c r="K24" s="375"/>
    </row>
    <row r="25" spans="1:11" x14ac:dyDescent="0.25">
      <c r="A25" s="85" t="s">
        <v>560</v>
      </c>
      <c r="B25" s="85" t="str">
        <f>+CALCULOS!C6</f>
        <v>Disipador 1</v>
      </c>
      <c r="C25" s="85"/>
      <c r="D25" s="85"/>
      <c r="E25" s="85"/>
      <c r="F25" s="6">
        <f>+CALCULOS!D6</f>
        <v>52.73</v>
      </c>
      <c r="G25" s="85"/>
      <c r="H25" s="85"/>
      <c r="I25" s="6"/>
      <c r="J25" s="6">
        <f t="shared" si="0"/>
        <v>52.73</v>
      </c>
      <c r="K25" s="375"/>
    </row>
    <row r="26" spans="1:11" x14ac:dyDescent="0.25">
      <c r="A26" s="85" t="s">
        <v>628</v>
      </c>
      <c r="B26" s="85" t="str">
        <f>+CALCULOS!C7</f>
        <v>Disipador 2</v>
      </c>
      <c r="C26" s="85"/>
      <c r="D26" s="85"/>
      <c r="E26" s="85"/>
      <c r="F26" s="6">
        <f>+CALCULOS!D7</f>
        <v>66.75</v>
      </c>
      <c r="G26" s="85"/>
      <c r="H26" s="85"/>
      <c r="I26" s="6"/>
      <c r="J26" s="6">
        <f t="shared" si="0"/>
        <v>66.75</v>
      </c>
      <c r="K26" s="375"/>
    </row>
    <row r="27" spans="1:11" x14ac:dyDescent="0.25">
      <c r="A27" s="85" t="s">
        <v>757</v>
      </c>
      <c r="B27" s="85" t="str">
        <f>+CALCULOS!C8</f>
        <v>Poligono 3</v>
      </c>
      <c r="C27" s="85"/>
      <c r="D27" s="85"/>
      <c r="E27" s="85"/>
      <c r="F27" s="6">
        <f>+CALCULOS!D8</f>
        <v>1235.68</v>
      </c>
      <c r="G27" s="85"/>
      <c r="H27" s="85"/>
      <c r="I27" s="6"/>
      <c r="J27" s="6">
        <f t="shared" si="0"/>
        <v>1235.68</v>
      </c>
      <c r="K27" s="375"/>
    </row>
    <row r="28" spans="1:11" x14ac:dyDescent="0.25">
      <c r="A28" s="85" t="s">
        <v>758</v>
      </c>
      <c r="B28" s="85" t="str">
        <f>+CALCULOS!C9</f>
        <v>Disipador 3</v>
      </c>
      <c r="C28" s="85"/>
      <c r="D28" s="85"/>
      <c r="E28" s="85"/>
      <c r="F28" s="6">
        <f>+CALCULOS!D9</f>
        <v>40.61</v>
      </c>
      <c r="G28" s="85"/>
      <c r="H28" s="85"/>
      <c r="I28" s="6"/>
      <c r="J28" s="6">
        <f>+IF(SUM(C28:I28)=0,"",SUM(C28:I28))</f>
        <v>40.61</v>
      </c>
      <c r="K28" s="375"/>
    </row>
    <row r="29" spans="1:11" x14ac:dyDescent="0.25">
      <c r="A29" s="85" t="s">
        <v>783</v>
      </c>
      <c r="B29" s="85" t="s">
        <v>784</v>
      </c>
      <c r="C29" s="85"/>
      <c r="D29" s="85"/>
      <c r="E29" s="85"/>
      <c r="F29" s="6">
        <f>+CALCULOS!D10</f>
        <v>1556.69</v>
      </c>
      <c r="G29" s="85"/>
      <c r="H29" s="85"/>
      <c r="I29" s="6"/>
      <c r="J29" s="6">
        <f t="shared" si="0"/>
        <v>1556.69</v>
      </c>
      <c r="K29" s="375"/>
    </row>
    <row r="30" spans="1:11" x14ac:dyDescent="0.25">
      <c r="A30" s="95"/>
      <c r="B30" s="85"/>
      <c r="C30" s="85"/>
      <c r="D30" s="85"/>
      <c r="E30" s="85"/>
      <c r="F30" s="85"/>
      <c r="G30" s="85"/>
      <c r="H30" s="85"/>
      <c r="I30" s="6"/>
      <c r="J30" s="6" t="str">
        <f t="shared" si="0"/>
        <v/>
      </c>
      <c r="K30" s="375"/>
    </row>
    <row r="31" spans="1:11" x14ac:dyDescent="0.25">
      <c r="A31" s="95"/>
      <c r="B31" s="85"/>
      <c r="C31" s="85"/>
      <c r="D31" s="85"/>
      <c r="E31" s="85"/>
      <c r="F31" s="85"/>
      <c r="G31" s="85"/>
      <c r="H31" s="85"/>
      <c r="I31" s="6"/>
      <c r="J31" s="6" t="str">
        <f t="shared" si="0"/>
        <v/>
      </c>
      <c r="K31" s="375"/>
    </row>
    <row r="32" spans="1:11" x14ac:dyDescent="0.25">
      <c r="A32" s="387" t="s">
        <v>424</v>
      </c>
      <c r="B32" s="387"/>
      <c r="C32" s="387"/>
      <c r="D32" s="387"/>
      <c r="E32" s="387"/>
      <c r="F32" s="387"/>
      <c r="G32" s="387"/>
      <c r="H32" s="387"/>
      <c r="I32" s="387"/>
      <c r="J32" s="63">
        <f>+SUM(J23:J31)</f>
        <v>4314.07</v>
      </c>
      <c r="K32" s="375"/>
    </row>
    <row r="33" spans="1:11" x14ac:dyDescent="0.25">
      <c r="A33" s="89" t="s">
        <v>288</v>
      </c>
      <c r="B33" s="378" t="s">
        <v>706</v>
      </c>
      <c r="C33" s="378"/>
      <c r="D33" s="378"/>
      <c r="E33" s="378"/>
      <c r="F33" s="378"/>
      <c r="G33" s="378"/>
      <c r="H33" s="378"/>
      <c r="I33" s="75" t="s">
        <v>31</v>
      </c>
      <c r="J33" s="75" t="s">
        <v>4</v>
      </c>
      <c r="K33" s="75" t="s">
        <v>413</v>
      </c>
    </row>
    <row r="34" spans="1:11" x14ac:dyDescent="0.25">
      <c r="A34" s="95" t="s">
        <v>295</v>
      </c>
      <c r="B34" s="374" t="str">
        <f>+UPPER(VLOOKUP(A34,PPTO!$A$9:$C$52,2,FALSE))</f>
        <v>DESMONTE Y DESCAPOTE</v>
      </c>
      <c r="C34" s="374"/>
      <c r="D34" s="374"/>
      <c r="E34" s="374"/>
      <c r="F34" s="374"/>
      <c r="G34" s="374"/>
      <c r="H34" s="374"/>
      <c r="I34" s="6" t="str">
        <f>+VLOOKUP(A34,PPTO!$A$9:$C$52,3,FALSE)</f>
        <v>M2</v>
      </c>
      <c r="J34" s="6">
        <f>+J45</f>
        <v>4314.07</v>
      </c>
      <c r="K34" s="375"/>
    </row>
    <row r="35" spans="1:11" ht="19.5" customHeight="1" x14ac:dyDescent="0.25">
      <c r="A35" s="96" t="s">
        <v>414</v>
      </c>
      <c r="B35" s="84" t="s">
        <v>415</v>
      </c>
      <c r="C35" s="84" t="s">
        <v>416</v>
      </c>
      <c r="D35" s="84" t="s">
        <v>417</v>
      </c>
      <c r="E35" s="84" t="s">
        <v>418</v>
      </c>
      <c r="F35" s="84" t="s">
        <v>419</v>
      </c>
      <c r="G35" s="84" t="s">
        <v>420</v>
      </c>
      <c r="H35" s="84" t="s">
        <v>421</v>
      </c>
      <c r="I35" s="84" t="s">
        <v>422</v>
      </c>
      <c r="J35" s="84" t="s">
        <v>423</v>
      </c>
      <c r="K35" s="375"/>
    </row>
    <row r="36" spans="1:11" x14ac:dyDescent="0.25">
      <c r="A36" s="85" t="str">
        <f>+A23</f>
        <v>Area 1</v>
      </c>
      <c r="B36" s="85" t="str">
        <f>+CALCULOS!C14</f>
        <v>Poligono 1</v>
      </c>
      <c r="C36" s="6"/>
      <c r="D36" s="6"/>
      <c r="E36" s="6"/>
      <c r="F36" s="6">
        <f>+CALCULOS!D4</f>
        <v>562.79999999999995</v>
      </c>
      <c r="G36" s="6"/>
      <c r="H36" s="6"/>
      <c r="I36" s="6"/>
      <c r="J36" s="6">
        <f>+IF(SUM(C36:I36)=0,"",SUM(C36:I36))</f>
        <v>562.79999999999995</v>
      </c>
      <c r="K36" s="375"/>
    </row>
    <row r="37" spans="1:11" x14ac:dyDescent="0.25">
      <c r="A37" s="85" t="str">
        <f t="shared" ref="A37:A42" si="1">+A24</f>
        <v>Area 2</v>
      </c>
      <c r="B37" s="85" t="str">
        <f>+CALCULOS!C15</f>
        <v>Poligono 2</v>
      </c>
      <c r="C37" s="85"/>
      <c r="D37" s="85"/>
      <c r="E37" s="85"/>
      <c r="F37" s="6">
        <f>+CALCULOS!D5</f>
        <v>798.81</v>
      </c>
      <c r="G37" s="85"/>
      <c r="H37" s="85"/>
      <c r="I37" s="6"/>
      <c r="J37" s="6">
        <f t="shared" ref="J37:J44" si="2">+IF(SUM(C37:I37)=0,"",SUM(C37:I37))</f>
        <v>798.81</v>
      </c>
      <c r="K37" s="375"/>
    </row>
    <row r="38" spans="1:11" x14ac:dyDescent="0.25">
      <c r="A38" s="85" t="str">
        <f t="shared" si="1"/>
        <v>Area 3</v>
      </c>
      <c r="B38" s="85" t="str">
        <f>+CALCULOS!C16</f>
        <v>Disipador 1</v>
      </c>
      <c r="C38" s="85"/>
      <c r="D38" s="85"/>
      <c r="E38" s="85"/>
      <c r="F38" s="6">
        <f>+CALCULOS!D6</f>
        <v>52.73</v>
      </c>
      <c r="G38" s="85"/>
      <c r="H38" s="85"/>
      <c r="I38" s="6"/>
      <c r="J38" s="6">
        <f t="shared" si="2"/>
        <v>52.73</v>
      </c>
      <c r="K38" s="375"/>
    </row>
    <row r="39" spans="1:11" x14ac:dyDescent="0.25">
      <c r="A39" s="85" t="str">
        <f t="shared" si="1"/>
        <v>Area 4</v>
      </c>
      <c r="B39" s="85" t="str">
        <f>+CALCULOS!C17</f>
        <v>Disipador 2</v>
      </c>
      <c r="C39" s="85"/>
      <c r="D39" s="85"/>
      <c r="E39" s="85"/>
      <c r="F39" s="6">
        <f>+CALCULOS!D7</f>
        <v>66.75</v>
      </c>
      <c r="G39" s="85"/>
      <c r="H39" s="85"/>
      <c r="I39" s="6"/>
      <c r="J39" s="6">
        <f t="shared" si="2"/>
        <v>66.75</v>
      </c>
      <c r="K39" s="375"/>
    </row>
    <row r="40" spans="1:11" x14ac:dyDescent="0.25">
      <c r="A40" s="85" t="str">
        <f t="shared" si="1"/>
        <v>Area 5</v>
      </c>
      <c r="B40" s="85" t="str">
        <f>+CALCULOS!C18</f>
        <v>Poligono 3</v>
      </c>
      <c r="C40" s="85"/>
      <c r="D40" s="85"/>
      <c r="E40" s="85"/>
      <c r="F40" s="6">
        <f>+CALCULOS!D8</f>
        <v>1235.68</v>
      </c>
      <c r="G40" s="85"/>
      <c r="H40" s="85"/>
      <c r="I40" s="6"/>
      <c r="J40" s="6">
        <f t="shared" si="2"/>
        <v>1235.68</v>
      </c>
      <c r="K40" s="375"/>
    </row>
    <row r="41" spans="1:11" x14ac:dyDescent="0.25">
      <c r="A41" s="85" t="str">
        <f t="shared" si="1"/>
        <v>Area 6</v>
      </c>
      <c r="B41" s="85" t="str">
        <f>+CALCULOS!C19</f>
        <v>Disipador 3</v>
      </c>
      <c r="C41" s="85"/>
      <c r="D41" s="85"/>
      <c r="E41" s="85"/>
      <c r="F41" s="6">
        <f>+CALCULOS!D9</f>
        <v>40.61</v>
      </c>
      <c r="G41" s="85"/>
      <c r="H41" s="85"/>
      <c r="I41" s="6"/>
      <c r="J41" s="6">
        <f t="shared" si="2"/>
        <v>40.61</v>
      </c>
      <c r="K41" s="375"/>
    </row>
    <row r="42" spans="1:11" x14ac:dyDescent="0.25">
      <c r="A42" s="85" t="str">
        <f t="shared" si="1"/>
        <v>Area 7</v>
      </c>
      <c r="B42" s="85" t="str">
        <f>+CALCULOS!C20</f>
        <v>Poligono 4</v>
      </c>
      <c r="C42" s="85"/>
      <c r="D42" s="85"/>
      <c r="E42" s="85"/>
      <c r="F42" s="6">
        <f>+CALCULOS!D10</f>
        <v>1556.69</v>
      </c>
      <c r="G42" s="85"/>
      <c r="H42" s="85"/>
      <c r="I42" s="6"/>
      <c r="J42" s="6">
        <f t="shared" si="2"/>
        <v>1556.69</v>
      </c>
      <c r="K42" s="375"/>
    </row>
    <row r="43" spans="1:11" x14ac:dyDescent="0.25">
      <c r="A43" s="95"/>
      <c r="B43" s="85"/>
      <c r="C43" s="85"/>
      <c r="D43" s="85"/>
      <c r="E43" s="85"/>
      <c r="F43" s="85"/>
      <c r="G43" s="85"/>
      <c r="H43" s="85"/>
      <c r="I43" s="6"/>
      <c r="J43" s="6" t="str">
        <f t="shared" si="2"/>
        <v/>
      </c>
      <c r="K43" s="375"/>
    </row>
    <row r="44" spans="1:11" x14ac:dyDescent="0.25">
      <c r="A44" s="95"/>
      <c r="B44" s="85"/>
      <c r="C44" s="85"/>
      <c r="D44" s="85"/>
      <c r="E44" s="85"/>
      <c r="F44" s="85"/>
      <c r="G44" s="85"/>
      <c r="H44" s="85"/>
      <c r="I44" s="6"/>
      <c r="J44" s="6" t="str">
        <f t="shared" si="2"/>
        <v/>
      </c>
      <c r="K44" s="375"/>
    </row>
    <row r="45" spans="1:11" x14ac:dyDescent="0.25">
      <c r="A45" s="369" t="s">
        <v>424</v>
      </c>
      <c r="B45" s="369"/>
      <c r="C45" s="369"/>
      <c r="D45" s="369"/>
      <c r="E45" s="369"/>
      <c r="F45" s="369"/>
      <c r="G45" s="369"/>
      <c r="H45" s="369"/>
      <c r="I45" s="369"/>
      <c r="J45" s="63">
        <f>+SUM(J36:J44)</f>
        <v>4314.07</v>
      </c>
      <c r="K45" s="375"/>
    </row>
    <row r="46" spans="1:11" x14ac:dyDescent="0.25">
      <c r="A46" s="89" t="s">
        <v>288</v>
      </c>
      <c r="B46" s="370" t="s">
        <v>706</v>
      </c>
      <c r="C46" s="370"/>
      <c r="D46" s="370"/>
      <c r="E46" s="370"/>
      <c r="F46" s="370"/>
      <c r="G46" s="370"/>
      <c r="H46" s="370"/>
      <c r="I46" s="75" t="s">
        <v>31</v>
      </c>
      <c r="J46" s="75" t="s">
        <v>4</v>
      </c>
      <c r="K46" s="75" t="s">
        <v>413</v>
      </c>
    </row>
    <row r="47" spans="1:11" ht="15" customHeight="1" x14ac:dyDescent="0.25">
      <c r="A47" s="95" t="s">
        <v>297</v>
      </c>
      <c r="B47" s="374" t="str">
        <f>+UPPER(VLOOKUP(A47,PPTO!$A$9:$C$52,2,FALSE))</f>
        <v>ACARREO Y RETIRO DE ESCOMBROS Y SOBRANTES (AL BOTADERO Y/O PREDIO AUTORIZADO)</v>
      </c>
      <c r="C47" s="374"/>
      <c r="D47" s="374"/>
      <c r="E47" s="374"/>
      <c r="F47" s="374"/>
      <c r="G47" s="374"/>
      <c r="H47" s="374"/>
      <c r="I47" s="6" t="str">
        <f>+VLOOKUP(A47,PPTO!$A$9:$C$52,3,FALSE)</f>
        <v>M3</v>
      </c>
      <c r="J47" s="6">
        <f>+J62</f>
        <v>457.40000000000003</v>
      </c>
      <c r="K47" s="375"/>
    </row>
    <row r="48" spans="1:11" ht="19.5" customHeight="1" x14ac:dyDescent="0.25">
      <c r="A48" s="96" t="s">
        <v>414</v>
      </c>
      <c r="B48" s="84" t="s">
        <v>415</v>
      </c>
      <c r="C48" s="84" t="s">
        <v>416</v>
      </c>
      <c r="D48" s="84" t="s">
        <v>417</v>
      </c>
      <c r="E48" s="84" t="s">
        <v>418</v>
      </c>
      <c r="F48" s="84" t="s">
        <v>419</v>
      </c>
      <c r="G48" s="84" t="s">
        <v>420</v>
      </c>
      <c r="H48" s="84" t="s">
        <v>421</v>
      </c>
      <c r="I48" s="84" t="s">
        <v>422</v>
      </c>
      <c r="J48" s="84" t="s">
        <v>423</v>
      </c>
      <c r="K48" s="375"/>
    </row>
    <row r="49" spans="1:11" x14ac:dyDescent="0.25">
      <c r="A49" s="85" t="str">
        <f t="shared" ref="A49:A54" si="3">+A23</f>
        <v>Area 1</v>
      </c>
      <c r="B49" s="85" t="str">
        <f>+CONCATENATE("Desperdicio ",CALCULOS!C14)</f>
        <v>Desperdicio Poligono 1</v>
      </c>
      <c r="C49" s="6"/>
      <c r="D49" s="6"/>
      <c r="E49" s="6"/>
      <c r="F49" s="6"/>
      <c r="G49" s="6">
        <f>+CALCULOS!F14</f>
        <v>2.2999999999999998</v>
      </c>
      <c r="H49" s="6"/>
      <c r="I49" s="6"/>
      <c r="J49" s="6">
        <f>+IF(SUM(C49:I49)=0,"",SUM(C49:I49))</f>
        <v>2.2999999999999998</v>
      </c>
      <c r="K49" s="375"/>
    </row>
    <row r="50" spans="1:11" x14ac:dyDescent="0.25">
      <c r="A50" s="85" t="str">
        <f t="shared" si="3"/>
        <v>Area 2</v>
      </c>
      <c r="B50" s="85" t="str">
        <f>+CONCATENATE("Desperdicio ",CALCULOS!C15)</f>
        <v>Desperdicio Poligono 2</v>
      </c>
      <c r="C50" s="85"/>
      <c r="D50" s="85"/>
      <c r="E50" s="85"/>
      <c r="F50" s="85"/>
      <c r="G50" s="6">
        <f>+CALCULOS!F15</f>
        <v>3.2</v>
      </c>
      <c r="H50" s="85"/>
      <c r="I50" s="6"/>
      <c r="J50" s="6">
        <f t="shared" ref="J50:J61" si="4">+IF(SUM(C50:I50)=0,"",SUM(C50:I50))</f>
        <v>3.2</v>
      </c>
      <c r="K50" s="375"/>
    </row>
    <row r="51" spans="1:11" x14ac:dyDescent="0.25">
      <c r="A51" s="85" t="str">
        <f t="shared" si="3"/>
        <v>Area 3</v>
      </c>
      <c r="B51" s="85" t="str">
        <f>+CONCATENATE("Desperdicio ",CALCULOS!C16)</f>
        <v>Desperdicio Disipador 1</v>
      </c>
      <c r="C51" s="85"/>
      <c r="D51" s="85"/>
      <c r="E51" s="85"/>
      <c r="F51" s="85"/>
      <c r="G51" s="6">
        <f>+CALCULOS!F16</f>
        <v>0.2</v>
      </c>
      <c r="H51" s="85"/>
      <c r="I51" s="6"/>
      <c r="J51" s="6">
        <f t="shared" si="4"/>
        <v>0.2</v>
      </c>
      <c r="K51" s="375"/>
    </row>
    <row r="52" spans="1:11" x14ac:dyDescent="0.25">
      <c r="A52" s="85" t="str">
        <f t="shared" si="3"/>
        <v>Area 4</v>
      </c>
      <c r="B52" s="85" t="str">
        <f>+CONCATENATE("Desperdicio ",CALCULOS!C17)</f>
        <v>Desperdicio Disipador 2</v>
      </c>
      <c r="C52" s="85"/>
      <c r="D52" s="85"/>
      <c r="E52" s="85"/>
      <c r="F52" s="85"/>
      <c r="G52" s="6">
        <f>+CALCULOS!F17</f>
        <v>0.3</v>
      </c>
      <c r="H52" s="85"/>
      <c r="I52" s="6"/>
      <c r="J52" s="6">
        <f t="shared" si="4"/>
        <v>0.3</v>
      </c>
      <c r="K52" s="375"/>
    </row>
    <row r="53" spans="1:11" x14ac:dyDescent="0.25">
      <c r="A53" s="85" t="str">
        <f t="shared" si="3"/>
        <v>Area 5</v>
      </c>
      <c r="B53" s="85" t="str">
        <f>+CONCATENATE("Desperdicio ",CALCULOS!C18)</f>
        <v>Desperdicio Poligono 3</v>
      </c>
      <c r="C53" s="85"/>
      <c r="D53" s="85"/>
      <c r="E53" s="85"/>
      <c r="F53" s="85"/>
      <c r="G53" s="6">
        <f>+CALCULOS!F18</f>
        <v>4.9000000000000004</v>
      </c>
      <c r="H53" s="85"/>
      <c r="I53" s="6"/>
      <c r="J53" s="6">
        <f t="shared" si="4"/>
        <v>4.9000000000000004</v>
      </c>
      <c r="K53" s="375"/>
    </row>
    <row r="54" spans="1:11" x14ac:dyDescent="0.25">
      <c r="A54" s="85" t="str">
        <f t="shared" si="3"/>
        <v>Area 6</v>
      </c>
      <c r="B54" s="85" t="str">
        <f>+CONCATENATE("Desperdicio ",CALCULOS!C19)</f>
        <v>Desperdicio Disipador 3</v>
      </c>
      <c r="C54" s="85"/>
      <c r="D54" s="85"/>
      <c r="E54" s="85"/>
      <c r="F54" s="85"/>
      <c r="G54" s="6">
        <f>+CALCULOS!F19</f>
        <v>0.2</v>
      </c>
      <c r="H54" s="85"/>
      <c r="I54" s="6"/>
      <c r="J54" s="6">
        <f t="shared" si="4"/>
        <v>0.2</v>
      </c>
      <c r="K54" s="375"/>
    </row>
    <row r="55" spans="1:11" x14ac:dyDescent="0.25">
      <c r="A55" s="85" t="str">
        <f>+A23</f>
        <v>Area 1</v>
      </c>
      <c r="B55" s="85" t="str">
        <f>+CONCATENATE("Descapote ",CALCULOS!C14)</f>
        <v>Descapote Poligono 1</v>
      </c>
      <c r="C55" s="85"/>
      <c r="D55" s="85"/>
      <c r="E55" s="85"/>
      <c r="F55" s="85"/>
      <c r="G55" s="6">
        <f>+CALCULOS!I14</f>
        <v>84.4</v>
      </c>
      <c r="H55" s="85"/>
      <c r="I55" s="6"/>
      <c r="J55" s="6">
        <f t="shared" si="4"/>
        <v>84.4</v>
      </c>
      <c r="K55" s="375"/>
    </row>
    <row r="56" spans="1:11" x14ac:dyDescent="0.25">
      <c r="A56" s="85" t="str">
        <f>+A24</f>
        <v>Area 2</v>
      </c>
      <c r="B56" s="85" t="str">
        <f>+CONCATENATE("Descapote ",CALCULOS!C15)</f>
        <v>Descapote Poligono 2</v>
      </c>
      <c r="C56" s="85"/>
      <c r="D56" s="85"/>
      <c r="E56" s="85"/>
      <c r="F56" s="85"/>
      <c r="G56" s="6">
        <f>+CALCULOS!I15</f>
        <v>119.8</v>
      </c>
      <c r="H56" s="85"/>
      <c r="I56" s="6"/>
      <c r="J56" s="6">
        <f t="shared" si="4"/>
        <v>119.8</v>
      </c>
      <c r="K56" s="375"/>
    </row>
    <row r="57" spans="1:11" x14ac:dyDescent="0.25">
      <c r="A57" s="85" t="str">
        <f>+A25</f>
        <v>Area 3</v>
      </c>
      <c r="B57" s="85" t="str">
        <f>+CONCATENATE("Descapote ",CALCULOS!C16)</f>
        <v>Descapote Disipador 1</v>
      </c>
      <c r="C57" s="85"/>
      <c r="D57" s="85"/>
      <c r="E57" s="85"/>
      <c r="F57" s="85"/>
      <c r="G57" s="6">
        <f>+CALCULOS!I16</f>
        <v>7.9</v>
      </c>
      <c r="H57" s="85"/>
      <c r="I57" s="6"/>
      <c r="J57" s="6">
        <f t="shared" si="4"/>
        <v>7.9</v>
      </c>
      <c r="K57" s="375"/>
    </row>
    <row r="58" spans="1:11" x14ac:dyDescent="0.25">
      <c r="A58" s="85" t="str">
        <f>+A26</f>
        <v>Area 4</v>
      </c>
      <c r="B58" s="85" t="str">
        <f>+CONCATENATE("Descapote ",CALCULOS!C17)</f>
        <v>Descapote Disipador 2</v>
      </c>
      <c r="C58" s="85"/>
      <c r="D58" s="85"/>
      <c r="E58" s="85"/>
      <c r="F58" s="85"/>
      <c r="G58" s="6">
        <f>+CALCULOS!I17</f>
        <v>10</v>
      </c>
      <c r="H58" s="85"/>
      <c r="I58" s="6"/>
      <c r="J58" s="6">
        <f t="shared" si="4"/>
        <v>10</v>
      </c>
      <c r="K58" s="375"/>
    </row>
    <row r="59" spans="1:11" x14ac:dyDescent="0.25">
      <c r="A59" s="85" t="s">
        <v>757</v>
      </c>
      <c r="B59" s="85" t="str">
        <f>+CONCATENATE("Descapote ",CALCULOS!C18)</f>
        <v>Descapote Poligono 3</v>
      </c>
      <c r="C59" s="85"/>
      <c r="D59" s="85"/>
      <c r="E59" s="85"/>
      <c r="F59" s="85"/>
      <c r="G59" s="6">
        <f>+CALCULOS!I18</f>
        <v>185.4</v>
      </c>
      <c r="H59" s="85"/>
      <c r="I59" s="6"/>
      <c r="J59" s="6">
        <f t="shared" si="4"/>
        <v>185.4</v>
      </c>
      <c r="K59" s="375"/>
    </row>
    <row r="60" spans="1:11" x14ac:dyDescent="0.25">
      <c r="A60" s="85" t="s">
        <v>758</v>
      </c>
      <c r="B60" s="85" t="str">
        <f>+CONCATENATE("Descapote ",CALCULOS!C19)</f>
        <v>Descapote Disipador 3</v>
      </c>
      <c r="C60" s="85"/>
      <c r="D60" s="85"/>
      <c r="E60" s="85"/>
      <c r="F60" s="85"/>
      <c r="G60" s="6">
        <f>+CALCULOS!I19</f>
        <v>6.1</v>
      </c>
      <c r="H60" s="85"/>
      <c r="I60" s="6"/>
      <c r="J60" s="6">
        <f t="shared" si="4"/>
        <v>6.1</v>
      </c>
      <c r="K60" s="375"/>
    </row>
    <row r="61" spans="1:11" x14ac:dyDescent="0.25">
      <c r="A61" s="95" t="str">
        <f>+CALCULOS!C25</f>
        <v>La Feria</v>
      </c>
      <c r="B61" s="85" t="s">
        <v>666</v>
      </c>
      <c r="C61" s="85"/>
      <c r="D61" s="85"/>
      <c r="E61" s="85"/>
      <c r="F61" s="85"/>
      <c r="G61" s="85">
        <f>+CALCULOS!E39</f>
        <v>32.700000000000003</v>
      </c>
      <c r="H61" s="85"/>
      <c r="I61" s="6"/>
      <c r="J61" s="6">
        <f t="shared" si="4"/>
        <v>32.700000000000003</v>
      </c>
      <c r="K61" s="375"/>
    </row>
    <row r="62" spans="1:11" x14ac:dyDescent="0.25">
      <c r="A62" s="369" t="s">
        <v>424</v>
      </c>
      <c r="B62" s="369"/>
      <c r="C62" s="369"/>
      <c r="D62" s="369"/>
      <c r="E62" s="369"/>
      <c r="F62" s="369"/>
      <c r="G62" s="369"/>
      <c r="H62" s="369"/>
      <c r="I62" s="369"/>
      <c r="J62" s="63">
        <f>+SUM(J49:J61)</f>
        <v>457.40000000000003</v>
      </c>
      <c r="K62" s="375"/>
    </row>
    <row r="63" spans="1:11" x14ac:dyDescent="0.25">
      <c r="A63" s="89" t="s">
        <v>288</v>
      </c>
      <c r="B63" s="370" t="s">
        <v>706</v>
      </c>
      <c r="C63" s="370"/>
      <c r="D63" s="370"/>
      <c r="E63" s="370"/>
      <c r="F63" s="370"/>
      <c r="G63" s="370"/>
      <c r="H63" s="370"/>
      <c r="I63" s="75" t="s">
        <v>31</v>
      </c>
      <c r="J63" s="75" t="s">
        <v>4</v>
      </c>
      <c r="K63" s="75" t="s">
        <v>413</v>
      </c>
    </row>
    <row r="64" spans="1:11" ht="15" customHeight="1" x14ac:dyDescent="0.25">
      <c r="A64" s="95" t="s">
        <v>298</v>
      </c>
      <c r="B64" s="374" t="str">
        <f>+UPPER(VLOOKUP(A64,PPTO!$A$9:$C$52,2,FALSE))</f>
        <v>VALLA INFORMATIVA (DIM. 5.00 X 2.8 MTS.)</v>
      </c>
      <c r="C64" s="374"/>
      <c r="D64" s="374"/>
      <c r="E64" s="374"/>
      <c r="F64" s="374"/>
      <c r="G64" s="374"/>
      <c r="H64" s="374"/>
      <c r="I64" s="6" t="str">
        <f>+VLOOKUP(A64,PPTO!$A$9:$C$52,3,FALSE)</f>
        <v>UND</v>
      </c>
      <c r="J64" s="6">
        <f>+J75</f>
        <v>1</v>
      </c>
      <c r="K64" s="371"/>
    </row>
    <row r="65" spans="1:11" ht="19.5" customHeight="1" x14ac:dyDescent="0.25">
      <c r="A65" s="96" t="s">
        <v>414</v>
      </c>
      <c r="B65" s="84" t="s">
        <v>415</v>
      </c>
      <c r="C65" s="84" t="s">
        <v>416</v>
      </c>
      <c r="D65" s="84" t="s">
        <v>417</v>
      </c>
      <c r="E65" s="84" t="s">
        <v>418</v>
      </c>
      <c r="F65" s="84" t="s">
        <v>419</v>
      </c>
      <c r="G65" s="84" t="s">
        <v>420</v>
      </c>
      <c r="H65" s="84" t="s">
        <v>421</v>
      </c>
      <c r="I65" s="84" t="s">
        <v>422</v>
      </c>
      <c r="J65" s="84" t="s">
        <v>423</v>
      </c>
      <c r="K65" s="371"/>
    </row>
    <row r="66" spans="1:11" x14ac:dyDescent="0.25">
      <c r="A66" s="85" t="s">
        <v>556</v>
      </c>
      <c r="B66" s="85" t="s">
        <v>563</v>
      </c>
      <c r="C66" s="6"/>
      <c r="D66" s="6"/>
      <c r="E66" s="6"/>
      <c r="F66" s="6"/>
      <c r="G66" s="6"/>
      <c r="H66" s="6"/>
      <c r="I66" s="6">
        <v>1</v>
      </c>
      <c r="J66" s="6">
        <f>+IF(SUM(C66:I66)=0,"",SUM(C66:I66))</f>
        <v>1</v>
      </c>
      <c r="K66" s="371"/>
    </row>
    <row r="67" spans="1:11" x14ac:dyDescent="0.25">
      <c r="A67" s="95"/>
      <c r="B67" s="85"/>
      <c r="C67" s="85"/>
      <c r="D67" s="85"/>
      <c r="E67" s="85"/>
      <c r="F67" s="85"/>
      <c r="G67" s="85"/>
      <c r="H67" s="85"/>
      <c r="I67" s="6"/>
      <c r="J67" s="6" t="str">
        <f t="shared" ref="J67:J74" si="5">+IF(SUM(C67:I67)=0,"",SUM(C67:I67))</f>
        <v/>
      </c>
      <c r="K67" s="371"/>
    </row>
    <row r="68" spans="1:11" x14ac:dyDescent="0.25">
      <c r="A68" s="95"/>
      <c r="B68" s="85"/>
      <c r="C68" s="85"/>
      <c r="D68" s="85"/>
      <c r="E68" s="85"/>
      <c r="F68" s="85"/>
      <c r="G68" s="85"/>
      <c r="H68" s="85"/>
      <c r="I68" s="6"/>
      <c r="J68" s="6" t="str">
        <f t="shared" si="5"/>
        <v/>
      </c>
      <c r="K68" s="371"/>
    </row>
    <row r="69" spans="1:11" x14ac:dyDescent="0.25">
      <c r="A69" s="95"/>
      <c r="B69" s="85"/>
      <c r="C69" s="85"/>
      <c r="D69" s="85"/>
      <c r="E69" s="85"/>
      <c r="F69" s="85"/>
      <c r="G69" s="85"/>
      <c r="H69" s="85"/>
      <c r="I69" s="6"/>
      <c r="J69" s="6" t="str">
        <f t="shared" si="5"/>
        <v/>
      </c>
      <c r="K69" s="371"/>
    </row>
    <row r="70" spans="1:11" x14ac:dyDescent="0.25">
      <c r="A70" s="95"/>
      <c r="B70" s="85"/>
      <c r="C70" s="85"/>
      <c r="D70" s="85"/>
      <c r="E70" s="85"/>
      <c r="F70" s="85"/>
      <c r="G70" s="85"/>
      <c r="H70" s="85"/>
      <c r="I70" s="6"/>
      <c r="J70" s="6" t="str">
        <f t="shared" si="5"/>
        <v/>
      </c>
      <c r="K70" s="371"/>
    </row>
    <row r="71" spans="1:11" x14ac:dyDescent="0.25">
      <c r="A71" s="95"/>
      <c r="B71" s="85"/>
      <c r="C71" s="85"/>
      <c r="D71" s="85"/>
      <c r="E71" s="85"/>
      <c r="F71" s="85"/>
      <c r="G71" s="85"/>
      <c r="H71" s="85"/>
      <c r="I71" s="6"/>
      <c r="J71" s="6" t="str">
        <f t="shared" si="5"/>
        <v/>
      </c>
      <c r="K71" s="371"/>
    </row>
    <row r="72" spans="1:11" x14ac:dyDescent="0.25">
      <c r="A72" s="95"/>
      <c r="B72" s="85"/>
      <c r="C72" s="85"/>
      <c r="D72" s="85"/>
      <c r="E72" s="85"/>
      <c r="F72" s="85"/>
      <c r="G72" s="85"/>
      <c r="H72" s="85"/>
      <c r="I72" s="6"/>
      <c r="J72" s="6" t="str">
        <f t="shared" si="5"/>
        <v/>
      </c>
      <c r="K72" s="371"/>
    </row>
    <row r="73" spans="1:11" x14ac:dyDescent="0.25">
      <c r="A73" s="95"/>
      <c r="B73" s="85"/>
      <c r="C73" s="85"/>
      <c r="D73" s="85"/>
      <c r="E73" s="85"/>
      <c r="F73" s="85"/>
      <c r="G73" s="85"/>
      <c r="H73" s="85"/>
      <c r="I73" s="6"/>
      <c r="J73" s="6" t="str">
        <f t="shared" si="5"/>
        <v/>
      </c>
      <c r="K73" s="371"/>
    </row>
    <row r="74" spans="1:11" x14ac:dyDescent="0.25">
      <c r="A74" s="95"/>
      <c r="B74" s="85"/>
      <c r="C74" s="85"/>
      <c r="D74" s="85"/>
      <c r="E74" s="85"/>
      <c r="F74" s="85"/>
      <c r="G74" s="85"/>
      <c r="H74" s="85"/>
      <c r="I74" s="6"/>
      <c r="J74" s="6" t="str">
        <f t="shared" si="5"/>
        <v/>
      </c>
      <c r="K74" s="371"/>
    </row>
    <row r="75" spans="1:11" x14ac:dyDescent="0.25">
      <c r="A75" s="369" t="s">
        <v>424</v>
      </c>
      <c r="B75" s="369"/>
      <c r="C75" s="369"/>
      <c r="D75" s="369"/>
      <c r="E75" s="369"/>
      <c r="F75" s="369"/>
      <c r="G75" s="369"/>
      <c r="H75" s="369"/>
      <c r="I75" s="369"/>
      <c r="J75" s="63">
        <f>+SUM(J66:J74)</f>
        <v>1</v>
      </c>
      <c r="K75" s="371"/>
    </row>
    <row r="76" spans="1:11" ht="15" customHeight="1" x14ac:dyDescent="0.25">
      <c r="A76" s="89" t="s">
        <v>288</v>
      </c>
      <c r="B76" s="370" t="s">
        <v>706</v>
      </c>
      <c r="C76" s="370"/>
      <c r="D76" s="370"/>
      <c r="E76" s="370"/>
      <c r="F76" s="370"/>
      <c r="G76" s="370"/>
      <c r="H76" s="370"/>
      <c r="I76" s="75" t="s">
        <v>31</v>
      </c>
      <c r="J76" s="75" t="s">
        <v>4</v>
      </c>
      <c r="K76" s="75" t="s">
        <v>413</v>
      </c>
    </row>
    <row r="77" spans="1:11" ht="15" customHeight="1" x14ac:dyDescent="0.25">
      <c r="A77" s="95" t="s">
        <v>300</v>
      </c>
      <c r="B77" s="374" t="str">
        <f>+UPPER(VLOOKUP(A77,PPTO!$A$9:$C$52,2,FALSE))</f>
        <v>CERRAMIENTO CON TELA DE POLIPROPILENO</v>
      </c>
      <c r="C77" s="374"/>
      <c r="D77" s="374"/>
      <c r="E77" s="374"/>
      <c r="F77" s="374"/>
      <c r="G77" s="374"/>
      <c r="H77" s="374"/>
      <c r="I77" s="6" t="str">
        <f>+VLOOKUP(A77,PPTO!$A$9:$C$52,3,FALSE)</f>
        <v>ML</v>
      </c>
      <c r="J77" s="6">
        <f>+J88</f>
        <v>585.16000000000008</v>
      </c>
      <c r="K77" s="371"/>
    </row>
    <row r="78" spans="1:11" ht="19.5" customHeight="1" x14ac:dyDescent="0.25">
      <c r="A78" s="96" t="s">
        <v>414</v>
      </c>
      <c r="B78" s="84" t="s">
        <v>415</v>
      </c>
      <c r="C78" s="84" t="s">
        <v>416</v>
      </c>
      <c r="D78" s="84" t="s">
        <v>417</v>
      </c>
      <c r="E78" s="84" t="s">
        <v>418</v>
      </c>
      <c r="F78" s="84" t="s">
        <v>419</v>
      </c>
      <c r="G78" s="84" t="s">
        <v>420</v>
      </c>
      <c r="H78" s="84" t="s">
        <v>421</v>
      </c>
      <c r="I78" s="84" t="s">
        <v>422</v>
      </c>
      <c r="J78" s="84" t="s">
        <v>423</v>
      </c>
      <c r="K78" s="371"/>
    </row>
    <row r="79" spans="1:11" x14ac:dyDescent="0.25">
      <c r="A79" s="85" t="s">
        <v>564</v>
      </c>
      <c r="B79" s="85" t="s">
        <v>746</v>
      </c>
      <c r="C79" s="6">
        <v>399.97</v>
      </c>
      <c r="D79" s="6"/>
      <c r="E79" s="6"/>
      <c r="F79" s="6"/>
      <c r="G79" s="6"/>
      <c r="H79" s="6"/>
      <c r="I79" s="6"/>
      <c r="J79" s="6">
        <f>+IF(SUM(C79:I79)=0,"",SUM(C79:I79))</f>
        <v>399.97</v>
      </c>
      <c r="K79" s="371"/>
    </row>
    <row r="80" spans="1:11" x14ac:dyDescent="0.25">
      <c r="A80" s="85" t="s">
        <v>565</v>
      </c>
      <c r="B80" s="85"/>
      <c r="C80" s="85">
        <v>185.19</v>
      </c>
      <c r="D80" s="85"/>
      <c r="E80" s="85"/>
      <c r="F80" s="85"/>
      <c r="G80" s="85"/>
      <c r="H80" s="85"/>
      <c r="I80" s="6"/>
      <c r="J80" s="6">
        <f t="shared" ref="J80:J87" si="6">+IF(SUM(C80:I80)=0,"",SUM(C80:I80))</f>
        <v>185.19</v>
      </c>
      <c r="K80" s="371"/>
    </row>
    <row r="81" spans="1:11" x14ac:dyDescent="0.25">
      <c r="A81" s="95"/>
      <c r="B81" s="85"/>
      <c r="C81" s="85"/>
      <c r="D81" s="85"/>
      <c r="E81" s="85"/>
      <c r="F81" s="85"/>
      <c r="G81" s="85"/>
      <c r="H81" s="85"/>
      <c r="I81" s="6"/>
      <c r="J81" s="6" t="str">
        <f t="shared" si="6"/>
        <v/>
      </c>
      <c r="K81" s="371"/>
    </row>
    <row r="82" spans="1:11" x14ac:dyDescent="0.25">
      <c r="A82" s="95"/>
      <c r="B82" s="85"/>
      <c r="C82" s="85"/>
      <c r="D82" s="85"/>
      <c r="E82" s="85"/>
      <c r="F82" s="85"/>
      <c r="G82" s="85"/>
      <c r="H82" s="85"/>
      <c r="I82" s="6"/>
      <c r="J82" s="6" t="str">
        <f t="shared" si="6"/>
        <v/>
      </c>
      <c r="K82" s="371"/>
    </row>
    <row r="83" spans="1:11" x14ac:dyDescent="0.25">
      <c r="A83" s="95"/>
      <c r="B83" s="85"/>
      <c r="C83" s="85"/>
      <c r="D83" s="85"/>
      <c r="E83" s="85"/>
      <c r="F83" s="85"/>
      <c r="G83" s="85"/>
      <c r="H83" s="85"/>
      <c r="I83" s="6"/>
      <c r="J83" s="6" t="str">
        <f t="shared" si="6"/>
        <v/>
      </c>
      <c r="K83" s="371"/>
    </row>
    <row r="84" spans="1:11" x14ac:dyDescent="0.25">
      <c r="A84" s="95"/>
      <c r="B84" s="85"/>
      <c r="C84" s="85"/>
      <c r="D84" s="85"/>
      <c r="E84" s="85"/>
      <c r="F84" s="85"/>
      <c r="G84" s="85"/>
      <c r="H84" s="85"/>
      <c r="I84" s="6"/>
      <c r="J84" s="6" t="str">
        <f t="shared" si="6"/>
        <v/>
      </c>
      <c r="K84" s="371"/>
    </row>
    <row r="85" spans="1:11" x14ac:dyDescent="0.25">
      <c r="A85" s="95"/>
      <c r="B85" s="85"/>
      <c r="C85" s="85"/>
      <c r="D85" s="85"/>
      <c r="E85" s="85"/>
      <c r="F85" s="85"/>
      <c r="G85" s="85"/>
      <c r="H85" s="85"/>
      <c r="I85" s="6"/>
      <c r="J85" s="6" t="str">
        <f t="shared" si="6"/>
        <v/>
      </c>
      <c r="K85" s="371"/>
    </row>
    <row r="86" spans="1:11" x14ac:dyDescent="0.25">
      <c r="A86" s="95"/>
      <c r="B86" s="85"/>
      <c r="C86" s="85"/>
      <c r="D86" s="85"/>
      <c r="E86" s="85"/>
      <c r="F86" s="85"/>
      <c r="G86" s="85"/>
      <c r="H86" s="85"/>
      <c r="I86" s="6"/>
      <c r="J86" s="6" t="str">
        <f t="shared" si="6"/>
        <v/>
      </c>
      <c r="K86" s="371"/>
    </row>
    <row r="87" spans="1:11" x14ac:dyDescent="0.25">
      <c r="A87" s="95"/>
      <c r="B87" s="85"/>
      <c r="C87" s="85"/>
      <c r="D87" s="85"/>
      <c r="E87" s="85"/>
      <c r="F87" s="85"/>
      <c r="G87" s="85"/>
      <c r="H87" s="85"/>
      <c r="I87" s="6"/>
      <c r="J87" s="6" t="str">
        <f t="shared" si="6"/>
        <v/>
      </c>
      <c r="K87" s="371"/>
    </row>
    <row r="88" spans="1:11" x14ac:dyDescent="0.25">
      <c r="A88" s="369" t="s">
        <v>424</v>
      </c>
      <c r="B88" s="369"/>
      <c r="C88" s="369"/>
      <c r="D88" s="369"/>
      <c r="E88" s="369"/>
      <c r="F88" s="369"/>
      <c r="G88" s="369"/>
      <c r="H88" s="369"/>
      <c r="I88" s="369"/>
      <c r="J88" s="63">
        <f>+SUM(J79:J87)</f>
        <v>585.16000000000008</v>
      </c>
      <c r="K88" s="371"/>
    </row>
    <row r="89" spans="1:11" x14ac:dyDescent="0.25">
      <c r="A89" s="89" t="s">
        <v>288</v>
      </c>
      <c r="B89" s="370" t="s">
        <v>706</v>
      </c>
      <c r="C89" s="370"/>
      <c r="D89" s="370"/>
      <c r="E89" s="370"/>
      <c r="F89" s="370"/>
      <c r="G89" s="370"/>
      <c r="H89" s="370"/>
      <c r="I89" s="75" t="s">
        <v>31</v>
      </c>
      <c r="J89" s="75" t="s">
        <v>4</v>
      </c>
      <c r="K89" s="75" t="s">
        <v>413</v>
      </c>
    </row>
    <row r="90" spans="1:11" x14ac:dyDescent="0.25">
      <c r="A90" s="95" t="s">
        <v>302</v>
      </c>
      <c r="B90" s="374" t="str">
        <f>+UPPER(VLOOKUP(A90,PPTO!$A$9:$C$52,2,FALSE))</f>
        <v>DEMOLICIÓN DE ESTRUCTURAS EXISTENTE</v>
      </c>
      <c r="C90" s="374"/>
      <c r="D90" s="374"/>
      <c r="E90" s="374"/>
      <c r="F90" s="374"/>
      <c r="G90" s="374"/>
      <c r="H90" s="374"/>
      <c r="I90" s="6" t="str">
        <f>+VLOOKUP(A90,PPTO!$A$9:$C$52,3,FALSE)</f>
        <v>M3</v>
      </c>
      <c r="J90" s="6">
        <f>+J101</f>
        <v>32.700000000000003</v>
      </c>
      <c r="K90" s="371"/>
    </row>
    <row r="91" spans="1:11" ht="19.5" customHeight="1" x14ac:dyDescent="0.25">
      <c r="A91" s="96" t="s">
        <v>414</v>
      </c>
      <c r="B91" s="84" t="s">
        <v>415</v>
      </c>
      <c r="C91" s="84" t="s">
        <v>416</v>
      </c>
      <c r="D91" s="84" t="s">
        <v>417</v>
      </c>
      <c r="E91" s="84" t="s">
        <v>418</v>
      </c>
      <c r="F91" s="84" t="s">
        <v>419</v>
      </c>
      <c r="G91" s="84" t="s">
        <v>420</v>
      </c>
      <c r="H91" s="84" t="s">
        <v>421</v>
      </c>
      <c r="I91" s="84" t="s">
        <v>422</v>
      </c>
      <c r="J91" s="84" t="s">
        <v>423</v>
      </c>
      <c r="K91" s="371"/>
    </row>
    <row r="92" spans="1:11" x14ac:dyDescent="0.25">
      <c r="A92" s="85" t="str">
        <f>+CALCULOS!C37</f>
        <v>La Feria</v>
      </c>
      <c r="B92" s="85" t="str">
        <f>+CONCATENATE("Demolición de ",CALCULOS!D37)</f>
        <v>Demolición de Casas</v>
      </c>
      <c r="C92" s="6"/>
      <c r="D92" s="6"/>
      <c r="E92" s="6"/>
      <c r="F92" s="6"/>
      <c r="G92" s="6">
        <f>+CALCULOS!E37</f>
        <v>32.700000000000003</v>
      </c>
      <c r="H92" s="6"/>
      <c r="I92" s="6"/>
      <c r="J92" s="6">
        <f>+IF(SUM(C92:I92)=0,"",SUM(C92:I92))</f>
        <v>32.700000000000003</v>
      </c>
      <c r="K92" s="371"/>
    </row>
    <row r="93" spans="1:11" x14ac:dyDescent="0.25">
      <c r="A93" s="85" t="str">
        <f>+CALCULOS!C38</f>
        <v>La Feria</v>
      </c>
      <c r="B93" s="85" t="str">
        <f>+CONCATENATE("Demolición de ",CALCULOS!D38)</f>
        <v>Demolición de Estructuras Existentes</v>
      </c>
      <c r="C93" s="85"/>
      <c r="D93" s="85"/>
      <c r="E93" s="85"/>
      <c r="F93" s="85"/>
      <c r="G93" s="6">
        <f>+CALCULOS!E38</f>
        <v>0</v>
      </c>
      <c r="H93" s="85"/>
      <c r="I93" s="6"/>
      <c r="J93" s="6" t="str">
        <f t="shared" ref="J93:J100" si="7">+IF(SUM(C93:I93)=0,"",SUM(C93:I93))</f>
        <v/>
      </c>
      <c r="K93" s="371"/>
    </row>
    <row r="94" spans="1:11" x14ac:dyDescent="0.25">
      <c r="A94" s="85"/>
      <c r="B94" s="85"/>
      <c r="C94" s="85"/>
      <c r="D94" s="85"/>
      <c r="E94" s="85"/>
      <c r="F94" s="85"/>
      <c r="G94" s="85"/>
      <c r="H94" s="85"/>
      <c r="I94" s="6"/>
      <c r="J94" s="6" t="str">
        <f t="shared" si="7"/>
        <v/>
      </c>
      <c r="K94" s="371"/>
    </row>
    <row r="95" spans="1:11" x14ac:dyDescent="0.25">
      <c r="A95" s="95"/>
      <c r="B95" s="85"/>
      <c r="C95" s="85"/>
      <c r="D95" s="85"/>
      <c r="E95" s="85"/>
      <c r="F95" s="85"/>
      <c r="G95" s="85"/>
      <c r="H95" s="85"/>
      <c r="I95" s="6"/>
      <c r="J95" s="6" t="str">
        <f t="shared" si="7"/>
        <v/>
      </c>
      <c r="K95" s="371"/>
    </row>
    <row r="96" spans="1:11" x14ac:dyDescent="0.25">
      <c r="A96" s="95"/>
      <c r="B96" s="85"/>
      <c r="C96" s="85"/>
      <c r="D96" s="85"/>
      <c r="E96" s="85"/>
      <c r="F96" s="85"/>
      <c r="G96" s="85"/>
      <c r="H96" s="85"/>
      <c r="I96" s="6"/>
      <c r="J96" s="6" t="str">
        <f t="shared" si="7"/>
        <v/>
      </c>
      <c r="K96" s="371"/>
    </row>
    <row r="97" spans="1:11" x14ac:dyDescent="0.25">
      <c r="A97" s="95"/>
      <c r="B97" s="85"/>
      <c r="C97" s="85"/>
      <c r="D97" s="85"/>
      <c r="E97" s="85"/>
      <c r="F97" s="85"/>
      <c r="G97" s="85"/>
      <c r="H97" s="85"/>
      <c r="I97" s="6"/>
      <c r="J97" s="6" t="str">
        <f t="shared" si="7"/>
        <v/>
      </c>
      <c r="K97" s="371"/>
    </row>
    <row r="98" spans="1:11" x14ac:dyDescent="0.25">
      <c r="A98" s="95"/>
      <c r="B98" s="85"/>
      <c r="C98" s="85"/>
      <c r="D98" s="85"/>
      <c r="E98" s="85"/>
      <c r="F98" s="85"/>
      <c r="G98" s="85"/>
      <c r="H98" s="85"/>
      <c r="I98" s="6"/>
      <c r="J98" s="6" t="str">
        <f t="shared" si="7"/>
        <v/>
      </c>
      <c r="K98" s="371"/>
    </row>
    <row r="99" spans="1:11" x14ac:dyDescent="0.25">
      <c r="A99" s="95"/>
      <c r="B99" s="85"/>
      <c r="C99" s="85"/>
      <c r="D99" s="85"/>
      <c r="E99" s="85"/>
      <c r="F99" s="85"/>
      <c r="G99" s="85"/>
      <c r="H99" s="85"/>
      <c r="I99" s="6"/>
      <c r="J99" s="6" t="str">
        <f t="shared" si="7"/>
        <v/>
      </c>
      <c r="K99" s="371"/>
    </row>
    <row r="100" spans="1:11" x14ac:dyDescent="0.25">
      <c r="A100" s="95"/>
      <c r="B100" s="85"/>
      <c r="C100" s="85"/>
      <c r="D100" s="85"/>
      <c r="E100" s="85"/>
      <c r="F100" s="85"/>
      <c r="G100" s="85"/>
      <c r="H100" s="85"/>
      <c r="I100" s="6"/>
      <c r="J100" s="6" t="str">
        <f t="shared" si="7"/>
        <v/>
      </c>
      <c r="K100" s="371"/>
    </row>
    <row r="101" spans="1:11" x14ac:dyDescent="0.25">
      <c r="A101" s="369" t="s">
        <v>424</v>
      </c>
      <c r="B101" s="369"/>
      <c r="C101" s="369"/>
      <c r="D101" s="369"/>
      <c r="E101" s="369"/>
      <c r="F101" s="369"/>
      <c r="G101" s="369"/>
      <c r="H101" s="369"/>
      <c r="I101" s="369"/>
      <c r="J101" s="63">
        <f>+SUM(J92:J100)</f>
        <v>32.700000000000003</v>
      </c>
      <c r="K101" s="371"/>
    </row>
    <row r="102" spans="1:11" x14ac:dyDescent="0.25">
      <c r="A102" s="89" t="s">
        <v>288</v>
      </c>
      <c r="B102" s="370" t="s">
        <v>706</v>
      </c>
      <c r="C102" s="370"/>
      <c r="D102" s="370"/>
      <c r="E102" s="370"/>
      <c r="F102" s="370"/>
      <c r="G102" s="370"/>
      <c r="H102" s="370"/>
      <c r="I102" s="75" t="s">
        <v>31</v>
      </c>
      <c r="J102" s="75" t="s">
        <v>4</v>
      </c>
      <c r="K102" s="75" t="s">
        <v>413</v>
      </c>
    </row>
    <row r="103" spans="1:11" x14ac:dyDescent="0.25">
      <c r="A103" s="118"/>
      <c r="B103" s="118"/>
      <c r="C103" s="118"/>
      <c r="D103" s="118"/>
      <c r="E103" s="118"/>
      <c r="F103" s="118"/>
      <c r="G103" s="118"/>
      <c r="H103" s="118"/>
      <c r="I103" s="118"/>
      <c r="J103" s="5"/>
    </row>
    <row r="104" spans="1:11" ht="15" customHeight="1" x14ac:dyDescent="0.25">
      <c r="A104" s="87" t="s">
        <v>306</v>
      </c>
      <c r="B104" s="87" t="s">
        <v>307</v>
      </c>
      <c r="C104" s="87"/>
      <c r="D104" s="87"/>
      <c r="E104" s="87"/>
      <c r="F104" s="87"/>
      <c r="G104" s="87"/>
      <c r="H104" s="87"/>
      <c r="I104" s="86"/>
      <c r="J104" s="86"/>
      <c r="K104" s="88"/>
    </row>
    <row r="105" spans="1:11" ht="15" customHeight="1" x14ac:dyDescent="0.25">
      <c r="A105" s="94"/>
      <c r="B105" s="79"/>
      <c r="C105" s="79"/>
      <c r="D105" s="79"/>
      <c r="E105" s="79"/>
      <c r="F105" s="79"/>
      <c r="G105" s="79"/>
      <c r="H105" s="79"/>
      <c r="I105" s="5"/>
      <c r="J105" s="5"/>
    </row>
    <row r="106" spans="1:11" x14ac:dyDescent="0.25">
      <c r="A106" s="89" t="s">
        <v>288</v>
      </c>
      <c r="B106" s="370" t="s">
        <v>706</v>
      </c>
      <c r="C106" s="370"/>
      <c r="D106" s="370"/>
      <c r="E106" s="370"/>
      <c r="F106" s="370"/>
      <c r="G106" s="370"/>
      <c r="H106" s="370"/>
      <c r="I106" s="75" t="s">
        <v>31</v>
      </c>
      <c r="J106" s="75" t="s">
        <v>4</v>
      </c>
      <c r="K106" s="75" t="s">
        <v>413</v>
      </c>
    </row>
    <row r="107" spans="1:11" ht="15" customHeight="1" x14ac:dyDescent="0.25">
      <c r="A107" s="95" t="s">
        <v>308</v>
      </c>
      <c r="B107" s="374" t="str">
        <f>+UPPER(VLOOKUP(A107,PPTO!$A$9:$C$52,2,FALSE))</f>
        <v>RETIRO DE SOBRANTES (AL BOTADERO AUTORIZADO)</v>
      </c>
      <c r="C107" s="374"/>
      <c r="D107" s="374"/>
      <c r="E107" s="374"/>
      <c r="F107" s="374"/>
      <c r="G107" s="374"/>
      <c r="H107" s="374"/>
      <c r="I107" s="6" t="str">
        <f>+VLOOKUP(A107,PPTO!$A$9:$C$52,3,FALSE)</f>
        <v>M3</v>
      </c>
      <c r="J107" s="6">
        <f>+J118</f>
        <v>9401</v>
      </c>
      <c r="K107" s="371"/>
    </row>
    <row r="108" spans="1:11" ht="19.5" customHeight="1" x14ac:dyDescent="0.25">
      <c r="A108" s="96" t="s">
        <v>414</v>
      </c>
      <c r="B108" s="84" t="s">
        <v>415</v>
      </c>
      <c r="C108" s="84" t="s">
        <v>416</v>
      </c>
      <c r="D108" s="84" t="s">
        <v>417</v>
      </c>
      <c r="E108" s="84" t="s">
        <v>418</v>
      </c>
      <c r="F108" s="84" t="s">
        <v>419</v>
      </c>
      <c r="G108" s="84" t="s">
        <v>420</v>
      </c>
      <c r="H108" s="84" t="s">
        <v>421</v>
      </c>
      <c r="I108" s="84" t="s">
        <v>422</v>
      </c>
      <c r="J108" s="84" t="s">
        <v>423</v>
      </c>
      <c r="K108" s="372"/>
    </row>
    <row r="109" spans="1:11" x14ac:dyDescent="0.25">
      <c r="A109" s="85" t="s">
        <v>558</v>
      </c>
      <c r="B109" s="85" t="str">
        <f>+CONCATENATE("Material Expandido para ",CALCULOS!C51)</f>
        <v>Material Expandido para Poligono 1</v>
      </c>
      <c r="C109" s="6"/>
      <c r="D109" s="6"/>
      <c r="E109" s="6"/>
      <c r="F109" s="6"/>
      <c r="G109" s="6">
        <f>+CALCULOS!J51</f>
        <v>9401</v>
      </c>
      <c r="H109" s="6"/>
      <c r="I109" s="6"/>
      <c r="J109" s="6">
        <f>+IF(SUM(C109:I109)=0,"",SUM(C109:I109))</f>
        <v>9401</v>
      </c>
      <c r="K109" s="372"/>
    </row>
    <row r="110" spans="1:11" x14ac:dyDescent="0.25">
      <c r="A110" s="85" t="s">
        <v>559</v>
      </c>
      <c r="B110" s="85" t="str">
        <f>+CONCATENATE("Material Expandido para ",CALCULOS!C52)</f>
        <v>Material Expandido para Poligono 2</v>
      </c>
      <c r="C110" s="85"/>
      <c r="D110" s="85"/>
      <c r="E110" s="85"/>
      <c r="F110" s="85"/>
      <c r="G110" s="6">
        <f>+CALCULOS!J52</f>
        <v>0</v>
      </c>
      <c r="H110" s="85"/>
      <c r="I110" s="6"/>
      <c r="J110" s="6" t="str">
        <f t="shared" ref="J110:J117" si="8">+IF(SUM(C110:I110)=0,"",SUM(C110:I110))</f>
        <v/>
      </c>
      <c r="K110" s="372"/>
    </row>
    <row r="111" spans="1:11" x14ac:dyDescent="0.25">
      <c r="A111" s="85" t="s">
        <v>560</v>
      </c>
      <c r="B111" s="85" t="str">
        <f>+CONCATENATE("Material Expandido para ",CALCULOS!C53)</f>
        <v>Material Expandido para Disipador 1</v>
      </c>
      <c r="C111" s="85"/>
      <c r="D111" s="85"/>
      <c r="E111" s="85"/>
      <c r="F111" s="85"/>
      <c r="G111" s="6">
        <f>+CALCULOS!J53</f>
        <v>0</v>
      </c>
      <c r="H111" s="85"/>
      <c r="I111" s="6"/>
      <c r="J111" s="6" t="str">
        <f t="shared" si="8"/>
        <v/>
      </c>
      <c r="K111" s="372"/>
    </row>
    <row r="112" spans="1:11" x14ac:dyDescent="0.25">
      <c r="A112" s="85" t="s">
        <v>628</v>
      </c>
      <c r="B112" s="85" t="str">
        <f>+CONCATENATE("Material Expandido para ",CALCULOS!C54)</f>
        <v>Material Expandido para Disipador 2</v>
      </c>
      <c r="C112" s="85"/>
      <c r="D112" s="85"/>
      <c r="E112" s="85"/>
      <c r="F112" s="85"/>
      <c r="G112" s="6">
        <f>+CALCULOS!J54</f>
        <v>0</v>
      </c>
      <c r="H112" s="85"/>
      <c r="I112" s="6"/>
      <c r="J112" s="6" t="str">
        <f t="shared" si="8"/>
        <v/>
      </c>
      <c r="K112" s="372"/>
    </row>
    <row r="113" spans="1:11" x14ac:dyDescent="0.25">
      <c r="A113" s="85"/>
      <c r="B113" s="85"/>
      <c r="C113" s="85"/>
      <c r="D113" s="85"/>
      <c r="E113" s="85"/>
      <c r="F113" s="85"/>
      <c r="G113" s="6"/>
      <c r="H113" s="85"/>
      <c r="I113" s="6"/>
      <c r="J113" s="6" t="str">
        <f t="shared" si="8"/>
        <v/>
      </c>
      <c r="K113" s="372"/>
    </row>
    <row r="114" spans="1:11" x14ac:dyDescent="0.25">
      <c r="A114" s="85"/>
      <c r="B114" s="85"/>
      <c r="C114" s="85"/>
      <c r="D114" s="85"/>
      <c r="E114" s="85"/>
      <c r="F114" s="85"/>
      <c r="G114" s="6"/>
      <c r="H114" s="85"/>
      <c r="I114" s="6"/>
      <c r="J114" s="6" t="str">
        <f t="shared" si="8"/>
        <v/>
      </c>
      <c r="K114" s="372"/>
    </row>
    <row r="115" spans="1:11" x14ac:dyDescent="0.25">
      <c r="A115" s="85"/>
      <c r="B115" s="85"/>
      <c r="C115" s="85"/>
      <c r="D115" s="85"/>
      <c r="E115" s="85"/>
      <c r="F115" s="85"/>
      <c r="G115" s="6"/>
      <c r="H115" s="85"/>
      <c r="I115" s="6"/>
      <c r="J115" s="6" t="str">
        <f t="shared" si="8"/>
        <v/>
      </c>
      <c r="K115" s="372"/>
    </row>
    <row r="116" spans="1:11" x14ac:dyDescent="0.25">
      <c r="A116" s="95"/>
      <c r="B116" s="85"/>
      <c r="C116" s="85"/>
      <c r="D116" s="85"/>
      <c r="E116" s="85"/>
      <c r="F116" s="85"/>
      <c r="G116" s="85"/>
      <c r="H116" s="85"/>
      <c r="I116" s="6"/>
      <c r="J116" s="6" t="str">
        <f t="shared" si="8"/>
        <v/>
      </c>
      <c r="K116" s="372"/>
    </row>
    <row r="117" spans="1:11" x14ac:dyDescent="0.25">
      <c r="A117" s="95"/>
      <c r="B117" s="85"/>
      <c r="C117" s="85"/>
      <c r="D117" s="85"/>
      <c r="E117" s="85"/>
      <c r="F117" s="85"/>
      <c r="G117" s="85"/>
      <c r="H117" s="85"/>
      <c r="I117" s="6"/>
      <c r="J117" s="6" t="str">
        <f t="shared" si="8"/>
        <v/>
      </c>
      <c r="K117" s="372"/>
    </row>
    <row r="118" spans="1:11" x14ac:dyDescent="0.25">
      <c r="A118" s="369" t="s">
        <v>424</v>
      </c>
      <c r="B118" s="369"/>
      <c r="C118" s="369"/>
      <c r="D118" s="369"/>
      <c r="E118" s="369"/>
      <c r="F118" s="369"/>
      <c r="G118" s="369"/>
      <c r="H118" s="369"/>
      <c r="I118" s="369"/>
      <c r="J118" s="63">
        <f>+SUM(J109:J117)</f>
        <v>9401</v>
      </c>
      <c r="K118" s="373"/>
    </row>
    <row r="119" spans="1:11" x14ac:dyDescent="0.25">
      <c r="A119" s="89" t="s">
        <v>288</v>
      </c>
      <c r="B119" s="370" t="s">
        <v>706</v>
      </c>
      <c r="C119" s="370"/>
      <c r="D119" s="370"/>
      <c r="E119" s="370"/>
      <c r="F119" s="370"/>
      <c r="G119" s="370"/>
      <c r="H119" s="370"/>
      <c r="I119" s="75" t="s">
        <v>31</v>
      </c>
      <c r="J119" s="75" t="s">
        <v>4</v>
      </c>
      <c r="K119" s="75" t="s">
        <v>413</v>
      </c>
    </row>
    <row r="120" spans="1:11" ht="15" customHeight="1" x14ac:dyDescent="0.25">
      <c r="A120" s="95" t="s">
        <v>309</v>
      </c>
      <c r="B120" s="374" t="str">
        <f>+UPPER(VLOOKUP(A120,PPTO!$A$9:$C$52,2,FALSE))</f>
        <v>SOBREACARREOS INTERNOS ENTRE 0 Y 200 MTS.</v>
      </c>
      <c r="C120" s="374"/>
      <c r="D120" s="374"/>
      <c r="E120" s="374"/>
      <c r="F120" s="374"/>
      <c r="G120" s="374"/>
      <c r="H120" s="374"/>
      <c r="I120" s="6" t="str">
        <f>+VLOOKUP(A120,PPTO!$A$9:$C$52,3,FALSE)</f>
        <v>M3</v>
      </c>
      <c r="J120" s="6">
        <f>+J131</f>
        <v>940.1</v>
      </c>
      <c r="K120" s="371"/>
    </row>
    <row r="121" spans="1:11" ht="19.5" customHeight="1" x14ac:dyDescent="0.25">
      <c r="A121" s="96" t="s">
        <v>414</v>
      </c>
      <c r="B121" s="84" t="s">
        <v>415</v>
      </c>
      <c r="C121" s="84" t="s">
        <v>416</v>
      </c>
      <c r="D121" s="84" t="s">
        <v>417</v>
      </c>
      <c r="E121" s="84" t="s">
        <v>418</v>
      </c>
      <c r="F121" s="84" t="s">
        <v>419</v>
      </c>
      <c r="G121" s="84" t="s">
        <v>420</v>
      </c>
      <c r="H121" s="84" t="s">
        <v>421</v>
      </c>
      <c r="I121" s="84" t="s">
        <v>422</v>
      </c>
      <c r="J121" s="84" t="s">
        <v>423</v>
      </c>
      <c r="K121" s="372"/>
    </row>
    <row r="122" spans="1:11" ht="27.75" customHeight="1" x14ac:dyDescent="0.25">
      <c r="A122" s="85" t="str">
        <f>+A109</f>
        <v>Area 1</v>
      </c>
      <c r="B122" s="9" t="str">
        <f>+CONCATENATE("Sobreacarreos (10% del Vol. Total) para ",CALCULOS!C51)</f>
        <v>Sobreacarreos (10% del Vol. Total) para Poligono 1</v>
      </c>
      <c r="C122" s="6"/>
      <c r="D122" s="6"/>
      <c r="E122" s="6"/>
      <c r="F122" s="6"/>
      <c r="G122" s="130">
        <f>+CALCULOS!K51</f>
        <v>940.1</v>
      </c>
      <c r="H122" s="6"/>
      <c r="I122" s="6"/>
      <c r="J122" s="6">
        <f>+IF(SUM(C122:I122)=0,"",SUM(C122:I122))</f>
        <v>940.1</v>
      </c>
      <c r="K122" s="372"/>
    </row>
    <row r="123" spans="1:11" ht="25.5" x14ac:dyDescent="0.25">
      <c r="A123" s="85" t="str">
        <f>+A110</f>
        <v>Area 2</v>
      </c>
      <c r="B123" s="9" t="str">
        <f>+CONCATENATE("Sobreacarreos (10% del Vol. Total) para ",CALCULOS!C52)</f>
        <v>Sobreacarreos (10% del Vol. Total) para Poligono 2</v>
      </c>
      <c r="C123" s="85"/>
      <c r="D123" s="85"/>
      <c r="E123" s="85"/>
      <c r="F123" s="85"/>
      <c r="G123" s="130">
        <f>+CALCULOS!K52</f>
        <v>0</v>
      </c>
      <c r="H123" s="85"/>
      <c r="I123" s="6"/>
      <c r="J123" s="6" t="str">
        <f t="shared" ref="J123:J130" si="9">+IF(SUM(C123:I123)=0,"",SUM(C123:I123))</f>
        <v/>
      </c>
      <c r="K123" s="372"/>
    </row>
    <row r="124" spans="1:11" ht="25.5" x14ac:dyDescent="0.25">
      <c r="A124" s="85" t="str">
        <f>+A111</f>
        <v>Area 3</v>
      </c>
      <c r="B124" s="9" t="str">
        <f>+CONCATENATE("Sobreacarreos (10% del Vol. Total) para ",CALCULOS!C53)</f>
        <v>Sobreacarreos (10% del Vol. Total) para Disipador 1</v>
      </c>
      <c r="C124" s="85"/>
      <c r="D124" s="85"/>
      <c r="E124" s="85"/>
      <c r="F124" s="85"/>
      <c r="G124" s="130">
        <f>+CALCULOS!K53</f>
        <v>0</v>
      </c>
      <c r="H124" s="85"/>
      <c r="I124" s="6"/>
      <c r="J124" s="6" t="str">
        <f t="shared" si="9"/>
        <v/>
      </c>
      <c r="K124" s="372"/>
    </row>
    <row r="125" spans="1:11" ht="25.5" x14ac:dyDescent="0.25">
      <c r="A125" s="85" t="str">
        <f>+A112</f>
        <v>Area 4</v>
      </c>
      <c r="B125" s="9" t="str">
        <f>+CONCATENATE("Sobreacarreos (10% del Vol. Total) para ",CALCULOS!C54)</f>
        <v>Sobreacarreos (10% del Vol. Total) para Disipador 2</v>
      </c>
      <c r="C125" s="85"/>
      <c r="D125" s="85"/>
      <c r="E125" s="85"/>
      <c r="F125" s="85"/>
      <c r="G125" s="136">
        <f>+CALCULOS!K54</f>
        <v>0</v>
      </c>
      <c r="H125" s="85"/>
      <c r="I125" s="6"/>
      <c r="J125" s="6" t="str">
        <f t="shared" si="9"/>
        <v/>
      </c>
      <c r="K125" s="372"/>
    </row>
    <row r="126" spans="1:11" x14ac:dyDescent="0.25">
      <c r="A126" s="85"/>
      <c r="B126" s="85"/>
      <c r="C126" s="85"/>
      <c r="D126" s="85"/>
      <c r="E126" s="85"/>
      <c r="F126" s="85"/>
      <c r="G126" s="6"/>
      <c r="H126" s="85"/>
      <c r="I126" s="6"/>
      <c r="J126" s="6" t="str">
        <f t="shared" si="9"/>
        <v/>
      </c>
      <c r="K126" s="372"/>
    </row>
    <row r="127" spans="1:11" x14ac:dyDescent="0.25">
      <c r="A127" s="85"/>
      <c r="B127" s="85"/>
      <c r="C127" s="85"/>
      <c r="D127" s="85"/>
      <c r="E127" s="85"/>
      <c r="F127" s="85"/>
      <c r="G127" s="6"/>
      <c r="H127" s="85"/>
      <c r="I127" s="6"/>
      <c r="J127" s="6" t="str">
        <f t="shared" si="9"/>
        <v/>
      </c>
      <c r="K127" s="372"/>
    </row>
    <row r="128" spans="1:11" x14ac:dyDescent="0.25">
      <c r="A128" s="85"/>
      <c r="B128" s="85"/>
      <c r="C128" s="85"/>
      <c r="D128" s="85"/>
      <c r="E128" s="85"/>
      <c r="F128" s="85"/>
      <c r="G128" s="6"/>
      <c r="H128" s="85"/>
      <c r="I128" s="6"/>
      <c r="J128" s="6" t="str">
        <f t="shared" si="9"/>
        <v/>
      </c>
      <c r="K128" s="372"/>
    </row>
    <row r="129" spans="1:11" x14ac:dyDescent="0.25">
      <c r="A129" s="85"/>
      <c r="B129" s="85"/>
      <c r="C129" s="85"/>
      <c r="D129" s="85"/>
      <c r="E129" s="85"/>
      <c r="F129" s="85"/>
      <c r="G129" s="85"/>
      <c r="H129" s="85"/>
      <c r="I129" s="6"/>
      <c r="J129" s="6" t="str">
        <f t="shared" si="9"/>
        <v/>
      </c>
      <c r="K129" s="372"/>
    </row>
    <row r="130" spans="1:11" x14ac:dyDescent="0.25">
      <c r="A130" s="95"/>
      <c r="B130" s="85"/>
      <c r="C130" s="85"/>
      <c r="D130" s="85"/>
      <c r="E130" s="85"/>
      <c r="F130" s="85"/>
      <c r="G130" s="85"/>
      <c r="H130" s="85"/>
      <c r="I130" s="6"/>
      <c r="J130" s="6" t="str">
        <f t="shared" si="9"/>
        <v/>
      </c>
      <c r="K130" s="372"/>
    </row>
    <row r="131" spans="1:11" x14ac:dyDescent="0.25">
      <c r="A131" s="369" t="s">
        <v>424</v>
      </c>
      <c r="B131" s="369"/>
      <c r="C131" s="369"/>
      <c r="D131" s="369"/>
      <c r="E131" s="369"/>
      <c r="F131" s="369"/>
      <c r="G131" s="369"/>
      <c r="H131" s="369"/>
      <c r="I131" s="369"/>
      <c r="J131" s="63">
        <f>+SUM(J122:J130)</f>
        <v>940.1</v>
      </c>
      <c r="K131" s="373"/>
    </row>
    <row r="132" spans="1:11" x14ac:dyDescent="0.25">
      <c r="A132" s="89" t="s">
        <v>288</v>
      </c>
      <c r="B132" s="370" t="s">
        <v>706</v>
      </c>
      <c r="C132" s="370"/>
      <c r="D132" s="370"/>
      <c r="E132" s="370"/>
      <c r="F132" s="370"/>
      <c r="G132" s="370"/>
      <c r="H132" s="370"/>
      <c r="I132" s="75" t="s">
        <v>31</v>
      </c>
      <c r="J132" s="75" t="s">
        <v>4</v>
      </c>
      <c r="K132" s="75" t="s">
        <v>413</v>
      </c>
    </row>
    <row r="133" spans="1:11" ht="15" customHeight="1" x14ac:dyDescent="0.25">
      <c r="A133" s="95" t="s">
        <v>310</v>
      </c>
      <c r="B133" s="374" t="str">
        <f>+UPPER(VLOOKUP(A133,PPTO!$A$9:$C$52,2,FALSE))</f>
        <v>EXCAVACION A MANO EN DESCOLGADO DEL TALUD PARA ZAPATAS</v>
      </c>
      <c r="C133" s="374"/>
      <c r="D133" s="374"/>
      <c r="E133" s="374"/>
      <c r="F133" s="374"/>
      <c r="G133" s="374"/>
      <c r="H133" s="374"/>
      <c r="I133" s="6" t="str">
        <f>+VLOOKUP(A133,PPTO!$A$9:$C$52,3,FALSE)</f>
        <v>M3</v>
      </c>
      <c r="J133" s="6">
        <f>+J144</f>
        <v>148.47299999999998</v>
      </c>
      <c r="K133" s="371"/>
    </row>
    <row r="134" spans="1:11" ht="19.5" customHeight="1" x14ac:dyDescent="0.25">
      <c r="A134" s="96" t="s">
        <v>414</v>
      </c>
      <c r="B134" s="84" t="s">
        <v>415</v>
      </c>
      <c r="C134" s="84" t="s">
        <v>416</v>
      </c>
      <c r="D134" s="84" t="s">
        <v>417</v>
      </c>
      <c r="E134" s="84" t="s">
        <v>418</v>
      </c>
      <c r="F134" s="84" t="s">
        <v>419</v>
      </c>
      <c r="G134" s="84" t="s">
        <v>420</v>
      </c>
      <c r="H134" s="84" t="s">
        <v>421</v>
      </c>
      <c r="I134" s="84" t="s">
        <v>422</v>
      </c>
      <c r="J134" s="84" t="s">
        <v>423</v>
      </c>
      <c r="K134" s="372"/>
    </row>
    <row r="135" spans="1:11" ht="26.25" customHeight="1" x14ac:dyDescent="0.25">
      <c r="A135" s="85"/>
      <c r="B135" s="85"/>
      <c r="C135" s="6">
        <v>0.9</v>
      </c>
      <c r="D135" s="6">
        <v>0.9</v>
      </c>
      <c r="E135" s="6">
        <v>0.3</v>
      </c>
      <c r="F135" s="6"/>
      <c r="G135" s="6"/>
      <c r="H135" s="6"/>
      <c r="I135" s="6">
        <f>98+107+206+200</f>
        <v>611</v>
      </c>
      <c r="J135" s="6">
        <f>C135*D135*E135*I135</f>
        <v>148.47299999999998</v>
      </c>
      <c r="K135" s="372"/>
    </row>
    <row r="136" spans="1:11" x14ac:dyDescent="0.25">
      <c r="A136" s="95"/>
      <c r="B136" s="85"/>
      <c r="C136" s="85"/>
      <c r="D136" s="85"/>
      <c r="E136" s="85"/>
      <c r="F136" s="85"/>
      <c r="G136" s="85"/>
      <c r="H136" s="85"/>
      <c r="I136" s="6"/>
      <c r="J136" s="6" t="str">
        <f t="shared" ref="J136:J143" si="10">+IF(SUM(C136:I136)=0,"",SUM(C136:I136))</f>
        <v/>
      </c>
      <c r="K136" s="372"/>
    </row>
    <row r="137" spans="1:11" x14ac:dyDescent="0.25">
      <c r="A137" s="95"/>
      <c r="B137" s="85"/>
      <c r="C137" s="85"/>
      <c r="D137" s="85"/>
      <c r="E137" s="85"/>
      <c r="F137" s="85"/>
      <c r="G137" s="85"/>
      <c r="H137" s="85"/>
      <c r="I137" s="6"/>
      <c r="J137" s="6" t="str">
        <f t="shared" si="10"/>
        <v/>
      </c>
      <c r="K137" s="372"/>
    </row>
    <row r="138" spans="1:11" x14ac:dyDescent="0.25">
      <c r="A138" s="95"/>
      <c r="B138" s="85"/>
      <c r="C138" s="85"/>
      <c r="D138" s="85"/>
      <c r="E138" s="85"/>
      <c r="F138" s="85"/>
      <c r="G138" s="85"/>
      <c r="H138" s="85"/>
      <c r="I138" s="6"/>
      <c r="J138" s="6" t="str">
        <f t="shared" si="10"/>
        <v/>
      </c>
      <c r="K138" s="372"/>
    </row>
    <row r="139" spans="1:11" x14ac:dyDescent="0.25">
      <c r="A139" s="95"/>
      <c r="B139" s="85"/>
      <c r="C139" s="85"/>
      <c r="D139" s="85"/>
      <c r="E139" s="85"/>
      <c r="F139" s="85"/>
      <c r="G139" s="85"/>
      <c r="H139" s="85"/>
      <c r="I139" s="6"/>
      <c r="J139" s="6" t="str">
        <f t="shared" si="10"/>
        <v/>
      </c>
      <c r="K139" s="372"/>
    </row>
    <row r="140" spans="1:11" x14ac:dyDescent="0.25">
      <c r="A140" s="95"/>
      <c r="B140" s="85"/>
      <c r="C140" s="85"/>
      <c r="D140" s="85"/>
      <c r="E140" s="85"/>
      <c r="F140" s="85"/>
      <c r="G140" s="85"/>
      <c r="H140" s="85"/>
      <c r="I140" s="6"/>
      <c r="J140" s="6" t="str">
        <f t="shared" si="10"/>
        <v/>
      </c>
      <c r="K140" s="372"/>
    </row>
    <row r="141" spans="1:11" x14ac:dyDescent="0.25">
      <c r="A141" s="95"/>
      <c r="B141" s="85"/>
      <c r="C141" s="85"/>
      <c r="D141" s="85"/>
      <c r="E141" s="85"/>
      <c r="F141" s="85"/>
      <c r="G141" s="85"/>
      <c r="H141" s="85"/>
      <c r="I141" s="6"/>
      <c r="J141" s="6" t="str">
        <f t="shared" si="10"/>
        <v/>
      </c>
      <c r="K141" s="372"/>
    </row>
    <row r="142" spans="1:11" x14ac:dyDescent="0.25">
      <c r="A142" s="95"/>
      <c r="B142" s="85"/>
      <c r="C142" s="85"/>
      <c r="D142" s="85"/>
      <c r="E142" s="85"/>
      <c r="F142" s="85"/>
      <c r="G142" s="85"/>
      <c r="H142" s="85"/>
      <c r="I142" s="6"/>
      <c r="J142" s="6" t="str">
        <f t="shared" si="10"/>
        <v/>
      </c>
      <c r="K142" s="372"/>
    </row>
    <row r="143" spans="1:11" x14ac:dyDescent="0.25">
      <c r="A143" s="95"/>
      <c r="B143" s="85"/>
      <c r="C143" s="85"/>
      <c r="D143" s="85"/>
      <c r="E143" s="85"/>
      <c r="F143" s="85"/>
      <c r="G143" s="85"/>
      <c r="H143" s="85"/>
      <c r="I143" s="6"/>
      <c r="J143" s="6" t="str">
        <f t="shared" si="10"/>
        <v/>
      </c>
      <c r="K143" s="372"/>
    </row>
    <row r="144" spans="1:11" x14ac:dyDescent="0.25">
      <c r="A144" s="369" t="s">
        <v>424</v>
      </c>
      <c r="B144" s="369"/>
      <c r="C144" s="369"/>
      <c r="D144" s="369"/>
      <c r="E144" s="369"/>
      <c r="F144" s="369"/>
      <c r="G144" s="369"/>
      <c r="H144" s="369"/>
      <c r="I144" s="369"/>
      <c r="J144" s="63">
        <f>+SUM(J135:J143)</f>
        <v>148.47299999999998</v>
      </c>
      <c r="K144" s="373"/>
    </row>
    <row r="145" spans="1:11" x14ac:dyDescent="0.25">
      <c r="A145" s="89" t="s">
        <v>288</v>
      </c>
      <c r="B145" s="370" t="s">
        <v>706</v>
      </c>
      <c r="C145" s="370"/>
      <c r="D145" s="370"/>
      <c r="E145" s="370"/>
      <c r="F145" s="370"/>
      <c r="G145" s="370"/>
      <c r="H145" s="370"/>
      <c r="I145" s="75" t="s">
        <v>31</v>
      </c>
      <c r="J145" s="75" t="s">
        <v>4</v>
      </c>
      <c r="K145" s="75" t="s">
        <v>413</v>
      </c>
    </row>
    <row r="146" spans="1:11" ht="28.5" customHeight="1" x14ac:dyDescent="0.25">
      <c r="A146" s="95" t="s">
        <v>312</v>
      </c>
      <c r="B146" s="374" t="str">
        <f>+UPPER(VLOOKUP(A146,PPTO!$A$9:$C$52,2,FALSE))</f>
        <v>EXCAVACIÓN A TAJO ABIERTO EN TALUDES-EXCAVACIÓN CON ACARREO LIBRE-EN MATERIAL GRANULAR A CUALQUIER PROFUNDIDAD</v>
      </c>
      <c r="C146" s="374"/>
      <c r="D146" s="374"/>
      <c r="E146" s="374"/>
      <c r="F146" s="374"/>
      <c r="G146" s="374"/>
      <c r="H146" s="374"/>
      <c r="I146" s="6" t="str">
        <f>+VLOOKUP(A146,PPTO!$A$9:$C$52,3,FALSE)</f>
        <v>M3</v>
      </c>
      <c r="J146" s="6">
        <f>+J157</f>
        <v>7520.8</v>
      </c>
      <c r="K146" s="371"/>
    </row>
    <row r="147" spans="1:11" ht="19.5" customHeight="1" x14ac:dyDescent="0.25">
      <c r="A147" s="96" t="s">
        <v>414</v>
      </c>
      <c r="B147" s="84" t="s">
        <v>415</v>
      </c>
      <c r="C147" s="84" t="s">
        <v>416</v>
      </c>
      <c r="D147" s="84" t="s">
        <v>417</v>
      </c>
      <c r="E147" s="84" t="s">
        <v>418</v>
      </c>
      <c r="F147" s="84" t="s">
        <v>419</v>
      </c>
      <c r="G147" s="84" t="s">
        <v>420</v>
      </c>
      <c r="H147" s="84" t="s">
        <v>421</v>
      </c>
      <c r="I147" s="84" t="s">
        <v>422</v>
      </c>
      <c r="J147" s="84" t="s">
        <v>423</v>
      </c>
      <c r="K147" s="372"/>
    </row>
    <row r="148" spans="1:11" x14ac:dyDescent="0.25">
      <c r="A148" s="85" t="str">
        <f>+A23</f>
        <v>Area 1</v>
      </c>
      <c r="B148" s="85" t="str">
        <f>+CONCATENATE("Excavacion para ",CALCULOS!C51)</f>
        <v>Excavacion para Poligono 1</v>
      </c>
      <c r="C148" s="6"/>
      <c r="D148" s="6"/>
      <c r="E148" s="6"/>
      <c r="G148" s="6">
        <f>+CALCULOS!I51</f>
        <v>7520.8</v>
      </c>
      <c r="H148" s="6"/>
      <c r="I148" s="6">
        <f>G148</f>
        <v>7520.8</v>
      </c>
      <c r="J148" s="6">
        <f>+IF(SUM(H148:I148)=0,"",SUM(H148:I148))</f>
        <v>7520.8</v>
      </c>
      <c r="K148" s="372"/>
    </row>
    <row r="149" spans="1:11" x14ac:dyDescent="0.25">
      <c r="A149" s="95"/>
      <c r="B149" s="85"/>
      <c r="C149" s="85"/>
      <c r="D149" s="85"/>
      <c r="E149" s="85"/>
      <c r="F149" s="85"/>
      <c r="G149" s="85"/>
      <c r="H149" s="85"/>
      <c r="I149" s="6"/>
      <c r="J149" s="6" t="str">
        <f t="shared" ref="J149:J156" si="11">+IF(SUM(C149:I149)=0,"",SUM(C149:I149))</f>
        <v/>
      </c>
      <c r="K149" s="372"/>
    </row>
    <row r="150" spans="1:11" x14ac:dyDescent="0.25">
      <c r="A150" s="95"/>
      <c r="B150" s="85"/>
      <c r="C150" s="85"/>
      <c r="D150" s="85"/>
      <c r="E150" s="85"/>
      <c r="F150" s="85"/>
      <c r="G150" s="85"/>
      <c r="H150" s="85"/>
      <c r="I150" s="6"/>
      <c r="J150" s="6" t="str">
        <f t="shared" si="11"/>
        <v/>
      </c>
      <c r="K150" s="372"/>
    </row>
    <row r="151" spans="1:11" x14ac:dyDescent="0.25">
      <c r="A151" s="95"/>
      <c r="B151" s="85"/>
      <c r="C151" s="85"/>
      <c r="D151" s="85"/>
      <c r="E151" s="85"/>
      <c r="F151" s="85"/>
      <c r="G151" s="85"/>
      <c r="H151" s="85"/>
      <c r="I151" s="6"/>
      <c r="J151" s="6" t="str">
        <f t="shared" si="11"/>
        <v/>
      </c>
      <c r="K151" s="372"/>
    </row>
    <row r="152" spans="1:11" x14ac:dyDescent="0.25">
      <c r="A152" s="95"/>
      <c r="B152" s="85"/>
      <c r="C152" s="85"/>
      <c r="D152" s="85"/>
      <c r="E152" s="85"/>
      <c r="F152" s="85"/>
      <c r="G152" s="85"/>
      <c r="H152" s="85"/>
      <c r="I152" s="6"/>
      <c r="J152" s="6" t="str">
        <f t="shared" si="11"/>
        <v/>
      </c>
      <c r="K152" s="372"/>
    </row>
    <row r="153" spans="1:11" x14ac:dyDescent="0.25">
      <c r="A153" s="95"/>
      <c r="B153" s="85"/>
      <c r="C153" s="85"/>
      <c r="D153" s="85"/>
      <c r="E153" s="85"/>
      <c r="F153" s="85"/>
      <c r="G153" s="85"/>
      <c r="H153" s="85"/>
      <c r="I153" s="6"/>
      <c r="J153" s="6" t="str">
        <f t="shared" si="11"/>
        <v/>
      </c>
      <c r="K153" s="372"/>
    </row>
    <row r="154" spans="1:11" x14ac:dyDescent="0.25">
      <c r="A154" s="95"/>
      <c r="B154" s="85"/>
      <c r="C154" s="85"/>
      <c r="D154" s="85"/>
      <c r="E154" s="85"/>
      <c r="F154" s="85"/>
      <c r="G154" s="85"/>
      <c r="H154" s="85"/>
      <c r="I154" s="6"/>
      <c r="J154" s="6" t="str">
        <f t="shared" si="11"/>
        <v/>
      </c>
      <c r="K154" s="372"/>
    </row>
    <row r="155" spans="1:11" x14ac:dyDescent="0.25">
      <c r="A155" s="95"/>
      <c r="B155" s="85"/>
      <c r="C155" s="85"/>
      <c r="D155" s="85"/>
      <c r="E155" s="85"/>
      <c r="F155" s="85"/>
      <c r="G155" s="85"/>
      <c r="H155" s="85"/>
      <c r="I155" s="6"/>
      <c r="J155" s="6" t="str">
        <f t="shared" si="11"/>
        <v/>
      </c>
      <c r="K155" s="372"/>
    </row>
    <row r="156" spans="1:11" x14ac:dyDescent="0.25">
      <c r="A156" s="95"/>
      <c r="B156" s="85"/>
      <c r="C156" s="85"/>
      <c r="D156" s="85"/>
      <c r="E156" s="85"/>
      <c r="F156" s="85"/>
      <c r="G156" s="85"/>
      <c r="H156" s="85"/>
      <c r="I156" s="6"/>
      <c r="J156" s="6" t="str">
        <f t="shared" si="11"/>
        <v/>
      </c>
      <c r="K156" s="372"/>
    </row>
    <row r="157" spans="1:11" x14ac:dyDescent="0.25">
      <c r="A157" s="369" t="s">
        <v>424</v>
      </c>
      <c r="B157" s="369"/>
      <c r="C157" s="369"/>
      <c r="D157" s="369"/>
      <c r="E157" s="369"/>
      <c r="F157" s="369"/>
      <c r="G157" s="369"/>
      <c r="H157" s="369"/>
      <c r="I157" s="369"/>
      <c r="J157" s="63">
        <f>+SUM(J148:J156)</f>
        <v>7520.8</v>
      </c>
      <c r="K157" s="373"/>
    </row>
    <row r="158" spans="1:11" x14ac:dyDescent="0.25">
      <c r="A158" s="97"/>
      <c r="C158" s="80"/>
      <c r="D158" s="80"/>
      <c r="E158" s="80"/>
      <c r="F158" s="80"/>
      <c r="G158" s="80"/>
      <c r="H158" s="80"/>
    </row>
    <row r="159" spans="1:11" ht="15" customHeight="1" x14ac:dyDescent="0.25">
      <c r="A159" s="87" t="s">
        <v>323</v>
      </c>
      <c r="B159" s="377" t="s">
        <v>324</v>
      </c>
      <c r="C159" s="377"/>
      <c r="D159" s="377"/>
      <c r="E159" s="377"/>
      <c r="F159" s="377"/>
      <c r="G159" s="377"/>
      <c r="H159" s="87"/>
      <c r="I159" s="86"/>
      <c r="J159" s="86"/>
      <c r="K159" s="88"/>
    </row>
    <row r="160" spans="1:11" ht="15" customHeight="1" x14ac:dyDescent="0.25">
      <c r="A160" s="94"/>
      <c r="B160" s="79"/>
      <c r="C160" s="79"/>
      <c r="D160" s="79"/>
      <c r="E160" s="79"/>
      <c r="F160" s="79"/>
      <c r="G160" s="79"/>
      <c r="H160" s="79"/>
      <c r="I160" s="5"/>
      <c r="J160" s="5"/>
    </row>
    <row r="161" spans="1:11" x14ac:dyDescent="0.25">
      <c r="A161" s="89" t="s">
        <v>288</v>
      </c>
      <c r="B161" s="370" t="s">
        <v>706</v>
      </c>
      <c r="C161" s="370"/>
      <c r="D161" s="370"/>
      <c r="E161" s="370"/>
      <c r="F161" s="370"/>
      <c r="G161" s="370"/>
      <c r="H161" s="370"/>
      <c r="I161" s="75" t="s">
        <v>31</v>
      </c>
      <c r="J161" s="75" t="s">
        <v>4</v>
      </c>
      <c r="K161" s="75" t="s">
        <v>413</v>
      </c>
    </row>
    <row r="162" spans="1:11" ht="15" customHeight="1" x14ac:dyDescent="0.25">
      <c r="A162" s="95" t="s">
        <v>325</v>
      </c>
      <c r="B162" s="374" t="str">
        <f>+UPPER(VLOOKUP(A162,PPTO!$A$9:$C$52,2,FALSE))</f>
        <v>SUMINISTRO Y COLOCACIÓN DE CONCRETO LANZADO CON MEZCLA HÚMEDA DE ESPESOR 10 CM</v>
      </c>
      <c r="C162" s="374"/>
      <c r="D162" s="374"/>
      <c r="E162" s="374"/>
      <c r="F162" s="374"/>
      <c r="G162" s="374"/>
      <c r="H162" s="374"/>
      <c r="I162" s="6" t="str">
        <f>+VLOOKUP(A162,PPTO!$A$9:$C$52,3,FALSE)</f>
        <v>M2</v>
      </c>
      <c r="J162" s="6">
        <f>+J173</f>
        <v>4353.3249999999998</v>
      </c>
      <c r="K162" s="371"/>
    </row>
    <row r="163" spans="1:11" ht="19.5" customHeight="1" x14ac:dyDescent="0.25">
      <c r="A163" s="96" t="s">
        <v>414</v>
      </c>
      <c r="B163" s="84" t="s">
        <v>415</v>
      </c>
      <c r="C163" s="84" t="s">
        <v>416</v>
      </c>
      <c r="D163" s="84" t="s">
        <v>417</v>
      </c>
      <c r="E163" s="84" t="s">
        <v>418</v>
      </c>
      <c r="F163" s="84" t="s">
        <v>419</v>
      </c>
      <c r="G163" s="84" t="s">
        <v>420</v>
      </c>
      <c r="H163" s="84" t="s">
        <v>421</v>
      </c>
      <c r="I163" s="84" t="s">
        <v>422</v>
      </c>
      <c r="J163" s="84" t="s">
        <v>423</v>
      </c>
      <c r="K163" s="372"/>
    </row>
    <row r="164" spans="1:11" x14ac:dyDescent="0.25">
      <c r="A164" s="85"/>
      <c r="B164" s="85" t="s">
        <v>747</v>
      </c>
      <c r="C164" s="6"/>
      <c r="D164" s="6"/>
      <c r="E164" s="6"/>
      <c r="F164" s="6">
        <f>945.14+975.68+1721.83+1421.35/2</f>
        <v>4353.3249999999998</v>
      </c>
      <c r="G164" s="6"/>
      <c r="H164" s="6"/>
      <c r="I164" s="6"/>
      <c r="J164" s="6">
        <f>+IF(SUM(C164:I164)=0,"",SUM(C164:I164))</f>
        <v>4353.3249999999998</v>
      </c>
      <c r="K164" s="372"/>
    </row>
    <row r="165" spans="1:11" x14ac:dyDescent="0.25">
      <c r="A165" s="95"/>
      <c r="B165" s="85"/>
      <c r="C165" s="85"/>
      <c r="D165" s="85"/>
      <c r="E165" s="85"/>
      <c r="F165" s="6"/>
      <c r="G165" s="85"/>
      <c r="H165" s="85"/>
      <c r="I165" s="6"/>
      <c r="J165" s="6" t="str">
        <f t="shared" ref="J165:J172" si="12">+IF(SUM(C165:I165)=0,"",SUM(C165:I165))</f>
        <v/>
      </c>
      <c r="K165" s="372"/>
    </row>
    <row r="166" spans="1:11" x14ac:dyDescent="0.25">
      <c r="A166" s="95"/>
      <c r="B166" s="85"/>
      <c r="C166" s="85"/>
      <c r="D166" s="85"/>
      <c r="E166" s="85"/>
      <c r="F166" s="85"/>
      <c r="G166" s="85"/>
      <c r="H166" s="85"/>
      <c r="I166" s="6"/>
      <c r="J166" s="6" t="str">
        <f t="shared" si="12"/>
        <v/>
      </c>
      <c r="K166" s="372"/>
    </row>
    <row r="167" spans="1:11" x14ac:dyDescent="0.25">
      <c r="A167" s="95"/>
      <c r="B167" s="85"/>
      <c r="C167" s="85"/>
      <c r="D167" s="85"/>
      <c r="E167" s="85"/>
      <c r="F167" s="85"/>
      <c r="G167" s="85"/>
      <c r="H167" s="85"/>
      <c r="I167" s="6"/>
      <c r="J167" s="6" t="str">
        <f t="shared" si="12"/>
        <v/>
      </c>
      <c r="K167" s="372"/>
    </row>
    <row r="168" spans="1:11" x14ac:dyDescent="0.25">
      <c r="A168" s="95"/>
      <c r="B168" s="85"/>
      <c r="C168" s="85"/>
      <c r="D168" s="85"/>
      <c r="E168" s="85"/>
      <c r="F168" s="85"/>
      <c r="G168" s="85"/>
      <c r="H168" s="85"/>
      <c r="I168" s="6"/>
      <c r="J168" s="6" t="str">
        <f t="shared" si="12"/>
        <v/>
      </c>
      <c r="K168" s="372"/>
    </row>
    <row r="169" spans="1:11" x14ac:dyDescent="0.25">
      <c r="A169" s="95"/>
      <c r="B169" s="85"/>
      <c r="C169" s="85"/>
      <c r="D169" s="85"/>
      <c r="E169" s="85"/>
      <c r="F169" s="85"/>
      <c r="G169" s="85"/>
      <c r="H169" s="85"/>
      <c r="I169" s="6"/>
      <c r="J169" s="6" t="str">
        <f t="shared" si="12"/>
        <v/>
      </c>
      <c r="K169" s="372"/>
    </row>
    <row r="170" spans="1:11" x14ac:dyDescent="0.25">
      <c r="A170" s="95"/>
      <c r="B170" s="85"/>
      <c r="C170" s="85"/>
      <c r="D170" s="85"/>
      <c r="E170" s="85"/>
      <c r="F170" s="85"/>
      <c r="G170" s="85"/>
      <c r="H170" s="85"/>
      <c r="I170" s="6"/>
      <c r="J170" s="6" t="str">
        <f t="shared" si="12"/>
        <v/>
      </c>
      <c r="K170" s="372"/>
    </row>
    <row r="171" spans="1:11" x14ac:dyDescent="0.25">
      <c r="A171" s="95"/>
      <c r="B171" s="85"/>
      <c r="C171" s="85"/>
      <c r="D171" s="85"/>
      <c r="E171" s="85"/>
      <c r="F171" s="85"/>
      <c r="G171" s="85"/>
      <c r="H171" s="85"/>
      <c r="I171" s="6"/>
      <c r="J171" s="6" t="str">
        <f t="shared" si="12"/>
        <v/>
      </c>
      <c r="K171" s="372"/>
    </row>
    <row r="172" spans="1:11" x14ac:dyDescent="0.25">
      <c r="A172" s="95"/>
      <c r="B172" s="85"/>
      <c r="C172" s="85"/>
      <c r="D172" s="85"/>
      <c r="E172" s="85"/>
      <c r="F172" s="85"/>
      <c r="G172" s="85"/>
      <c r="H172" s="85"/>
      <c r="I172" s="6"/>
      <c r="J172" s="6" t="str">
        <f t="shared" si="12"/>
        <v/>
      </c>
      <c r="K172" s="372"/>
    </row>
    <row r="173" spans="1:11" x14ac:dyDescent="0.25">
      <c r="A173" s="369" t="s">
        <v>424</v>
      </c>
      <c r="B173" s="369"/>
      <c r="C173" s="369"/>
      <c r="D173" s="369"/>
      <c r="E173" s="369"/>
      <c r="F173" s="369"/>
      <c r="G173" s="369"/>
      <c r="H173" s="369"/>
      <c r="I173" s="369"/>
      <c r="J173" s="63">
        <f>+SUM(J164:J172)</f>
        <v>4353.3249999999998</v>
      </c>
      <c r="K173" s="373"/>
    </row>
    <row r="174" spans="1:11" x14ac:dyDescent="0.25">
      <c r="A174" s="89" t="s">
        <v>288</v>
      </c>
      <c r="B174" s="370" t="s">
        <v>706</v>
      </c>
      <c r="C174" s="370"/>
      <c r="D174" s="370"/>
      <c r="E174" s="370"/>
      <c r="F174" s="370"/>
      <c r="G174" s="370"/>
      <c r="H174" s="370"/>
      <c r="I174" s="75" t="s">
        <v>31</v>
      </c>
      <c r="J174" s="75" t="s">
        <v>4</v>
      </c>
      <c r="K174" s="75" t="s">
        <v>413</v>
      </c>
    </row>
    <row r="175" spans="1:11" ht="15" customHeight="1" x14ac:dyDescent="0.25">
      <c r="A175" s="95" t="s">
        <v>326</v>
      </c>
      <c r="B175" s="374" t="str">
        <f>+UPPER(VLOOKUP(A175,PPTO!$A$9:$C$52,2,FALSE))</f>
        <v>INYECCIÓN DE LECHADA PARA ANCLAJES</v>
      </c>
      <c r="C175" s="374"/>
      <c r="D175" s="374"/>
      <c r="E175" s="374"/>
      <c r="F175" s="374"/>
      <c r="G175" s="374"/>
      <c r="H175" s="374"/>
      <c r="I175" s="6" t="str">
        <f>+VLOOKUP(A175,PPTO!$A$9:$C$52,3,FALSE)</f>
        <v>M3</v>
      </c>
      <c r="J175" s="6">
        <f>+J186</f>
        <v>642.20000000000005</v>
      </c>
      <c r="K175" s="371"/>
    </row>
    <row r="176" spans="1:11" ht="19.5" customHeight="1" x14ac:dyDescent="0.25">
      <c r="A176" s="96" t="s">
        <v>414</v>
      </c>
      <c r="B176" s="84" t="s">
        <v>415</v>
      </c>
      <c r="C176" s="84" t="s">
        <v>416</v>
      </c>
      <c r="D176" s="84" t="s">
        <v>417</v>
      </c>
      <c r="E176" s="84" t="s">
        <v>418</v>
      </c>
      <c r="F176" s="84" t="s">
        <v>419</v>
      </c>
      <c r="G176" s="84" t="s">
        <v>420</v>
      </c>
      <c r="H176" s="84" t="s">
        <v>421</v>
      </c>
      <c r="I176" s="84" t="s">
        <v>422</v>
      </c>
      <c r="J176" s="84" t="s">
        <v>423</v>
      </c>
      <c r="K176" s="372"/>
    </row>
    <row r="177" spans="1:11" x14ac:dyDescent="0.25">
      <c r="A177" s="85"/>
      <c r="B177" s="85"/>
      <c r="C177" s="6">
        <v>30</v>
      </c>
      <c r="D177" s="6"/>
      <c r="E177" s="6"/>
      <c r="F177" s="6"/>
      <c r="G177" s="6">
        <f>0.04*C177</f>
        <v>1.2</v>
      </c>
      <c r="H177" s="6"/>
      <c r="I177" s="6">
        <f>98+107+206+200</f>
        <v>611</v>
      </c>
      <c r="J177" s="6">
        <f>+IF(SUM(C177:I177)=0,"",SUM(C177:I177))</f>
        <v>642.20000000000005</v>
      </c>
      <c r="K177" s="372"/>
    </row>
    <row r="178" spans="1:11" x14ac:dyDescent="0.25">
      <c r="A178" s="95"/>
      <c r="B178" s="85"/>
      <c r="C178" s="85"/>
      <c r="D178" s="85"/>
      <c r="E178" s="85"/>
      <c r="F178" s="85"/>
      <c r="G178" s="85"/>
      <c r="H178" s="85"/>
      <c r="I178" s="6"/>
      <c r="J178" s="6" t="str">
        <f t="shared" ref="J178:J185" si="13">+IF(SUM(C178:I178)=0,"",SUM(C178:I178))</f>
        <v/>
      </c>
      <c r="K178" s="372"/>
    </row>
    <row r="179" spans="1:11" x14ac:dyDescent="0.25">
      <c r="A179" s="95"/>
      <c r="B179" s="85"/>
      <c r="C179" s="85"/>
      <c r="D179" s="85"/>
      <c r="E179" s="85"/>
      <c r="F179" s="85"/>
      <c r="G179" s="85"/>
      <c r="H179" s="85"/>
      <c r="I179" s="6"/>
      <c r="J179" s="6" t="str">
        <f t="shared" si="13"/>
        <v/>
      </c>
      <c r="K179" s="372"/>
    </row>
    <row r="180" spans="1:11" x14ac:dyDescent="0.25">
      <c r="A180" s="95"/>
      <c r="B180" s="85"/>
      <c r="C180" s="85"/>
      <c r="D180" s="85"/>
      <c r="E180" s="85"/>
      <c r="F180" s="85"/>
      <c r="G180" s="85"/>
      <c r="H180" s="85"/>
      <c r="I180" s="6"/>
      <c r="J180" s="6" t="str">
        <f t="shared" si="13"/>
        <v/>
      </c>
      <c r="K180" s="372"/>
    </row>
    <row r="181" spans="1:11" x14ac:dyDescent="0.25">
      <c r="A181" s="95"/>
      <c r="B181" s="85"/>
      <c r="C181" s="85"/>
      <c r="D181" s="85"/>
      <c r="E181" s="85"/>
      <c r="F181" s="85"/>
      <c r="G181" s="85"/>
      <c r="H181" s="85"/>
      <c r="I181" s="6"/>
      <c r="J181" s="6" t="str">
        <f t="shared" si="13"/>
        <v/>
      </c>
      <c r="K181" s="372"/>
    </row>
    <row r="182" spans="1:11" x14ac:dyDescent="0.25">
      <c r="A182" s="95"/>
      <c r="B182" s="85"/>
      <c r="C182" s="85"/>
      <c r="D182" s="85"/>
      <c r="E182" s="85"/>
      <c r="F182" s="85"/>
      <c r="G182" s="85"/>
      <c r="H182" s="85"/>
      <c r="I182" s="6"/>
      <c r="J182" s="6" t="str">
        <f t="shared" si="13"/>
        <v/>
      </c>
      <c r="K182" s="372"/>
    </row>
    <row r="183" spans="1:11" x14ac:dyDescent="0.25">
      <c r="A183" s="95"/>
      <c r="B183" s="85"/>
      <c r="C183" s="85"/>
      <c r="D183" s="85"/>
      <c r="E183" s="85"/>
      <c r="F183" s="85"/>
      <c r="G183" s="85"/>
      <c r="H183" s="85"/>
      <c r="I183" s="6"/>
      <c r="J183" s="6" t="str">
        <f t="shared" si="13"/>
        <v/>
      </c>
      <c r="K183" s="372"/>
    </row>
    <row r="184" spans="1:11" x14ac:dyDescent="0.25">
      <c r="A184" s="95"/>
      <c r="B184" s="85"/>
      <c r="C184" s="85"/>
      <c r="D184" s="85"/>
      <c r="E184" s="85"/>
      <c r="F184" s="85"/>
      <c r="G184" s="85"/>
      <c r="H184" s="85"/>
      <c r="I184" s="6"/>
      <c r="J184" s="6" t="str">
        <f t="shared" si="13"/>
        <v/>
      </c>
      <c r="K184" s="372"/>
    </row>
    <row r="185" spans="1:11" x14ac:dyDescent="0.25">
      <c r="A185" s="95"/>
      <c r="B185" s="85"/>
      <c r="C185" s="85"/>
      <c r="D185" s="85"/>
      <c r="E185" s="85"/>
      <c r="F185" s="85"/>
      <c r="G185" s="85"/>
      <c r="H185" s="85"/>
      <c r="I185" s="6"/>
      <c r="J185" s="6" t="str">
        <f t="shared" si="13"/>
        <v/>
      </c>
      <c r="K185" s="372"/>
    </row>
    <row r="186" spans="1:11" x14ac:dyDescent="0.25">
      <c r="A186" s="369" t="s">
        <v>424</v>
      </c>
      <c r="B186" s="369"/>
      <c r="C186" s="369"/>
      <c r="D186" s="369"/>
      <c r="E186" s="369"/>
      <c r="F186" s="369"/>
      <c r="G186" s="369"/>
      <c r="H186" s="369"/>
      <c r="I186" s="369"/>
      <c r="J186" s="63">
        <f>+SUM(J177:J185)</f>
        <v>642.20000000000005</v>
      </c>
      <c r="K186" s="373"/>
    </row>
    <row r="187" spans="1:11" x14ac:dyDescent="0.25">
      <c r="A187" s="89" t="s">
        <v>288</v>
      </c>
      <c r="B187" s="370" t="s">
        <v>706</v>
      </c>
      <c r="C187" s="370"/>
      <c r="D187" s="370"/>
      <c r="E187" s="370"/>
      <c r="F187" s="370"/>
      <c r="G187" s="370"/>
      <c r="H187" s="370"/>
      <c r="I187" s="75" t="s">
        <v>31</v>
      </c>
      <c r="J187" s="75" t="s">
        <v>4</v>
      </c>
      <c r="K187" s="75" t="s">
        <v>413</v>
      </c>
    </row>
    <row r="188" spans="1:11" ht="15" customHeight="1" x14ac:dyDescent="0.25">
      <c r="A188" s="95" t="s">
        <v>327</v>
      </c>
      <c r="B188" s="376" t="str">
        <f>+UPPER(VLOOKUP(A188,PPTO!$A$9:$C$52,2,FALSE))</f>
        <v>MICROPILOTES FUNDIDOS EN SITIO DIAMETRO DE 25 CM (INCLUYE CONCRETO DE 4000 PSI)</v>
      </c>
      <c r="C188" s="376"/>
      <c r="D188" s="376"/>
      <c r="E188" s="376"/>
      <c r="F188" s="376"/>
      <c r="G188" s="376"/>
      <c r="H188" s="376"/>
      <c r="I188" s="6" t="str">
        <f>+VLOOKUP(A188,PPTO!$A$9:$C$52,3,FALSE)</f>
        <v>ML</v>
      </c>
      <c r="J188" s="6">
        <f>+J199</f>
        <v>330</v>
      </c>
      <c r="K188" s="371"/>
    </row>
    <row r="189" spans="1:11" ht="19.5" customHeight="1" x14ac:dyDescent="0.25">
      <c r="A189" s="96" t="s">
        <v>414</v>
      </c>
      <c r="B189" s="84" t="s">
        <v>415</v>
      </c>
      <c r="C189" s="84" t="s">
        <v>416</v>
      </c>
      <c r="D189" s="84" t="s">
        <v>417</v>
      </c>
      <c r="E189" s="84" t="s">
        <v>418</v>
      </c>
      <c r="F189" s="84" t="s">
        <v>419</v>
      </c>
      <c r="G189" s="84" t="s">
        <v>420</v>
      </c>
      <c r="H189" s="84" t="s">
        <v>421</v>
      </c>
      <c r="I189" s="84" t="s">
        <v>422</v>
      </c>
      <c r="J189" s="84" t="s">
        <v>423</v>
      </c>
      <c r="K189" s="372"/>
    </row>
    <row r="190" spans="1:11" x14ac:dyDescent="0.25">
      <c r="A190" s="85"/>
      <c r="B190" s="9" t="s">
        <v>759</v>
      </c>
      <c r="C190" s="6">
        <v>330</v>
      </c>
      <c r="D190" s="6"/>
      <c r="E190" s="6"/>
      <c r="F190" s="6"/>
      <c r="G190" s="6"/>
      <c r="H190" s="6"/>
      <c r="I190" s="6"/>
      <c r="J190" s="6">
        <f>+IF(SUM(C190:I190)=0,"",SUM(C190:I190))</f>
        <v>330</v>
      </c>
      <c r="K190" s="372"/>
    </row>
    <row r="191" spans="1:11" x14ac:dyDescent="0.25">
      <c r="A191" s="95"/>
      <c r="B191" s="85"/>
      <c r="C191" s="85"/>
      <c r="D191" s="85"/>
      <c r="E191" s="85"/>
      <c r="F191" s="85"/>
      <c r="G191" s="85"/>
      <c r="H191" s="85"/>
      <c r="I191" s="6"/>
      <c r="J191" s="6" t="str">
        <f t="shared" ref="J191:J198" si="14">+IF(SUM(C191:I191)=0,"",SUM(C191:I191))</f>
        <v/>
      </c>
      <c r="K191" s="372"/>
    </row>
    <row r="192" spans="1:11" x14ac:dyDescent="0.25">
      <c r="A192" s="95"/>
      <c r="B192" s="85"/>
      <c r="C192" s="85"/>
      <c r="D192" s="85"/>
      <c r="E192" s="85"/>
      <c r="F192" s="85"/>
      <c r="G192" s="85"/>
      <c r="H192" s="85"/>
      <c r="I192" s="6"/>
      <c r="J192" s="6" t="str">
        <f t="shared" si="14"/>
        <v/>
      </c>
      <c r="K192" s="372"/>
    </row>
    <row r="193" spans="1:11" x14ac:dyDescent="0.25">
      <c r="A193" s="95"/>
      <c r="B193" s="85"/>
      <c r="C193" s="85"/>
      <c r="D193" s="85"/>
      <c r="E193" s="85"/>
      <c r="F193" s="85"/>
      <c r="G193" s="85"/>
      <c r="H193" s="85"/>
      <c r="I193" s="6"/>
      <c r="J193" s="6" t="str">
        <f t="shared" si="14"/>
        <v/>
      </c>
      <c r="K193" s="372"/>
    </row>
    <row r="194" spans="1:11" x14ac:dyDescent="0.25">
      <c r="A194" s="95"/>
      <c r="B194" s="85"/>
      <c r="C194" s="85"/>
      <c r="D194" s="85"/>
      <c r="E194" s="85"/>
      <c r="F194" s="85"/>
      <c r="G194" s="85"/>
      <c r="H194" s="85"/>
      <c r="I194" s="6"/>
      <c r="J194" s="6" t="str">
        <f t="shared" si="14"/>
        <v/>
      </c>
      <c r="K194" s="372"/>
    </row>
    <row r="195" spans="1:11" x14ac:dyDescent="0.25">
      <c r="A195" s="95"/>
      <c r="B195" s="85"/>
      <c r="C195" s="85"/>
      <c r="D195" s="85"/>
      <c r="E195" s="85"/>
      <c r="F195" s="85"/>
      <c r="G195" s="85"/>
      <c r="H195" s="85"/>
      <c r="I195" s="6"/>
      <c r="J195" s="6" t="str">
        <f t="shared" si="14"/>
        <v/>
      </c>
      <c r="K195" s="372"/>
    </row>
    <row r="196" spans="1:11" x14ac:dyDescent="0.25">
      <c r="A196" s="95"/>
      <c r="B196" s="85"/>
      <c r="C196" s="85"/>
      <c r="D196" s="85"/>
      <c r="E196" s="85"/>
      <c r="F196" s="85"/>
      <c r="G196" s="85"/>
      <c r="H196" s="85"/>
      <c r="I196" s="6"/>
      <c r="J196" s="6" t="str">
        <f t="shared" si="14"/>
        <v/>
      </c>
      <c r="K196" s="372"/>
    </row>
    <row r="197" spans="1:11" x14ac:dyDescent="0.25">
      <c r="A197" s="95"/>
      <c r="B197" s="85"/>
      <c r="C197" s="85"/>
      <c r="D197" s="85"/>
      <c r="E197" s="85"/>
      <c r="F197" s="85"/>
      <c r="G197" s="85"/>
      <c r="H197" s="85"/>
      <c r="I197" s="6"/>
      <c r="J197" s="6" t="str">
        <f t="shared" si="14"/>
        <v/>
      </c>
      <c r="K197" s="372"/>
    </row>
    <row r="198" spans="1:11" x14ac:dyDescent="0.25">
      <c r="A198" s="95"/>
      <c r="B198" s="85"/>
      <c r="C198" s="85"/>
      <c r="D198" s="85"/>
      <c r="E198" s="85"/>
      <c r="F198" s="85"/>
      <c r="G198" s="85"/>
      <c r="H198" s="85"/>
      <c r="I198" s="6"/>
      <c r="J198" s="6" t="str">
        <f t="shared" si="14"/>
        <v/>
      </c>
      <c r="K198" s="372"/>
    </row>
    <row r="199" spans="1:11" x14ac:dyDescent="0.25">
      <c r="A199" s="369" t="s">
        <v>424</v>
      </c>
      <c r="B199" s="369"/>
      <c r="C199" s="369"/>
      <c r="D199" s="369"/>
      <c r="E199" s="369"/>
      <c r="F199" s="369"/>
      <c r="G199" s="369"/>
      <c r="H199" s="369"/>
      <c r="I199" s="369"/>
      <c r="J199" s="63">
        <f>+SUM(J190:J198)</f>
        <v>330</v>
      </c>
      <c r="K199" s="373"/>
    </row>
    <row r="200" spans="1:11" x14ac:dyDescent="0.25">
      <c r="A200" s="89" t="s">
        <v>288</v>
      </c>
      <c r="B200" s="370" t="s">
        <v>706</v>
      </c>
      <c r="C200" s="370"/>
      <c r="D200" s="370"/>
      <c r="E200" s="370"/>
      <c r="F200" s="370"/>
      <c r="G200" s="370"/>
      <c r="H200" s="370"/>
      <c r="I200" s="75" t="s">
        <v>31</v>
      </c>
      <c r="J200" s="75" t="s">
        <v>4</v>
      </c>
      <c r="K200" s="75" t="s">
        <v>413</v>
      </c>
    </row>
    <row r="201" spans="1:11" ht="15" customHeight="1" x14ac:dyDescent="0.25">
      <c r="A201" s="95" t="s">
        <v>328</v>
      </c>
      <c r="B201" s="376" t="str">
        <f>+UPPER(VLOOKUP(A201,PPTO!$A$9:$C$52,2,FALSE))</f>
        <v>SUMINISTRO Y COLOCACIÓN DE CONCRETOS F'C 4000 PSI CON MEZCLA HÚMEDA PARA ZAPATAS</v>
      </c>
      <c r="C201" s="376"/>
      <c r="D201" s="376"/>
      <c r="E201" s="376"/>
      <c r="F201" s="376"/>
      <c r="G201" s="376"/>
      <c r="H201" s="376"/>
      <c r="I201" s="6" t="str">
        <f>+VLOOKUP(A201,PPTO!$A$9:$C$52,3,FALSE)</f>
        <v>M3</v>
      </c>
      <c r="J201" s="6">
        <f>+J212</f>
        <v>148.47299999999998</v>
      </c>
      <c r="K201" s="371"/>
    </row>
    <row r="202" spans="1:11" ht="19.5" customHeight="1" x14ac:dyDescent="0.25">
      <c r="A202" s="96" t="s">
        <v>414</v>
      </c>
      <c r="B202" s="84" t="s">
        <v>415</v>
      </c>
      <c r="C202" s="84" t="s">
        <v>416</v>
      </c>
      <c r="D202" s="84" t="s">
        <v>417</v>
      </c>
      <c r="E202" s="84" t="s">
        <v>418</v>
      </c>
      <c r="F202" s="84" t="s">
        <v>419</v>
      </c>
      <c r="G202" s="84" t="s">
        <v>420</v>
      </c>
      <c r="H202" s="84" t="s">
        <v>421</v>
      </c>
      <c r="I202" s="84" t="s">
        <v>422</v>
      </c>
      <c r="J202" s="84" t="s">
        <v>423</v>
      </c>
      <c r="K202" s="372"/>
    </row>
    <row r="203" spans="1:11" ht="33" customHeight="1" x14ac:dyDescent="0.25">
      <c r="A203" s="85"/>
      <c r="B203" s="9" t="s">
        <v>748</v>
      </c>
      <c r="C203" s="6">
        <v>0.9</v>
      </c>
      <c r="D203" s="6">
        <v>0.9</v>
      </c>
      <c r="E203" s="6">
        <v>0.3</v>
      </c>
      <c r="F203" s="6"/>
      <c r="G203" s="6"/>
      <c r="H203" s="6"/>
      <c r="I203" s="6">
        <f>I177</f>
        <v>611</v>
      </c>
      <c r="J203" s="6">
        <f>C203*D203*E203*I203</f>
        <v>148.47299999999998</v>
      </c>
      <c r="K203" s="372"/>
    </row>
    <row r="204" spans="1:11" x14ac:dyDescent="0.25">
      <c r="A204" s="95"/>
      <c r="B204" s="85"/>
      <c r="C204" s="85"/>
      <c r="D204" s="85"/>
      <c r="E204" s="85"/>
      <c r="F204" s="85"/>
      <c r="G204" s="6"/>
      <c r="H204" s="85"/>
      <c r="I204" s="6"/>
      <c r="J204" s="6" t="str">
        <f t="shared" ref="J204:J211" si="15">+IF(SUM(C204:I204)=0,"",SUM(C204:I204))</f>
        <v/>
      </c>
      <c r="K204" s="372"/>
    </row>
    <row r="205" spans="1:11" x14ac:dyDescent="0.25">
      <c r="A205" s="95"/>
      <c r="B205" s="85"/>
      <c r="C205" s="85"/>
      <c r="D205" s="85"/>
      <c r="E205" s="85"/>
      <c r="F205" s="85"/>
      <c r="G205" s="85"/>
      <c r="H205" s="85"/>
      <c r="I205" s="6"/>
      <c r="J205" s="6" t="str">
        <f t="shared" si="15"/>
        <v/>
      </c>
      <c r="K205" s="372"/>
    </row>
    <row r="206" spans="1:11" x14ac:dyDescent="0.25">
      <c r="A206" s="95"/>
      <c r="B206" s="85"/>
      <c r="C206" s="85"/>
      <c r="D206" s="85"/>
      <c r="E206" s="85"/>
      <c r="F206" s="85"/>
      <c r="G206" s="85"/>
      <c r="H206" s="85"/>
      <c r="I206" s="6"/>
      <c r="J206" s="6" t="str">
        <f t="shared" si="15"/>
        <v/>
      </c>
      <c r="K206" s="372"/>
    </row>
    <row r="207" spans="1:11" x14ac:dyDescent="0.25">
      <c r="A207" s="95"/>
      <c r="B207" s="85"/>
      <c r="C207" s="85"/>
      <c r="D207" s="85"/>
      <c r="E207" s="85"/>
      <c r="F207" s="85"/>
      <c r="G207" s="85"/>
      <c r="H207" s="85"/>
      <c r="I207" s="6"/>
      <c r="J207" s="6" t="str">
        <f t="shared" si="15"/>
        <v/>
      </c>
      <c r="K207" s="372"/>
    </row>
    <row r="208" spans="1:11" x14ac:dyDescent="0.25">
      <c r="A208" s="95"/>
      <c r="B208" s="85"/>
      <c r="C208" s="85"/>
      <c r="D208" s="85"/>
      <c r="E208" s="85"/>
      <c r="F208" s="85"/>
      <c r="G208" s="85"/>
      <c r="H208" s="85"/>
      <c r="I208" s="6"/>
      <c r="J208" s="6" t="str">
        <f t="shared" si="15"/>
        <v/>
      </c>
      <c r="K208" s="372"/>
    </row>
    <row r="209" spans="1:11" x14ac:dyDescent="0.25">
      <c r="A209" s="95"/>
      <c r="B209" s="85"/>
      <c r="C209" s="85"/>
      <c r="D209" s="85"/>
      <c r="E209" s="85"/>
      <c r="F209" s="85"/>
      <c r="G209" s="85"/>
      <c r="H209" s="85"/>
      <c r="I209" s="6"/>
      <c r="J209" s="6" t="str">
        <f t="shared" si="15"/>
        <v/>
      </c>
      <c r="K209" s="372"/>
    </row>
    <row r="210" spans="1:11" x14ac:dyDescent="0.25">
      <c r="A210" s="95"/>
      <c r="B210" s="85"/>
      <c r="C210" s="85"/>
      <c r="D210" s="85"/>
      <c r="E210" s="85"/>
      <c r="F210" s="85"/>
      <c r="G210" s="85"/>
      <c r="H210" s="85"/>
      <c r="I210" s="6"/>
      <c r="J210" s="6" t="str">
        <f t="shared" si="15"/>
        <v/>
      </c>
      <c r="K210" s="372"/>
    </row>
    <row r="211" spans="1:11" x14ac:dyDescent="0.25">
      <c r="A211" s="95"/>
      <c r="B211" s="85"/>
      <c r="C211" s="85"/>
      <c r="D211" s="85"/>
      <c r="E211" s="85"/>
      <c r="F211" s="85"/>
      <c r="G211" s="85"/>
      <c r="H211" s="85"/>
      <c r="I211" s="6"/>
      <c r="J211" s="6" t="str">
        <f t="shared" si="15"/>
        <v/>
      </c>
      <c r="K211" s="372"/>
    </row>
    <row r="212" spans="1:11" x14ac:dyDescent="0.25">
      <c r="A212" s="369" t="s">
        <v>424</v>
      </c>
      <c r="B212" s="369"/>
      <c r="C212" s="369"/>
      <c r="D212" s="369"/>
      <c r="E212" s="369"/>
      <c r="F212" s="369"/>
      <c r="G212" s="369"/>
      <c r="H212" s="369"/>
      <c r="I212" s="369"/>
      <c r="J212" s="63">
        <f>+SUM(J203:J211)</f>
        <v>148.47299999999998</v>
      </c>
      <c r="K212" s="373"/>
    </row>
    <row r="213" spans="1:11" x14ac:dyDescent="0.25">
      <c r="A213" s="97"/>
      <c r="C213" s="80"/>
      <c r="D213" s="80"/>
      <c r="E213" s="80"/>
      <c r="F213" s="80"/>
      <c r="G213" s="80"/>
      <c r="H213" s="80"/>
    </row>
    <row r="214" spans="1:11" ht="15" customHeight="1" x14ac:dyDescent="0.25">
      <c r="A214" s="87" t="s">
        <v>336</v>
      </c>
      <c r="B214" s="377" t="s">
        <v>337</v>
      </c>
      <c r="C214" s="377"/>
      <c r="D214" s="377"/>
      <c r="E214" s="377"/>
      <c r="F214" s="377"/>
      <c r="G214" s="377"/>
      <c r="H214" s="87"/>
      <c r="I214" s="86"/>
      <c r="J214" s="86"/>
      <c r="K214" s="88"/>
    </row>
    <row r="215" spans="1:11" ht="15" customHeight="1" x14ac:dyDescent="0.25">
      <c r="A215" s="94"/>
      <c r="B215" s="79"/>
      <c r="C215" s="79"/>
      <c r="D215" s="79"/>
      <c r="E215" s="79"/>
      <c r="F215" s="79"/>
      <c r="G215" s="79"/>
      <c r="H215" s="79"/>
      <c r="I215" s="5"/>
      <c r="J215" s="5"/>
    </row>
    <row r="216" spans="1:11" x14ac:dyDescent="0.25">
      <c r="A216" s="89" t="s">
        <v>288</v>
      </c>
      <c r="B216" s="370" t="s">
        <v>706</v>
      </c>
      <c r="C216" s="370"/>
      <c r="D216" s="370"/>
      <c r="E216" s="370"/>
      <c r="F216" s="370"/>
      <c r="G216" s="370"/>
      <c r="H216" s="370"/>
      <c r="I216" s="75" t="s">
        <v>31</v>
      </c>
      <c r="J216" s="75" t="s">
        <v>4</v>
      </c>
      <c r="K216" s="75" t="s">
        <v>413</v>
      </c>
    </row>
    <row r="217" spans="1:11" ht="15" customHeight="1" x14ac:dyDescent="0.25">
      <c r="A217" s="95" t="s">
        <v>338</v>
      </c>
      <c r="B217" s="374" t="str">
        <f>+UPPER(VLOOKUP(A217,PPTO!$A$9:$C$52,2,FALSE))</f>
        <v>SUMINISTRO Y COLOCACIÓN ACERO DE REFUERZO FY 4200 KG / CM2</v>
      </c>
      <c r="C217" s="374"/>
      <c r="D217" s="374"/>
      <c r="E217" s="374"/>
      <c r="F217" s="374"/>
      <c r="G217" s="374"/>
      <c r="H217" s="374"/>
      <c r="I217" s="6" t="str">
        <f>+VLOOKUP(A217,PPTO!$A$9:$C$52,3,FALSE)</f>
        <v>KG</v>
      </c>
      <c r="J217" s="6">
        <f>+J228</f>
        <v>10641.526000000002</v>
      </c>
      <c r="K217" s="371"/>
    </row>
    <row r="218" spans="1:11" ht="19.5" customHeight="1" x14ac:dyDescent="0.25">
      <c r="A218" s="96" t="s">
        <v>414</v>
      </c>
      <c r="B218" s="84" t="s">
        <v>415</v>
      </c>
      <c r="C218" s="84" t="s">
        <v>416</v>
      </c>
      <c r="D218" s="84" t="s">
        <v>417</v>
      </c>
      <c r="E218" s="84" t="s">
        <v>418</v>
      </c>
      <c r="F218" s="84" t="s">
        <v>419</v>
      </c>
      <c r="G218" s="84" t="s">
        <v>420</v>
      </c>
      <c r="H218" s="84" t="s">
        <v>421</v>
      </c>
      <c r="I218" s="84" t="s">
        <v>422</v>
      </c>
      <c r="J218" s="84" t="s">
        <v>423</v>
      </c>
      <c r="K218" s="372"/>
    </row>
    <row r="219" spans="1:11" x14ac:dyDescent="0.25">
      <c r="A219" s="85"/>
      <c r="B219" s="85" t="s">
        <v>761</v>
      </c>
      <c r="C219" s="6"/>
      <c r="D219" s="6"/>
      <c r="E219" s="6"/>
      <c r="F219" s="6"/>
      <c r="G219" s="6"/>
      <c r="H219" s="6">
        <v>17.05</v>
      </c>
      <c r="I219" s="6">
        <f>I203</f>
        <v>611</v>
      </c>
      <c r="J219" s="6">
        <f>I219*H219</f>
        <v>10417.550000000001</v>
      </c>
      <c r="K219" s="372"/>
    </row>
    <row r="220" spans="1:11" x14ac:dyDescent="0.25">
      <c r="A220" s="85"/>
      <c r="B220" s="85" t="s">
        <v>760</v>
      </c>
      <c r="C220" s="85">
        <v>220</v>
      </c>
      <c r="D220" s="85"/>
      <c r="E220" s="85"/>
      <c r="F220" s="85"/>
      <c r="G220" s="85"/>
      <c r="H220" s="6">
        <f>4*0.994</f>
        <v>3.976</v>
      </c>
      <c r="I220" s="6"/>
      <c r="J220" s="6">
        <f t="shared" ref="J220:J227" si="16">+IF(SUM(C220:I220)=0,"",SUM(C220:I220))</f>
        <v>223.976</v>
      </c>
      <c r="K220" s="372"/>
    </row>
    <row r="221" spans="1:11" x14ac:dyDescent="0.25">
      <c r="A221" s="85"/>
      <c r="B221" s="85"/>
      <c r="C221" s="85"/>
      <c r="D221" s="85"/>
      <c r="E221" s="85"/>
      <c r="F221" s="85"/>
      <c r="G221" s="85"/>
      <c r="H221" s="6"/>
      <c r="I221" s="6"/>
      <c r="J221" s="6" t="str">
        <f t="shared" si="16"/>
        <v/>
      </c>
      <c r="K221" s="372"/>
    </row>
    <row r="222" spans="1:11" x14ac:dyDescent="0.25">
      <c r="A222" s="95"/>
      <c r="B222" s="85"/>
      <c r="C222" s="85"/>
      <c r="D222" s="85"/>
      <c r="E222" s="85"/>
      <c r="F222" s="85"/>
      <c r="G222" s="85"/>
      <c r="H222" s="114"/>
      <c r="I222" s="6"/>
      <c r="J222" s="6" t="str">
        <f t="shared" si="16"/>
        <v/>
      </c>
      <c r="K222" s="372"/>
    </row>
    <row r="223" spans="1:11" x14ac:dyDescent="0.25">
      <c r="A223" s="95"/>
      <c r="B223" s="85"/>
      <c r="C223" s="85"/>
      <c r="D223" s="85"/>
      <c r="E223" s="85"/>
      <c r="F223" s="85"/>
      <c r="G223" s="85"/>
      <c r="H223" s="6"/>
      <c r="I223" s="6"/>
      <c r="J223" s="6" t="str">
        <f t="shared" si="16"/>
        <v/>
      </c>
      <c r="K223" s="372"/>
    </row>
    <row r="224" spans="1:11" x14ac:dyDescent="0.25">
      <c r="A224" s="95"/>
      <c r="B224" s="85"/>
      <c r="C224" s="85"/>
      <c r="D224" s="85"/>
      <c r="E224" s="85"/>
      <c r="F224" s="85"/>
      <c r="G224" s="85"/>
      <c r="H224" s="6"/>
      <c r="I224" s="6"/>
      <c r="J224" s="6" t="str">
        <f t="shared" si="16"/>
        <v/>
      </c>
      <c r="K224" s="372"/>
    </row>
    <row r="225" spans="1:11" x14ac:dyDescent="0.25">
      <c r="A225" s="95"/>
      <c r="B225" s="85"/>
      <c r="C225" s="85"/>
      <c r="D225" s="85"/>
      <c r="E225" s="85"/>
      <c r="F225" s="85"/>
      <c r="G225" s="85"/>
      <c r="H225" s="85"/>
      <c r="I225" s="6"/>
      <c r="J225" s="6" t="str">
        <f t="shared" si="16"/>
        <v/>
      </c>
      <c r="K225" s="372"/>
    </row>
    <row r="226" spans="1:11" x14ac:dyDescent="0.25">
      <c r="A226" s="95"/>
      <c r="B226" s="85"/>
      <c r="C226" s="85"/>
      <c r="D226" s="85"/>
      <c r="E226" s="85"/>
      <c r="F226" s="85"/>
      <c r="G226" s="85"/>
      <c r="H226" s="85"/>
      <c r="I226" s="6"/>
      <c r="J226" s="6" t="str">
        <f t="shared" si="16"/>
        <v/>
      </c>
      <c r="K226" s="372"/>
    </row>
    <row r="227" spans="1:11" x14ac:dyDescent="0.25">
      <c r="A227" s="95"/>
      <c r="B227" s="85"/>
      <c r="C227" s="85"/>
      <c r="D227" s="85"/>
      <c r="E227" s="85"/>
      <c r="F227" s="85"/>
      <c r="G227" s="85"/>
      <c r="H227" s="85"/>
      <c r="I227" s="6"/>
      <c r="J227" s="6" t="str">
        <f t="shared" si="16"/>
        <v/>
      </c>
      <c r="K227" s="372"/>
    </row>
    <row r="228" spans="1:11" x14ac:dyDescent="0.25">
      <c r="A228" s="369" t="s">
        <v>424</v>
      </c>
      <c r="B228" s="369"/>
      <c r="C228" s="369"/>
      <c r="D228" s="369"/>
      <c r="E228" s="369"/>
      <c r="F228" s="369"/>
      <c r="G228" s="369"/>
      <c r="H228" s="369"/>
      <c r="I228" s="369"/>
      <c r="J228" s="63">
        <f>+SUM(J219:J227)</f>
        <v>10641.526000000002</v>
      </c>
      <c r="K228" s="373"/>
    </row>
    <row r="229" spans="1:11" x14ac:dyDescent="0.25">
      <c r="A229" s="89" t="s">
        <v>288</v>
      </c>
      <c r="B229" s="370" t="s">
        <v>706</v>
      </c>
      <c r="C229" s="370"/>
      <c r="D229" s="370"/>
      <c r="E229" s="370"/>
      <c r="F229" s="370"/>
      <c r="G229" s="370"/>
      <c r="H229" s="370"/>
      <c r="I229" s="75" t="s">
        <v>31</v>
      </c>
      <c r="J229" s="75" t="s">
        <v>4</v>
      </c>
      <c r="K229" s="75" t="s">
        <v>413</v>
      </c>
    </row>
    <row r="230" spans="1:11" x14ac:dyDescent="0.25">
      <c r="A230" s="95" t="s">
        <v>340</v>
      </c>
      <c r="B230" s="374" t="str">
        <f>+UPPER(VLOOKUP(A230,PPTO!$A$9:$C$52,2,FALSE))</f>
        <v>SUMINISTRO Y COLOCACIÓN DE ANCLAJES 3 CABLES D =5/8"</v>
      </c>
      <c r="C230" s="374"/>
      <c r="D230" s="374"/>
      <c r="E230" s="374"/>
      <c r="F230" s="374"/>
      <c r="G230" s="374"/>
      <c r="H230" s="374"/>
      <c r="I230" s="6" t="str">
        <f>+VLOOKUP(A230,PPTO!$A$9:$C$52,3,FALSE)</f>
        <v>ML</v>
      </c>
      <c r="J230" s="6">
        <f>+J241</f>
        <v>18330</v>
      </c>
      <c r="K230" s="371"/>
    </row>
    <row r="231" spans="1:11" ht="19.5" customHeight="1" x14ac:dyDescent="0.25">
      <c r="A231" s="96" t="s">
        <v>414</v>
      </c>
      <c r="B231" s="84" t="s">
        <v>415</v>
      </c>
      <c r="C231" s="84" t="s">
        <v>416</v>
      </c>
      <c r="D231" s="84" t="s">
        <v>417</v>
      </c>
      <c r="E231" s="84" t="s">
        <v>418</v>
      </c>
      <c r="F231" s="84" t="s">
        <v>419</v>
      </c>
      <c r="G231" s="84" t="s">
        <v>420</v>
      </c>
      <c r="H231" s="84" t="s">
        <v>421</v>
      </c>
      <c r="I231" s="84" t="s">
        <v>422</v>
      </c>
      <c r="J231" s="84" t="s">
        <v>423</v>
      </c>
      <c r="K231" s="372"/>
    </row>
    <row r="232" spans="1:11" x14ac:dyDescent="0.25">
      <c r="A232" s="85"/>
      <c r="B232" s="85" t="s">
        <v>749</v>
      </c>
      <c r="C232" s="6">
        <v>30</v>
      </c>
      <c r="D232" s="6"/>
      <c r="E232" s="6"/>
      <c r="F232" s="6"/>
      <c r="G232" s="6"/>
      <c r="H232" s="6"/>
      <c r="I232" s="6">
        <f>I219</f>
        <v>611</v>
      </c>
      <c r="J232" s="6">
        <f>I232*C232</f>
        <v>18330</v>
      </c>
      <c r="K232" s="372"/>
    </row>
    <row r="233" spans="1:11" x14ac:dyDescent="0.25">
      <c r="A233" s="95"/>
      <c r="B233" s="85"/>
      <c r="C233" s="85"/>
      <c r="D233" s="85"/>
      <c r="E233" s="85"/>
      <c r="F233" s="85"/>
      <c r="G233" s="85"/>
      <c r="H233" s="85"/>
      <c r="I233" s="6"/>
      <c r="J233" s="6" t="str">
        <f t="shared" ref="J233:J240" si="17">+IF(SUM(C233:I233)=0,"",SUM(C233:I233))</f>
        <v/>
      </c>
      <c r="K233" s="372"/>
    </row>
    <row r="234" spans="1:11" x14ac:dyDescent="0.25">
      <c r="A234" s="95"/>
      <c r="B234" s="85"/>
      <c r="C234" s="85"/>
      <c r="D234" s="85"/>
      <c r="E234" s="85"/>
      <c r="F234" s="85"/>
      <c r="G234" s="85"/>
      <c r="H234" s="85"/>
      <c r="I234" s="6"/>
      <c r="J234" s="6" t="str">
        <f t="shared" si="17"/>
        <v/>
      </c>
      <c r="K234" s="372"/>
    </row>
    <row r="235" spans="1:11" x14ac:dyDescent="0.25">
      <c r="A235" s="95"/>
      <c r="B235" s="85"/>
      <c r="C235" s="85"/>
      <c r="D235" s="85"/>
      <c r="E235" s="85"/>
      <c r="F235" s="85"/>
      <c r="G235" s="85"/>
      <c r="H235" s="85"/>
      <c r="I235" s="6"/>
      <c r="J235" s="6" t="str">
        <f t="shared" si="17"/>
        <v/>
      </c>
      <c r="K235" s="372"/>
    </row>
    <row r="236" spans="1:11" x14ac:dyDescent="0.25">
      <c r="A236" s="95"/>
      <c r="B236" s="85"/>
      <c r="C236" s="85"/>
      <c r="D236" s="85"/>
      <c r="E236" s="85"/>
      <c r="F236" s="85"/>
      <c r="G236" s="85"/>
      <c r="H236" s="85"/>
      <c r="I236" s="6"/>
      <c r="J236" s="6" t="str">
        <f t="shared" si="17"/>
        <v/>
      </c>
      <c r="K236" s="372"/>
    </row>
    <row r="237" spans="1:11" x14ac:dyDescent="0.25">
      <c r="A237" s="95"/>
      <c r="B237" s="85"/>
      <c r="C237" s="85"/>
      <c r="D237" s="85"/>
      <c r="E237" s="85"/>
      <c r="F237" s="85"/>
      <c r="G237" s="85"/>
      <c r="H237" s="85"/>
      <c r="I237" s="6"/>
      <c r="J237" s="6" t="str">
        <f t="shared" si="17"/>
        <v/>
      </c>
      <c r="K237" s="372"/>
    </row>
    <row r="238" spans="1:11" x14ac:dyDescent="0.25">
      <c r="A238" s="95"/>
      <c r="B238" s="85"/>
      <c r="C238" s="85"/>
      <c r="D238" s="85"/>
      <c r="E238" s="85"/>
      <c r="F238" s="85"/>
      <c r="G238" s="85"/>
      <c r="H238" s="85"/>
      <c r="I238" s="6"/>
      <c r="J238" s="6" t="str">
        <f t="shared" si="17"/>
        <v/>
      </c>
      <c r="K238" s="372"/>
    </row>
    <row r="239" spans="1:11" x14ac:dyDescent="0.25">
      <c r="A239" s="95"/>
      <c r="B239" s="85"/>
      <c r="C239" s="85"/>
      <c r="D239" s="85"/>
      <c r="E239" s="85"/>
      <c r="F239" s="85"/>
      <c r="G239" s="85"/>
      <c r="H239" s="85"/>
      <c r="I239" s="6"/>
      <c r="J239" s="6" t="str">
        <f t="shared" si="17"/>
        <v/>
      </c>
      <c r="K239" s="372"/>
    </row>
    <row r="240" spans="1:11" x14ac:dyDescent="0.25">
      <c r="A240" s="95"/>
      <c r="B240" s="85"/>
      <c r="C240" s="85"/>
      <c r="D240" s="85"/>
      <c r="E240" s="85"/>
      <c r="F240" s="85"/>
      <c r="G240" s="85"/>
      <c r="H240" s="85"/>
      <c r="I240" s="6"/>
      <c r="J240" s="6" t="str">
        <f t="shared" si="17"/>
        <v/>
      </c>
      <c r="K240" s="372"/>
    </row>
    <row r="241" spans="1:11" x14ac:dyDescent="0.25">
      <c r="A241" s="369" t="s">
        <v>424</v>
      </c>
      <c r="B241" s="369"/>
      <c r="C241" s="369"/>
      <c r="D241" s="369"/>
      <c r="E241" s="369"/>
      <c r="F241" s="369"/>
      <c r="G241" s="369"/>
      <c r="H241" s="369"/>
      <c r="I241" s="369"/>
      <c r="J241" s="63">
        <f>+SUM(J232:J240)</f>
        <v>18330</v>
      </c>
      <c r="K241" s="373"/>
    </row>
    <row r="242" spans="1:11" x14ac:dyDescent="0.25">
      <c r="A242" s="89" t="s">
        <v>288</v>
      </c>
      <c r="B242" s="370" t="s">
        <v>706</v>
      </c>
      <c r="C242" s="370"/>
      <c r="D242" s="370"/>
      <c r="E242" s="370"/>
      <c r="F242" s="370"/>
      <c r="G242" s="370"/>
      <c r="H242" s="370"/>
      <c r="I242" s="75" t="s">
        <v>31</v>
      </c>
      <c r="J242" s="75" t="s">
        <v>4</v>
      </c>
      <c r="K242" s="75" t="s">
        <v>413</v>
      </c>
    </row>
    <row r="243" spans="1:11" ht="15" customHeight="1" x14ac:dyDescent="0.25">
      <c r="A243" s="95" t="s">
        <v>342</v>
      </c>
      <c r="B243" s="374" t="str">
        <f>+UPPER(VLOOKUP(A243,PPTO!$A$9:$C$52,2,FALSE))</f>
        <v>TENSIONAMIENTO DE ANCLAJES 30 TON</v>
      </c>
      <c r="C243" s="374"/>
      <c r="D243" s="374"/>
      <c r="E243" s="374"/>
      <c r="F243" s="374"/>
      <c r="G243" s="374"/>
      <c r="H243" s="374"/>
      <c r="I243" s="6" t="str">
        <f>+VLOOKUP(A243,PPTO!$A$9:$C$52,3,FALSE)</f>
        <v>UND</v>
      </c>
      <c r="J243" s="6">
        <f>+J254</f>
        <v>611</v>
      </c>
      <c r="K243" s="371"/>
    </row>
    <row r="244" spans="1:11" ht="19.5" customHeight="1" x14ac:dyDescent="0.25">
      <c r="A244" s="96" t="s">
        <v>414</v>
      </c>
      <c r="B244" s="84" t="s">
        <v>415</v>
      </c>
      <c r="C244" s="84" t="s">
        <v>416</v>
      </c>
      <c r="D244" s="84" t="s">
        <v>417</v>
      </c>
      <c r="E244" s="84" t="s">
        <v>418</v>
      </c>
      <c r="F244" s="84" t="s">
        <v>419</v>
      </c>
      <c r="G244" s="84" t="s">
        <v>420</v>
      </c>
      <c r="H244" s="84" t="s">
        <v>421</v>
      </c>
      <c r="I244" s="84" t="s">
        <v>422</v>
      </c>
      <c r="J244" s="84" t="s">
        <v>423</v>
      </c>
      <c r="K244" s="372"/>
    </row>
    <row r="245" spans="1:11" x14ac:dyDescent="0.25">
      <c r="A245" s="85" t="str">
        <f>+CALCULOS!C89</f>
        <v>Muro 1</v>
      </c>
      <c r="B245" s="85" t="str">
        <f>+CONCATENATE("Tensionamiento de anclajes en ",A245)</f>
        <v>Tensionamiento de anclajes en Muro 1</v>
      </c>
      <c r="C245" s="6"/>
      <c r="D245" s="6"/>
      <c r="E245" s="6"/>
      <c r="F245" s="6"/>
      <c r="G245" s="6"/>
      <c r="H245" s="6"/>
      <c r="I245" s="6">
        <v>98</v>
      </c>
      <c r="J245" s="6">
        <f>+IF(SUM(C245:I245)=0,"",SUM(C245:I245))</f>
        <v>98</v>
      </c>
      <c r="K245" s="372"/>
    </row>
    <row r="246" spans="1:11" x14ac:dyDescent="0.25">
      <c r="A246" s="85" t="str">
        <f>+CALCULOS!C90</f>
        <v>Muro 2</v>
      </c>
      <c r="B246" s="85" t="str">
        <f t="shared" ref="B246:B248" si="18">+CONCATENATE("Tensionamiento de anclajes en ",A246)</f>
        <v>Tensionamiento de anclajes en Muro 2</v>
      </c>
      <c r="C246" s="85"/>
      <c r="D246" s="85"/>
      <c r="E246" s="85"/>
      <c r="F246" s="85"/>
      <c r="G246" s="85"/>
      <c r="H246" s="85"/>
      <c r="I246" s="6">
        <v>107</v>
      </c>
      <c r="J246" s="6">
        <f t="shared" ref="J246:J253" si="19">+IF(SUM(C246:I246)=0,"",SUM(C246:I246))</f>
        <v>107</v>
      </c>
      <c r="K246" s="372"/>
    </row>
    <row r="247" spans="1:11" x14ac:dyDescent="0.25">
      <c r="A247" s="85" t="str">
        <f>+CALCULOS!C91</f>
        <v>Muro 3</v>
      </c>
      <c r="B247" s="85" t="str">
        <f t="shared" si="18"/>
        <v>Tensionamiento de anclajes en Muro 3</v>
      </c>
      <c r="C247" s="85"/>
      <c r="D247" s="85"/>
      <c r="E247" s="85"/>
      <c r="F247" s="85"/>
      <c r="G247" s="85"/>
      <c r="H247" s="85"/>
      <c r="I247" s="6">
        <v>206</v>
      </c>
      <c r="J247" s="6">
        <f t="shared" si="19"/>
        <v>206</v>
      </c>
      <c r="K247" s="372"/>
    </row>
    <row r="248" spans="1:11" x14ac:dyDescent="0.25">
      <c r="A248" s="85" t="str">
        <f>+CALCULOS!C92</f>
        <v>Muro 4</v>
      </c>
      <c r="B248" s="85" t="str">
        <f t="shared" si="18"/>
        <v>Tensionamiento de anclajes en Muro 4</v>
      </c>
      <c r="C248" s="85"/>
      <c r="D248" s="85"/>
      <c r="E248" s="85"/>
      <c r="F248" s="85"/>
      <c r="G248" s="85"/>
      <c r="H248" s="85"/>
      <c r="I248" s="6">
        <v>200</v>
      </c>
      <c r="J248" s="6">
        <f t="shared" si="19"/>
        <v>200</v>
      </c>
      <c r="K248" s="372"/>
    </row>
    <row r="249" spans="1:11" x14ac:dyDescent="0.25">
      <c r="A249" s="95"/>
      <c r="B249" s="85"/>
      <c r="C249" s="85"/>
      <c r="D249" s="85"/>
      <c r="E249" s="85"/>
      <c r="F249" s="85"/>
      <c r="G249" s="85"/>
      <c r="H249" s="85"/>
      <c r="I249" s="6"/>
      <c r="J249" s="6" t="str">
        <f t="shared" si="19"/>
        <v/>
      </c>
      <c r="K249" s="372"/>
    </row>
    <row r="250" spans="1:11" x14ac:dyDescent="0.25">
      <c r="A250" s="95"/>
      <c r="B250" s="85"/>
      <c r="C250" s="85"/>
      <c r="D250" s="85"/>
      <c r="E250" s="85"/>
      <c r="F250" s="85"/>
      <c r="G250" s="85"/>
      <c r="H250" s="85"/>
      <c r="I250" s="6"/>
      <c r="J250" s="6" t="str">
        <f t="shared" si="19"/>
        <v/>
      </c>
      <c r="K250" s="372"/>
    </row>
    <row r="251" spans="1:11" x14ac:dyDescent="0.25">
      <c r="A251" s="95"/>
      <c r="B251" s="85"/>
      <c r="C251" s="85"/>
      <c r="D251" s="85"/>
      <c r="E251" s="85"/>
      <c r="F251" s="85"/>
      <c r="G251" s="85"/>
      <c r="H251" s="85"/>
      <c r="I251" s="6"/>
      <c r="J251" s="6" t="str">
        <f t="shared" si="19"/>
        <v/>
      </c>
      <c r="K251" s="372"/>
    </row>
    <row r="252" spans="1:11" x14ac:dyDescent="0.25">
      <c r="A252" s="95"/>
      <c r="B252" s="85"/>
      <c r="C252" s="85"/>
      <c r="D252" s="85"/>
      <c r="E252" s="85"/>
      <c r="F252" s="85"/>
      <c r="G252" s="85"/>
      <c r="H252" s="85"/>
      <c r="I252" s="6"/>
      <c r="J252" s="6" t="str">
        <f t="shared" si="19"/>
        <v/>
      </c>
      <c r="K252" s="372"/>
    </row>
    <row r="253" spans="1:11" x14ac:dyDescent="0.25">
      <c r="A253" s="95"/>
      <c r="B253" s="85"/>
      <c r="C253" s="85"/>
      <c r="D253" s="85"/>
      <c r="E253" s="85"/>
      <c r="F253" s="85"/>
      <c r="G253" s="85"/>
      <c r="H253" s="85"/>
      <c r="I253" s="6"/>
      <c r="J253" s="6" t="str">
        <f t="shared" si="19"/>
        <v/>
      </c>
      <c r="K253" s="372"/>
    </row>
    <row r="254" spans="1:11" x14ac:dyDescent="0.25">
      <c r="A254" s="369" t="s">
        <v>424</v>
      </c>
      <c r="B254" s="369"/>
      <c r="C254" s="369"/>
      <c r="D254" s="369"/>
      <c r="E254" s="369"/>
      <c r="F254" s="369"/>
      <c r="G254" s="369"/>
      <c r="H254" s="369"/>
      <c r="I254" s="369"/>
      <c r="J254" s="63">
        <f>+SUM(J245:J253)</f>
        <v>611</v>
      </c>
      <c r="K254" s="373"/>
    </row>
    <row r="255" spans="1:11" x14ac:dyDescent="0.25">
      <c r="A255" s="89" t="s">
        <v>288</v>
      </c>
      <c r="B255" s="370" t="s">
        <v>706</v>
      </c>
      <c r="C255" s="370"/>
      <c r="D255" s="370"/>
      <c r="E255" s="370"/>
      <c r="F255" s="370"/>
      <c r="G255" s="370"/>
      <c r="H255" s="370"/>
      <c r="I255" s="75" t="s">
        <v>31</v>
      </c>
      <c r="J255" s="75" t="s">
        <v>4</v>
      </c>
      <c r="K255" s="75" t="s">
        <v>413</v>
      </c>
    </row>
    <row r="256" spans="1:11" ht="15" customHeight="1" x14ac:dyDescent="0.25">
      <c r="A256" s="95" t="s">
        <v>343</v>
      </c>
      <c r="B256" s="374" t="str">
        <f>+UPPER(VLOOKUP(A256,PPTO!$A$9:$C$52,2,FALSE))</f>
        <v>SUMINISTRO Y COLOCACIÓN MALLA ELECTROSOLDADA CALIBRE 10</v>
      </c>
      <c r="C256" s="374"/>
      <c r="D256" s="374"/>
      <c r="E256" s="374"/>
      <c r="F256" s="374"/>
      <c r="G256" s="374"/>
      <c r="H256" s="374"/>
      <c r="I256" s="6" t="str">
        <f>+VLOOKUP(A256,PPTO!$A$9:$C$52,3,FALSE)</f>
        <v>M2</v>
      </c>
      <c r="J256" s="6">
        <f>+J267</f>
        <v>4353.3249999999998</v>
      </c>
      <c r="K256" s="371"/>
    </row>
    <row r="257" spans="1:11" ht="19.5" customHeight="1" x14ac:dyDescent="0.25">
      <c r="A257" s="96" t="s">
        <v>414</v>
      </c>
      <c r="B257" s="84" t="s">
        <v>415</v>
      </c>
      <c r="C257" s="84" t="s">
        <v>416</v>
      </c>
      <c r="D257" s="84" t="s">
        <v>417</v>
      </c>
      <c r="E257" s="84" t="s">
        <v>418</v>
      </c>
      <c r="F257" s="84" t="s">
        <v>419</v>
      </c>
      <c r="G257" s="84" t="s">
        <v>420</v>
      </c>
      <c r="H257" s="84" t="s">
        <v>421</v>
      </c>
      <c r="I257" s="84" t="s">
        <v>422</v>
      </c>
      <c r="J257" s="84" t="s">
        <v>423</v>
      </c>
      <c r="K257" s="372"/>
    </row>
    <row r="258" spans="1:11" x14ac:dyDescent="0.25">
      <c r="A258" s="85"/>
      <c r="B258" s="85" t="s">
        <v>750</v>
      </c>
      <c r="C258" s="6"/>
      <c r="D258" s="6"/>
      <c r="E258" s="6"/>
      <c r="F258" s="6">
        <f>J173</f>
        <v>4353.3249999999998</v>
      </c>
      <c r="G258" s="6"/>
      <c r="H258" s="6"/>
      <c r="I258" s="6"/>
      <c r="J258" s="6">
        <f>+IF(SUM(C258:I258)=0,"",SUM(C258:I258))</f>
        <v>4353.3249999999998</v>
      </c>
      <c r="K258" s="372"/>
    </row>
    <row r="259" spans="1:11" x14ac:dyDescent="0.25">
      <c r="A259" s="95"/>
      <c r="B259" s="85"/>
      <c r="C259" s="85"/>
      <c r="D259" s="85"/>
      <c r="E259" s="85"/>
      <c r="F259" s="85"/>
      <c r="G259" s="85"/>
      <c r="H259" s="85"/>
      <c r="I259" s="6"/>
      <c r="J259" s="6" t="str">
        <f t="shared" ref="J259:J266" si="20">+IF(SUM(C259:I259)=0,"",SUM(C259:I259))</f>
        <v/>
      </c>
      <c r="K259" s="372"/>
    </row>
    <row r="260" spans="1:11" x14ac:dyDescent="0.25">
      <c r="A260" s="95"/>
      <c r="B260" s="85"/>
      <c r="C260" s="85"/>
      <c r="D260" s="85"/>
      <c r="E260" s="85"/>
      <c r="F260" s="85"/>
      <c r="G260" s="85"/>
      <c r="H260" s="85"/>
      <c r="I260" s="6"/>
      <c r="J260" s="6" t="str">
        <f t="shared" si="20"/>
        <v/>
      </c>
      <c r="K260" s="372"/>
    </row>
    <row r="261" spans="1:11" x14ac:dyDescent="0.25">
      <c r="A261" s="95"/>
      <c r="B261" s="85"/>
      <c r="C261" s="85"/>
      <c r="D261" s="85"/>
      <c r="E261" s="85"/>
      <c r="F261" s="85"/>
      <c r="G261" s="85"/>
      <c r="H261" s="85"/>
      <c r="I261" s="6"/>
      <c r="J261" s="6" t="str">
        <f t="shared" si="20"/>
        <v/>
      </c>
      <c r="K261" s="372"/>
    </row>
    <row r="262" spans="1:11" x14ac:dyDescent="0.25">
      <c r="A262" s="95"/>
      <c r="B262" s="85"/>
      <c r="C262" s="85"/>
      <c r="D262" s="85"/>
      <c r="E262" s="85"/>
      <c r="F262" s="85"/>
      <c r="G262" s="85"/>
      <c r="H262" s="85"/>
      <c r="I262" s="6"/>
      <c r="J262" s="6" t="str">
        <f t="shared" si="20"/>
        <v/>
      </c>
      <c r="K262" s="372"/>
    </row>
    <row r="263" spans="1:11" x14ac:dyDescent="0.25">
      <c r="A263" s="95"/>
      <c r="B263" s="85"/>
      <c r="C263" s="85"/>
      <c r="D263" s="85"/>
      <c r="E263" s="85"/>
      <c r="F263" s="85"/>
      <c r="G263" s="85"/>
      <c r="H263" s="85"/>
      <c r="I263" s="6"/>
      <c r="J263" s="6" t="str">
        <f t="shared" si="20"/>
        <v/>
      </c>
      <c r="K263" s="372"/>
    </row>
    <row r="264" spans="1:11" x14ac:dyDescent="0.25">
      <c r="A264" s="95"/>
      <c r="B264" s="85"/>
      <c r="C264" s="85"/>
      <c r="D264" s="85"/>
      <c r="E264" s="85"/>
      <c r="F264" s="85"/>
      <c r="G264" s="85"/>
      <c r="H264" s="85"/>
      <c r="I264" s="6"/>
      <c r="J264" s="6" t="str">
        <f t="shared" si="20"/>
        <v/>
      </c>
      <c r="K264" s="372"/>
    </row>
    <row r="265" spans="1:11" x14ac:dyDescent="0.25">
      <c r="A265" s="95"/>
      <c r="B265" s="85"/>
      <c r="C265" s="85"/>
      <c r="D265" s="85"/>
      <c r="E265" s="85"/>
      <c r="F265" s="85"/>
      <c r="G265" s="85"/>
      <c r="H265" s="85"/>
      <c r="I265" s="6"/>
      <c r="J265" s="6" t="str">
        <f t="shared" si="20"/>
        <v/>
      </c>
      <c r="K265" s="372"/>
    </row>
    <row r="266" spans="1:11" x14ac:dyDescent="0.25">
      <c r="A266" s="95"/>
      <c r="B266" s="85"/>
      <c r="C266" s="85"/>
      <c r="D266" s="85"/>
      <c r="E266" s="85"/>
      <c r="F266" s="85"/>
      <c r="G266" s="85"/>
      <c r="H266" s="85"/>
      <c r="I266" s="6"/>
      <c r="J266" s="6" t="str">
        <f t="shared" si="20"/>
        <v/>
      </c>
      <c r="K266" s="372"/>
    </row>
    <row r="267" spans="1:11" x14ac:dyDescent="0.25">
      <c r="A267" s="369" t="s">
        <v>424</v>
      </c>
      <c r="B267" s="369"/>
      <c r="C267" s="369"/>
      <c r="D267" s="369"/>
      <c r="E267" s="369"/>
      <c r="F267" s="369"/>
      <c r="G267" s="369"/>
      <c r="H267" s="369"/>
      <c r="I267" s="369"/>
      <c r="J267" s="63">
        <f>+SUM(J258:J266)</f>
        <v>4353.3249999999998</v>
      </c>
      <c r="K267" s="373"/>
    </row>
    <row r="268" spans="1:11" x14ac:dyDescent="0.25">
      <c r="A268" s="89" t="s">
        <v>288</v>
      </c>
      <c r="B268" s="370" t="s">
        <v>706</v>
      </c>
      <c r="C268" s="370"/>
      <c r="D268" s="370"/>
      <c r="E268" s="370"/>
      <c r="F268" s="370"/>
      <c r="G268" s="370"/>
      <c r="H268" s="370"/>
      <c r="I268" s="75" t="s">
        <v>31</v>
      </c>
      <c r="J268" s="75" t="s">
        <v>4</v>
      </c>
      <c r="K268" s="75" t="s">
        <v>413</v>
      </c>
    </row>
    <row r="269" spans="1:11" ht="15" customHeight="1" x14ac:dyDescent="0.25">
      <c r="A269" s="95" t="s">
        <v>345</v>
      </c>
      <c r="B269" s="374" t="str">
        <f>+UPPER(VLOOKUP(A269,PPTO!$A$9:$C$52,2,FALSE))</f>
        <v>SUMINISTRO E INSTALACIÓN PLATINAS METÁLICAS EN LAMINA HR E=3/4" 200X200MM</v>
      </c>
      <c r="C269" s="374"/>
      <c r="D269" s="374"/>
      <c r="E269" s="374"/>
      <c r="F269" s="374"/>
      <c r="G269" s="374"/>
      <c r="H269" s="374"/>
      <c r="I269" s="6" t="str">
        <f>+VLOOKUP(A269,PPTO!$A$9:$C$52,3,FALSE)</f>
        <v>UND</v>
      </c>
      <c r="J269" s="6">
        <f>+J280</f>
        <v>611</v>
      </c>
      <c r="K269" s="371"/>
    </row>
    <row r="270" spans="1:11" ht="19.5" customHeight="1" x14ac:dyDescent="0.25">
      <c r="A270" s="96" t="s">
        <v>414</v>
      </c>
      <c r="B270" s="84" t="s">
        <v>415</v>
      </c>
      <c r="C270" s="84" t="s">
        <v>416</v>
      </c>
      <c r="D270" s="84" t="s">
        <v>417</v>
      </c>
      <c r="E270" s="84" t="s">
        <v>418</v>
      </c>
      <c r="F270" s="84" t="s">
        <v>419</v>
      </c>
      <c r="G270" s="84" t="s">
        <v>420</v>
      </c>
      <c r="H270" s="84" t="s">
        <v>421</v>
      </c>
      <c r="I270" s="84" t="s">
        <v>422</v>
      </c>
      <c r="J270" s="84" t="s">
        <v>423</v>
      </c>
      <c r="K270" s="372"/>
    </row>
    <row r="271" spans="1:11" x14ac:dyDescent="0.25">
      <c r="A271" s="85" t="str">
        <f>+CALCULOS!C97</f>
        <v>Muro 1</v>
      </c>
      <c r="B271" s="85" t="str">
        <f>+CONCATENATE("Platina para anclajes en ",A271)</f>
        <v>Platina para anclajes en Muro 1</v>
      </c>
      <c r="C271" s="6"/>
      <c r="D271" s="6"/>
      <c r="E271" s="6"/>
      <c r="F271" s="6"/>
      <c r="G271" s="6"/>
      <c r="H271" s="6"/>
      <c r="I271" s="6">
        <v>98</v>
      </c>
      <c r="J271" s="6">
        <f>+IF(SUM(C271:I271)=0,"",SUM(C271:I271))</f>
        <v>98</v>
      </c>
      <c r="K271" s="372"/>
    </row>
    <row r="272" spans="1:11" x14ac:dyDescent="0.25">
      <c r="A272" s="85" t="str">
        <f>+CALCULOS!C98</f>
        <v>Muro 2</v>
      </c>
      <c r="B272" s="85" t="str">
        <f t="shared" ref="B272:B274" si="21">+CONCATENATE("Platina para anclajes en ",A272)</f>
        <v>Platina para anclajes en Muro 2</v>
      </c>
      <c r="C272" s="85"/>
      <c r="D272" s="85"/>
      <c r="E272" s="85"/>
      <c r="F272" s="85"/>
      <c r="G272" s="85"/>
      <c r="H272" s="85"/>
      <c r="I272" s="6">
        <v>107</v>
      </c>
      <c r="J272" s="6">
        <f t="shared" ref="J272:J279" si="22">+IF(SUM(C272:I272)=0,"",SUM(C272:I272))</f>
        <v>107</v>
      </c>
      <c r="K272" s="372"/>
    </row>
    <row r="273" spans="1:11" x14ac:dyDescent="0.25">
      <c r="A273" s="85" t="str">
        <f>+CALCULOS!C99</f>
        <v>Muro 3</v>
      </c>
      <c r="B273" s="85" t="str">
        <f t="shared" si="21"/>
        <v>Platina para anclajes en Muro 3</v>
      </c>
      <c r="C273" s="85"/>
      <c r="D273" s="85"/>
      <c r="E273" s="85"/>
      <c r="F273" s="85"/>
      <c r="G273" s="85"/>
      <c r="H273" s="85"/>
      <c r="I273" s="6">
        <v>206</v>
      </c>
      <c r="J273" s="6">
        <f t="shared" si="22"/>
        <v>206</v>
      </c>
      <c r="K273" s="372"/>
    </row>
    <row r="274" spans="1:11" x14ac:dyDescent="0.25">
      <c r="A274" s="85" t="str">
        <f>+CALCULOS!C100</f>
        <v>Muro 4</v>
      </c>
      <c r="B274" s="85" t="str">
        <f t="shared" si="21"/>
        <v>Platina para anclajes en Muro 4</v>
      </c>
      <c r="C274" s="85"/>
      <c r="D274" s="85"/>
      <c r="E274" s="85"/>
      <c r="F274" s="85"/>
      <c r="G274" s="85"/>
      <c r="H274" s="85"/>
      <c r="I274" s="6">
        <v>200</v>
      </c>
      <c r="J274" s="6">
        <f>+IF(SUM(C274:I274)=0,"",SUM(C274:I274))</f>
        <v>200</v>
      </c>
      <c r="K274" s="372"/>
    </row>
    <row r="275" spans="1:11" x14ac:dyDescent="0.25">
      <c r="A275" s="95"/>
      <c r="B275" s="85"/>
      <c r="C275" s="85"/>
      <c r="D275" s="85"/>
      <c r="E275" s="85"/>
      <c r="F275" s="85"/>
      <c r="G275" s="85"/>
      <c r="H275" s="85"/>
      <c r="I275" s="6"/>
      <c r="J275" s="6" t="str">
        <f t="shared" si="22"/>
        <v/>
      </c>
      <c r="K275" s="372"/>
    </row>
    <row r="276" spans="1:11" x14ac:dyDescent="0.25">
      <c r="A276" s="95"/>
      <c r="B276" s="85"/>
      <c r="C276" s="85"/>
      <c r="D276" s="85"/>
      <c r="E276" s="85"/>
      <c r="F276" s="85"/>
      <c r="G276" s="85"/>
      <c r="H276" s="85"/>
      <c r="I276" s="6"/>
      <c r="J276" s="6" t="str">
        <f t="shared" si="22"/>
        <v/>
      </c>
      <c r="K276" s="372"/>
    </row>
    <row r="277" spans="1:11" x14ac:dyDescent="0.25">
      <c r="A277" s="95"/>
      <c r="B277" s="85"/>
      <c r="C277" s="85"/>
      <c r="D277" s="85"/>
      <c r="E277" s="85"/>
      <c r="F277" s="85"/>
      <c r="G277" s="85"/>
      <c r="H277" s="85"/>
      <c r="I277" s="6"/>
      <c r="J277" s="6" t="str">
        <f t="shared" si="22"/>
        <v/>
      </c>
      <c r="K277" s="372"/>
    </row>
    <row r="278" spans="1:11" x14ac:dyDescent="0.25">
      <c r="A278" s="95"/>
      <c r="B278" s="85"/>
      <c r="C278" s="85"/>
      <c r="D278" s="85"/>
      <c r="E278" s="85"/>
      <c r="F278" s="85"/>
      <c r="G278" s="85"/>
      <c r="H278" s="85"/>
      <c r="I278" s="6"/>
      <c r="J278" s="6" t="str">
        <f t="shared" si="22"/>
        <v/>
      </c>
      <c r="K278" s="372"/>
    </row>
    <row r="279" spans="1:11" x14ac:dyDescent="0.25">
      <c r="A279" s="95"/>
      <c r="B279" s="85"/>
      <c r="C279" s="85"/>
      <c r="D279" s="85"/>
      <c r="E279" s="85"/>
      <c r="F279" s="85"/>
      <c r="G279" s="85"/>
      <c r="H279" s="85"/>
      <c r="I279" s="6"/>
      <c r="J279" s="6" t="str">
        <f t="shared" si="22"/>
        <v/>
      </c>
      <c r="K279" s="372"/>
    </row>
    <row r="280" spans="1:11" x14ac:dyDescent="0.25">
      <c r="A280" s="369" t="s">
        <v>424</v>
      </c>
      <c r="B280" s="369"/>
      <c r="C280" s="369"/>
      <c r="D280" s="369"/>
      <c r="E280" s="369"/>
      <c r="F280" s="369"/>
      <c r="G280" s="369"/>
      <c r="H280" s="369"/>
      <c r="I280" s="369"/>
      <c r="J280" s="63">
        <f>+SUM(J271:J279)</f>
        <v>611</v>
      </c>
      <c r="K280" s="373"/>
    </row>
    <row r="281" spans="1:11" x14ac:dyDescent="0.25">
      <c r="A281" s="89" t="s">
        <v>288</v>
      </c>
      <c r="B281" s="370" t="s">
        <v>706</v>
      </c>
      <c r="C281" s="370"/>
      <c r="D281" s="370"/>
      <c r="E281" s="370"/>
      <c r="F281" s="370"/>
      <c r="G281" s="370"/>
      <c r="H281" s="370"/>
      <c r="I281" s="75" t="s">
        <v>31</v>
      </c>
      <c r="J281" s="75" t="s">
        <v>4</v>
      </c>
      <c r="K281" s="75" t="s">
        <v>413</v>
      </c>
    </row>
    <row r="282" spans="1:11" ht="15" customHeight="1" x14ac:dyDescent="0.25">
      <c r="A282" s="95" t="s">
        <v>346</v>
      </c>
      <c r="B282" s="374" t="str">
        <f>+UPPER(VLOOKUP(A282,PPTO!$A$9:$C$52,2,FALSE))</f>
        <v>SUMINISTRO E INSTALACIÓN DE CUÑAS DE 5/8"</v>
      </c>
      <c r="C282" s="374"/>
      <c r="D282" s="374"/>
      <c r="E282" s="374"/>
      <c r="F282" s="374"/>
      <c r="G282" s="374"/>
      <c r="H282" s="374"/>
      <c r="I282" s="6" t="str">
        <f>+VLOOKUP(A282,PPTO!$A$9:$C$52,3,FALSE)</f>
        <v>UND</v>
      </c>
      <c r="J282" s="6">
        <f>+J293</f>
        <v>1833</v>
      </c>
      <c r="K282" s="371"/>
    </row>
    <row r="283" spans="1:11" ht="19.5" customHeight="1" x14ac:dyDescent="0.25">
      <c r="A283" s="96" t="s">
        <v>414</v>
      </c>
      <c r="B283" s="84" t="s">
        <v>415</v>
      </c>
      <c r="C283" s="84" t="s">
        <v>416</v>
      </c>
      <c r="D283" s="84" t="s">
        <v>417</v>
      </c>
      <c r="E283" s="84" t="s">
        <v>418</v>
      </c>
      <c r="F283" s="84" t="s">
        <v>419</v>
      </c>
      <c r="G283" s="84" t="s">
        <v>420</v>
      </c>
      <c r="H283" s="84" t="s">
        <v>421</v>
      </c>
      <c r="I283" s="84" t="s">
        <v>422</v>
      </c>
      <c r="J283" s="84" t="s">
        <v>423</v>
      </c>
      <c r="K283" s="372"/>
    </row>
    <row r="284" spans="1:11" x14ac:dyDescent="0.25">
      <c r="A284" s="85" t="str">
        <f>+CALCULOS!C97</f>
        <v>Muro 1</v>
      </c>
      <c r="B284" s="85" t="str">
        <f>+CONCATENATE("Kit 4 cuñas para anclajes en ",A284)</f>
        <v>Kit 4 cuñas para anclajes en Muro 1</v>
      </c>
      <c r="C284" s="6"/>
      <c r="D284" s="6"/>
      <c r="E284" s="6"/>
      <c r="F284" s="6"/>
      <c r="G284" s="6"/>
      <c r="H284" s="6"/>
      <c r="I284" s="6">
        <f>98*3</f>
        <v>294</v>
      </c>
      <c r="J284" s="6">
        <f>+IF(SUM(C284:I284)=0,"",SUM(C284:I284))</f>
        <v>294</v>
      </c>
      <c r="K284" s="372"/>
    </row>
    <row r="285" spans="1:11" x14ac:dyDescent="0.25">
      <c r="A285" s="85" t="str">
        <f>+CALCULOS!C98</f>
        <v>Muro 2</v>
      </c>
      <c r="B285" s="85" t="str">
        <f t="shared" ref="B285:B286" si="23">+CONCATENATE("Kit 4 cuñas para anclajes en ",A285)</f>
        <v>Kit 4 cuñas para anclajes en Muro 2</v>
      </c>
      <c r="C285" s="85"/>
      <c r="D285" s="85"/>
      <c r="E285" s="85"/>
      <c r="F285" s="85"/>
      <c r="G285" s="85"/>
      <c r="H285" s="85"/>
      <c r="I285" s="6">
        <f>107*3</f>
        <v>321</v>
      </c>
      <c r="J285" s="6">
        <f t="shared" ref="J285:J292" si="24">+IF(SUM(C285:I285)=0,"",SUM(C285:I285))</f>
        <v>321</v>
      </c>
      <c r="K285" s="372"/>
    </row>
    <row r="286" spans="1:11" x14ac:dyDescent="0.25">
      <c r="A286" s="85" t="str">
        <f>+CALCULOS!C99</f>
        <v>Muro 3</v>
      </c>
      <c r="B286" s="85" t="str">
        <f t="shared" si="23"/>
        <v>Kit 4 cuñas para anclajes en Muro 3</v>
      </c>
      <c r="C286" s="85"/>
      <c r="D286" s="85"/>
      <c r="E286" s="85"/>
      <c r="F286" s="85"/>
      <c r="G286" s="85"/>
      <c r="H286" s="85"/>
      <c r="I286" s="6">
        <f>206*3</f>
        <v>618</v>
      </c>
      <c r="J286" s="6">
        <f t="shared" si="24"/>
        <v>618</v>
      </c>
      <c r="K286" s="372"/>
    </row>
    <row r="287" spans="1:11" x14ac:dyDescent="0.25">
      <c r="A287" s="85" t="str">
        <f>+CALCULOS!C100</f>
        <v>Muro 4</v>
      </c>
      <c r="B287" s="85" t="str">
        <f t="shared" ref="B287" si="25">+CONCATENATE("Kit 4 cuñas para anclajes en ",A287)</f>
        <v>Kit 4 cuñas para anclajes en Muro 4</v>
      </c>
      <c r="C287" s="85"/>
      <c r="D287" s="85"/>
      <c r="E287" s="85"/>
      <c r="F287" s="85"/>
      <c r="G287" s="85"/>
      <c r="H287" s="85"/>
      <c r="I287" s="6">
        <f>200*3</f>
        <v>600</v>
      </c>
      <c r="J287" s="6">
        <f t="shared" si="24"/>
        <v>600</v>
      </c>
      <c r="K287" s="372"/>
    </row>
    <row r="288" spans="1:11" x14ac:dyDescent="0.25">
      <c r="A288" s="95"/>
      <c r="B288" s="85"/>
      <c r="C288" s="85"/>
      <c r="D288" s="85"/>
      <c r="E288" s="85"/>
      <c r="F288" s="85"/>
      <c r="G288" s="85"/>
      <c r="H288" s="85"/>
      <c r="I288" s="6"/>
      <c r="J288" s="6" t="str">
        <f t="shared" si="24"/>
        <v/>
      </c>
      <c r="K288" s="372"/>
    </row>
    <row r="289" spans="1:11" x14ac:dyDescent="0.25">
      <c r="A289" s="95"/>
      <c r="B289" s="85"/>
      <c r="C289" s="85"/>
      <c r="D289" s="85"/>
      <c r="E289" s="85"/>
      <c r="F289" s="85"/>
      <c r="G289" s="85"/>
      <c r="H289" s="85"/>
      <c r="I289" s="6"/>
      <c r="J289" s="6" t="str">
        <f t="shared" si="24"/>
        <v/>
      </c>
      <c r="K289" s="372"/>
    </row>
    <row r="290" spans="1:11" x14ac:dyDescent="0.25">
      <c r="A290" s="95"/>
      <c r="B290" s="85"/>
      <c r="C290" s="85"/>
      <c r="D290" s="85"/>
      <c r="E290" s="85"/>
      <c r="F290" s="85"/>
      <c r="G290" s="85"/>
      <c r="H290" s="85"/>
      <c r="I290" s="6"/>
      <c r="J290" s="6" t="str">
        <f t="shared" si="24"/>
        <v/>
      </c>
      <c r="K290" s="372"/>
    </row>
    <row r="291" spans="1:11" x14ac:dyDescent="0.25">
      <c r="A291" s="95"/>
      <c r="B291" s="85"/>
      <c r="C291" s="85"/>
      <c r="D291" s="85"/>
      <c r="E291" s="85"/>
      <c r="F291" s="85"/>
      <c r="G291" s="85"/>
      <c r="H291" s="85"/>
      <c r="I291" s="6"/>
      <c r="J291" s="6" t="str">
        <f t="shared" si="24"/>
        <v/>
      </c>
      <c r="K291" s="372"/>
    </row>
    <row r="292" spans="1:11" x14ac:dyDescent="0.25">
      <c r="A292" s="95"/>
      <c r="B292" s="85"/>
      <c r="C292" s="85"/>
      <c r="D292" s="85"/>
      <c r="E292" s="85"/>
      <c r="F292" s="85"/>
      <c r="G292" s="85"/>
      <c r="H292" s="85"/>
      <c r="I292" s="6"/>
      <c r="J292" s="6" t="str">
        <f t="shared" si="24"/>
        <v/>
      </c>
      <c r="K292" s="372"/>
    </row>
    <row r="293" spans="1:11" x14ac:dyDescent="0.25">
      <c r="A293" s="369" t="s">
        <v>424</v>
      </c>
      <c r="B293" s="369"/>
      <c r="C293" s="369"/>
      <c r="D293" s="369"/>
      <c r="E293" s="369"/>
      <c r="F293" s="369"/>
      <c r="G293" s="369"/>
      <c r="H293" s="369"/>
      <c r="I293" s="369"/>
      <c r="J293" s="63">
        <f>+SUM(J284:J292)</f>
        <v>1833</v>
      </c>
      <c r="K293" s="373"/>
    </row>
    <row r="294" spans="1:11" x14ac:dyDescent="0.25">
      <c r="A294" s="89" t="s">
        <v>288</v>
      </c>
      <c r="B294" s="370" t="s">
        <v>706</v>
      </c>
      <c r="C294" s="370"/>
      <c r="D294" s="370"/>
      <c r="E294" s="370"/>
      <c r="F294" s="370"/>
      <c r="G294" s="370"/>
      <c r="H294" s="370"/>
      <c r="I294" s="75" t="s">
        <v>31</v>
      </c>
      <c r="J294" s="75" t="s">
        <v>4</v>
      </c>
      <c r="K294" s="75" t="s">
        <v>413</v>
      </c>
    </row>
    <row r="295" spans="1:11" ht="15" customHeight="1" x14ac:dyDescent="0.25">
      <c r="A295" s="95" t="s">
        <v>348</v>
      </c>
      <c r="B295" s="374" t="str">
        <f>+UPPER(VLOOKUP(A295,PPTO!$A$9:$C$52,2,FALSE))</f>
        <v>SUMINISTRO E INSTALACION DE POPORA DE 3 AGUJEROS CONICOS PARA CUÑA DE 5/8"</v>
      </c>
      <c r="C295" s="374"/>
      <c r="D295" s="374"/>
      <c r="E295" s="374"/>
      <c r="F295" s="374"/>
      <c r="G295" s="374"/>
      <c r="H295" s="374"/>
      <c r="I295" s="6" t="str">
        <f>+VLOOKUP(A295,PPTO!$A$9:$C$52,3,FALSE)</f>
        <v>UND</v>
      </c>
      <c r="J295" s="6">
        <f>+J306</f>
        <v>611</v>
      </c>
      <c r="K295" s="371"/>
    </row>
    <row r="296" spans="1:11" ht="19.5" customHeight="1" x14ac:dyDescent="0.25">
      <c r="A296" s="96" t="s">
        <v>414</v>
      </c>
      <c r="B296" s="84" t="s">
        <v>415</v>
      </c>
      <c r="C296" s="84" t="s">
        <v>416</v>
      </c>
      <c r="D296" s="84" t="s">
        <v>417</v>
      </c>
      <c r="E296" s="84" t="s">
        <v>418</v>
      </c>
      <c r="F296" s="84" t="s">
        <v>419</v>
      </c>
      <c r="G296" s="84" t="s">
        <v>420</v>
      </c>
      <c r="H296" s="84" t="s">
        <v>421</v>
      </c>
      <c r="I296" s="84" t="s">
        <v>422</v>
      </c>
      <c r="J296" s="84" t="s">
        <v>423</v>
      </c>
      <c r="K296" s="372"/>
    </row>
    <row r="297" spans="1:11" x14ac:dyDescent="0.25">
      <c r="A297" s="85" t="str">
        <f>+CALCULOS!C97</f>
        <v>Muro 1</v>
      </c>
      <c r="B297" s="85" t="str">
        <f>+CONCATENATE("4 Torones para anclajes en ",A297)</f>
        <v>4 Torones para anclajes en Muro 1</v>
      </c>
      <c r="D297" s="6"/>
      <c r="E297" s="6"/>
      <c r="F297" s="6"/>
      <c r="G297" s="6"/>
      <c r="H297" s="6"/>
      <c r="I297" s="6">
        <f>+I284/3</f>
        <v>98</v>
      </c>
      <c r="J297" s="6">
        <f>+IF(SUM(D297:I297)=0,"",SUM(D297:I297))</f>
        <v>98</v>
      </c>
      <c r="K297" s="372"/>
    </row>
    <row r="298" spans="1:11" x14ac:dyDescent="0.25">
      <c r="A298" s="85" t="str">
        <f>+CALCULOS!C98</f>
        <v>Muro 2</v>
      </c>
      <c r="B298" s="85" t="str">
        <f t="shared" ref="B298:B299" si="26">+CONCATENATE("4 Torones para anclajes en ",A298)</f>
        <v>4 Torones para anclajes en Muro 2</v>
      </c>
      <c r="D298" s="85"/>
      <c r="E298" s="85"/>
      <c r="F298" s="85"/>
      <c r="G298" s="85"/>
      <c r="H298" s="85"/>
      <c r="I298" s="6">
        <f>+I285/3</f>
        <v>107</v>
      </c>
      <c r="J298" s="6">
        <f>+IF(SUM(D298:I298)=0,"",SUM(D298:I298))</f>
        <v>107</v>
      </c>
      <c r="K298" s="372"/>
    </row>
    <row r="299" spans="1:11" x14ac:dyDescent="0.25">
      <c r="A299" s="85" t="str">
        <f>+CALCULOS!C99</f>
        <v>Muro 3</v>
      </c>
      <c r="B299" s="85" t="str">
        <f t="shared" si="26"/>
        <v>4 Torones para anclajes en Muro 3</v>
      </c>
      <c r="D299" s="85"/>
      <c r="E299" s="85"/>
      <c r="F299" s="85"/>
      <c r="G299" s="85"/>
      <c r="H299" s="85"/>
      <c r="I299" s="6">
        <f>+I286/3</f>
        <v>206</v>
      </c>
      <c r="J299" s="6">
        <f>+IF(SUM(D299:I299)=0,"",SUM(D299:I299))</f>
        <v>206</v>
      </c>
      <c r="K299" s="372"/>
    </row>
    <row r="300" spans="1:11" x14ac:dyDescent="0.25">
      <c r="A300" s="85" t="str">
        <f>+CALCULOS!C100</f>
        <v>Muro 4</v>
      </c>
      <c r="B300" s="85" t="str">
        <f t="shared" ref="B300" si="27">+CONCATENATE("4 Torones para anclajes en ",A300)</f>
        <v>4 Torones para anclajes en Muro 4</v>
      </c>
      <c r="D300" s="85"/>
      <c r="E300" s="85"/>
      <c r="F300" s="85"/>
      <c r="G300" s="85"/>
      <c r="H300" s="85"/>
      <c r="I300" s="85">
        <v>200</v>
      </c>
      <c r="J300" s="6">
        <f>+IF(SUM(D300:I300)=0,"",SUM(D300:I300))</f>
        <v>200</v>
      </c>
      <c r="K300" s="372"/>
    </row>
    <row r="301" spans="1:11" x14ac:dyDescent="0.25">
      <c r="A301" s="95"/>
      <c r="B301" s="85"/>
      <c r="C301" s="85"/>
      <c r="D301" s="85"/>
      <c r="E301" s="85"/>
      <c r="F301" s="85"/>
      <c r="G301" s="85"/>
      <c r="H301" s="85"/>
      <c r="I301" s="6"/>
      <c r="J301" s="6" t="str">
        <f t="shared" ref="J301:J305" si="28">+IF(SUM(C301:I301)=0,"",SUM(C301:I301))</f>
        <v/>
      </c>
      <c r="K301" s="372"/>
    </row>
    <row r="302" spans="1:11" x14ac:dyDescent="0.25">
      <c r="A302" s="95"/>
      <c r="B302" s="85"/>
      <c r="C302" s="85"/>
      <c r="D302" s="85"/>
      <c r="E302" s="85"/>
      <c r="F302" s="85"/>
      <c r="G302" s="85"/>
      <c r="H302" s="85"/>
      <c r="I302" s="6"/>
      <c r="J302" s="6" t="str">
        <f t="shared" si="28"/>
        <v/>
      </c>
      <c r="K302" s="372"/>
    </row>
    <row r="303" spans="1:11" x14ac:dyDescent="0.25">
      <c r="A303" s="95"/>
      <c r="B303" s="85"/>
      <c r="C303" s="85"/>
      <c r="D303" s="85"/>
      <c r="E303" s="85"/>
      <c r="F303" s="85"/>
      <c r="G303" s="85"/>
      <c r="H303" s="85"/>
      <c r="I303" s="6"/>
      <c r="J303" s="6" t="str">
        <f t="shared" si="28"/>
        <v/>
      </c>
      <c r="K303" s="372"/>
    </row>
    <row r="304" spans="1:11" x14ac:dyDescent="0.25">
      <c r="A304" s="95"/>
      <c r="B304" s="85"/>
      <c r="C304" s="85"/>
      <c r="D304" s="85"/>
      <c r="E304" s="85"/>
      <c r="F304" s="85"/>
      <c r="G304" s="85"/>
      <c r="H304" s="85"/>
      <c r="I304" s="6"/>
      <c r="J304" s="6" t="str">
        <f t="shared" si="28"/>
        <v/>
      </c>
      <c r="K304" s="372"/>
    </row>
    <row r="305" spans="1:11" x14ac:dyDescent="0.25">
      <c r="A305" s="95"/>
      <c r="B305" s="85"/>
      <c r="C305" s="85"/>
      <c r="D305" s="85"/>
      <c r="E305" s="85"/>
      <c r="F305" s="85"/>
      <c r="G305" s="85"/>
      <c r="H305" s="85"/>
      <c r="I305" s="6"/>
      <c r="J305" s="6" t="str">
        <f t="shared" si="28"/>
        <v/>
      </c>
      <c r="K305" s="372"/>
    </row>
    <row r="306" spans="1:11" x14ac:dyDescent="0.25">
      <c r="A306" s="369" t="s">
        <v>424</v>
      </c>
      <c r="B306" s="369"/>
      <c r="C306" s="369"/>
      <c r="D306" s="369"/>
      <c r="E306" s="369"/>
      <c r="F306" s="369"/>
      <c r="G306" s="369"/>
      <c r="H306" s="369"/>
      <c r="I306" s="369"/>
      <c r="J306" s="63">
        <f>+SUM(J297:J305)</f>
        <v>611</v>
      </c>
      <c r="K306" s="373"/>
    </row>
    <row r="307" spans="1:11" x14ac:dyDescent="0.25">
      <c r="A307" s="97"/>
      <c r="C307" s="80"/>
      <c r="D307" s="80"/>
      <c r="E307" s="80"/>
      <c r="F307" s="80"/>
      <c r="G307" s="80"/>
      <c r="H307" s="80"/>
    </row>
    <row r="308" spans="1:11" ht="15" customHeight="1" x14ac:dyDescent="0.25">
      <c r="A308" s="87" t="s">
        <v>349</v>
      </c>
      <c r="B308" s="87" t="s">
        <v>350</v>
      </c>
      <c r="C308" s="87"/>
      <c r="D308" s="87"/>
      <c r="E308" s="87"/>
      <c r="F308" s="87"/>
      <c r="G308" s="87"/>
      <c r="H308" s="87"/>
      <c r="I308" s="86"/>
      <c r="J308" s="86"/>
      <c r="K308" s="88"/>
    </row>
    <row r="309" spans="1:11" ht="15" customHeight="1" x14ac:dyDescent="0.25">
      <c r="A309" s="94"/>
      <c r="B309" s="79"/>
      <c r="C309" s="79"/>
      <c r="D309" s="79"/>
      <c r="E309" s="79"/>
      <c r="F309" s="79"/>
      <c r="G309" s="79"/>
      <c r="H309" s="79"/>
      <c r="I309" s="5"/>
      <c r="J309" s="5"/>
    </row>
    <row r="310" spans="1:11" x14ac:dyDescent="0.25">
      <c r="A310" s="89" t="s">
        <v>288</v>
      </c>
      <c r="B310" s="370" t="s">
        <v>706</v>
      </c>
      <c r="C310" s="370"/>
      <c r="D310" s="370"/>
      <c r="E310" s="370"/>
      <c r="F310" s="370"/>
      <c r="G310" s="370"/>
      <c r="H310" s="370"/>
      <c r="I310" s="75" t="s">
        <v>31</v>
      </c>
      <c r="J310" s="75" t="s">
        <v>4</v>
      </c>
      <c r="K310" s="75" t="s">
        <v>413</v>
      </c>
    </row>
    <row r="311" spans="1:11" ht="25.5" customHeight="1" x14ac:dyDescent="0.25">
      <c r="A311" s="95" t="s">
        <v>351</v>
      </c>
      <c r="B311" s="376" t="str">
        <f>+UPPER(VLOOKUP(A311,PPTO!$A$9:$C$52,2,FALSE))</f>
        <v>PERFORACIÓN Y CONSTRUCCIÓN DE DRENES DE PENETRACIÓN CON TUBERÍA P.V.C. RANURADA D=2" DE 0.00 A 20.00 MTS</v>
      </c>
      <c r="C311" s="376"/>
      <c r="D311" s="376"/>
      <c r="E311" s="376"/>
      <c r="F311" s="376"/>
      <c r="G311" s="376"/>
      <c r="H311" s="376"/>
      <c r="I311" s="6" t="str">
        <f>+VLOOKUP(A311,PPTO!$A$9:$C$52,3,FALSE)</f>
        <v>ML</v>
      </c>
      <c r="J311" s="6">
        <f>+J322</f>
        <v>4040</v>
      </c>
      <c r="K311" s="371"/>
    </row>
    <row r="312" spans="1:11" ht="19.5" customHeight="1" x14ac:dyDescent="0.25">
      <c r="A312" s="96" t="s">
        <v>414</v>
      </c>
      <c r="B312" s="84" t="s">
        <v>415</v>
      </c>
      <c r="C312" s="84" t="s">
        <v>416</v>
      </c>
      <c r="D312" s="84" t="s">
        <v>417</v>
      </c>
      <c r="E312" s="84" t="s">
        <v>418</v>
      </c>
      <c r="F312" s="84" t="s">
        <v>419</v>
      </c>
      <c r="G312" s="84" t="s">
        <v>420</v>
      </c>
      <c r="H312" s="84" t="s">
        <v>421</v>
      </c>
      <c r="I312" s="84" t="s">
        <v>422</v>
      </c>
      <c r="J312" s="84" t="s">
        <v>423</v>
      </c>
      <c r="K312" s="372"/>
    </row>
    <row r="313" spans="1:11" x14ac:dyDescent="0.25">
      <c r="A313" s="85" t="str">
        <f>+CALCULOS!C82</f>
        <v>Linea 1</v>
      </c>
      <c r="B313" s="85" t="str">
        <f>+CONCATENATE("Penetración de 0 a 20 m para ",A313)</f>
        <v>Penetración de 0 a 20 m para Linea 1</v>
      </c>
      <c r="C313" s="6">
        <f>+CALCULOS!F82</f>
        <v>600</v>
      </c>
      <c r="D313" s="6"/>
      <c r="E313" s="6"/>
      <c r="F313" s="6"/>
      <c r="G313" s="6"/>
      <c r="H313" s="6"/>
      <c r="I313" s="6"/>
      <c r="J313" s="6">
        <f>+IF(SUM(C313:I313)=0,"",SUM(C313:I313))</f>
        <v>600</v>
      </c>
      <c r="K313" s="372"/>
    </row>
    <row r="314" spans="1:11" x14ac:dyDescent="0.25">
      <c r="A314" s="85" t="str">
        <f>+CALCULOS!C83</f>
        <v>Linea 2</v>
      </c>
      <c r="B314" s="85" t="str">
        <f t="shared" ref="B314:B315" si="29">+CONCATENATE("Penetración de 0 a 20 m para ",A314)</f>
        <v>Penetración de 0 a 20 m para Linea 2</v>
      </c>
      <c r="C314" s="6">
        <f>+CALCULOS!F83</f>
        <v>620</v>
      </c>
      <c r="D314" s="85"/>
      <c r="E314" s="85"/>
      <c r="F314" s="85"/>
      <c r="G314" s="85"/>
      <c r="H314" s="85"/>
      <c r="I314" s="6"/>
      <c r="J314" s="6">
        <f t="shared" ref="J314:J321" si="30">+IF(SUM(C314:I314)=0,"",SUM(C314:I314))</f>
        <v>620</v>
      </c>
      <c r="K314" s="372"/>
    </row>
    <row r="315" spans="1:11" x14ac:dyDescent="0.25">
      <c r="A315" s="85" t="str">
        <f>+CALCULOS!C84</f>
        <v>Linea 3</v>
      </c>
      <c r="B315" s="85" t="str">
        <f t="shared" si="29"/>
        <v>Penetración de 0 a 20 m para Linea 3</v>
      </c>
      <c r="C315" s="6">
        <f>+CALCULOS!F84</f>
        <v>1860</v>
      </c>
      <c r="D315" s="85"/>
      <c r="E315" s="85"/>
      <c r="F315" s="85"/>
      <c r="G315" s="85"/>
      <c r="H315" s="85"/>
      <c r="I315" s="6"/>
      <c r="J315" s="6">
        <f t="shared" si="30"/>
        <v>1860</v>
      </c>
      <c r="K315" s="372"/>
    </row>
    <row r="316" spans="1:11" x14ac:dyDescent="0.25">
      <c r="A316" s="85" t="str">
        <f>+CALCULOS!C85</f>
        <v>Linea 4</v>
      </c>
      <c r="B316" s="85" t="str">
        <f t="shared" ref="B316" si="31">+CONCATENATE("Penetración de 0 a 20 m para ",A316)</f>
        <v>Penetración de 0 a 20 m para Linea 4</v>
      </c>
      <c r="C316" s="6">
        <f>+CALCULOS!F85</f>
        <v>960</v>
      </c>
      <c r="D316" s="85"/>
      <c r="E316" s="85"/>
      <c r="F316" s="85"/>
      <c r="G316" s="85"/>
      <c r="H316" s="85"/>
      <c r="I316" s="6"/>
      <c r="J316" s="6">
        <f t="shared" si="30"/>
        <v>960</v>
      </c>
      <c r="K316" s="372"/>
    </row>
    <row r="317" spans="1:11" x14ac:dyDescent="0.25">
      <c r="A317" s="95"/>
      <c r="B317" s="85"/>
      <c r="C317" s="85"/>
      <c r="D317" s="85"/>
      <c r="E317" s="85"/>
      <c r="F317" s="85"/>
      <c r="G317" s="85"/>
      <c r="H317" s="85"/>
      <c r="I317" s="6"/>
      <c r="J317" s="6" t="str">
        <f t="shared" si="30"/>
        <v/>
      </c>
      <c r="K317" s="372"/>
    </row>
    <row r="318" spans="1:11" x14ac:dyDescent="0.25">
      <c r="A318" s="95"/>
      <c r="B318" s="85"/>
      <c r="C318" s="85"/>
      <c r="D318" s="85"/>
      <c r="E318" s="85"/>
      <c r="F318" s="85"/>
      <c r="G318" s="85"/>
      <c r="H318" s="85"/>
      <c r="I318" s="6"/>
      <c r="J318" s="6" t="str">
        <f t="shared" si="30"/>
        <v/>
      </c>
      <c r="K318" s="372"/>
    </row>
    <row r="319" spans="1:11" x14ac:dyDescent="0.25">
      <c r="A319" s="95"/>
      <c r="B319" s="85"/>
      <c r="C319" s="85"/>
      <c r="D319" s="85"/>
      <c r="E319" s="85"/>
      <c r="F319" s="85"/>
      <c r="G319" s="85"/>
      <c r="H319" s="85"/>
      <c r="I319" s="6"/>
      <c r="J319" s="6" t="str">
        <f t="shared" si="30"/>
        <v/>
      </c>
      <c r="K319" s="372"/>
    </row>
    <row r="320" spans="1:11" x14ac:dyDescent="0.25">
      <c r="A320" s="95"/>
      <c r="B320" s="85"/>
      <c r="C320" s="85"/>
      <c r="D320" s="85"/>
      <c r="E320" s="85"/>
      <c r="F320" s="85"/>
      <c r="G320" s="85"/>
      <c r="H320" s="85"/>
      <c r="I320" s="6"/>
      <c r="J320" s="6" t="str">
        <f t="shared" si="30"/>
        <v/>
      </c>
      <c r="K320" s="372"/>
    </row>
    <row r="321" spans="1:13" x14ac:dyDescent="0.25">
      <c r="A321" s="95"/>
      <c r="B321" s="85"/>
      <c r="C321" s="85"/>
      <c r="D321" s="85"/>
      <c r="E321" s="85"/>
      <c r="F321" s="85"/>
      <c r="G321" s="85"/>
      <c r="H321" s="85"/>
      <c r="I321" s="6"/>
      <c r="J321" s="6" t="str">
        <f t="shared" si="30"/>
        <v/>
      </c>
      <c r="K321" s="372"/>
    </row>
    <row r="322" spans="1:13" x14ac:dyDescent="0.25">
      <c r="A322" s="369" t="s">
        <v>424</v>
      </c>
      <c r="B322" s="369"/>
      <c r="C322" s="369"/>
      <c r="D322" s="369"/>
      <c r="E322" s="369"/>
      <c r="F322" s="369"/>
      <c r="G322" s="369"/>
      <c r="H322" s="369"/>
      <c r="I322" s="369"/>
      <c r="J322" s="63">
        <f>+SUM(J313:J321)</f>
        <v>4040</v>
      </c>
      <c r="K322" s="373"/>
      <c r="M322" s="180">
        <v>30110991890.990002</v>
      </c>
    </row>
    <row r="323" spans="1:13" x14ac:dyDescent="0.25">
      <c r="A323" s="89" t="s">
        <v>288</v>
      </c>
      <c r="B323" s="370" t="s">
        <v>706</v>
      </c>
      <c r="C323" s="370"/>
      <c r="D323" s="370"/>
      <c r="E323" s="370"/>
      <c r="F323" s="370"/>
      <c r="G323" s="370"/>
      <c r="H323" s="370"/>
      <c r="I323" s="75" t="s">
        <v>31</v>
      </c>
      <c r="J323" s="75" t="s">
        <v>4</v>
      </c>
      <c r="K323" s="75" t="s">
        <v>413</v>
      </c>
    </row>
    <row r="324" spans="1:13" ht="30" customHeight="1" x14ac:dyDescent="0.25">
      <c r="A324" s="95" t="s">
        <v>352</v>
      </c>
      <c r="B324" s="374" t="str">
        <f>+UPPER(VLOOKUP(A324,PPTO!$A$9:$C$52,2,FALSE))</f>
        <v>PERFORACIÓN Y CONSTRUCCIÓN DE DRENES DE PENETRACIÓN CON TUBERÍA P.V.C. RANURADA D=2" MAYOR A 20.00 MTS</v>
      </c>
      <c r="C324" s="374"/>
      <c r="D324" s="374"/>
      <c r="E324" s="374"/>
      <c r="F324" s="374"/>
      <c r="G324" s="374"/>
      <c r="H324" s="374"/>
      <c r="I324" s="6" t="str">
        <f>+VLOOKUP(A324,PPTO!$A$9:$C$52,3,FALSE)</f>
        <v>ML</v>
      </c>
      <c r="J324" s="6">
        <f>+J335</f>
        <v>1010</v>
      </c>
      <c r="K324" s="371"/>
    </row>
    <row r="325" spans="1:13" ht="19.5" customHeight="1" x14ac:dyDescent="0.25">
      <c r="A325" s="96" t="s">
        <v>414</v>
      </c>
      <c r="B325" s="84" t="s">
        <v>415</v>
      </c>
      <c r="C325" s="84" t="s">
        <v>416</v>
      </c>
      <c r="D325" s="84" t="s">
        <v>417</v>
      </c>
      <c r="E325" s="84" t="s">
        <v>418</v>
      </c>
      <c r="F325" s="84" t="s">
        <v>419</v>
      </c>
      <c r="G325" s="84" t="s">
        <v>420</v>
      </c>
      <c r="H325" s="84" t="s">
        <v>421</v>
      </c>
      <c r="I325" s="84" t="s">
        <v>422</v>
      </c>
      <c r="J325" s="84" t="s">
        <v>423</v>
      </c>
      <c r="K325" s="372"/>
    </row>
    <row r="326" spans="1:13" x14ac:dyDescent="0.25">
      <c r="A326" s="85" t="str">
        <f>+CALCULOS!C82</f>
        <v>Linea 1</v>
      </c>
      <c r="B326" s="85" t="str">
        <f>+CONCATENATE("Penetración mayores a 20 m para ",A326)</f>
        <v>Penetración mayores a 20 m para Linea 1</v>
      </c>
      <c r="C326" s="6">
        <f>+CALCULOS!G82</f>
        <v>150</v>
      </c>
      <c r="D326" s="6"/>
      <c r="E326" s="6"/>
      <c r="F326" s="6"/>
      <c r="G326" s="6"/>
      <c r="H326" s="6"/>
      <c r="I326" s="6"/>
      <c r="J326" s="6">
        <f>+IF(SUM(C326:I326)=0,"",SUM(C326:I326))</f>
        <v>150</v>
      </c>
      <c r="K326" s="372"/>
    </row>
    <row r="327" spans="1:13" x14ac:dyDescent="0.25">
      <c r="A327" s="85" t="str">
        <f>+CALCULOS!C83</f>
        <v>Linea 2</v>
      </c>
      <c r="B327" s="85" t="str">
        <f t="shared" ref="B327:B328" si="32">+CONCATENATE("Penetración mayores a 20 m para ",A327)</f>
        <v>Penetración mayores a 20 m para Linea 2</v>
      </c>
      <c r="C327" s="6">
        <f>+CALCULOS!G83</f>
        <v>155</v>
      </c>
      <c r="D327" s="85"/>
      <c r="E327" s="85"/>
      <c r="F327" s="85"/>
      <c r="G327" s="85"/>
      <c r="H327" s="85"/>
      <c r="I327" s="6"/>
      <c r="J327" s="6">
        <f t="shared" ref="J327:J334" si="33">+IF(SUM(C327:I327)=0,"",SUM(C327:I327))</f>
        <v>155</v>
      </c>
      <c r="K327" s="372"/>
    </row>
    <row r="328" spans="1:13" x14ac:dyDescent="0.25">
      <c r="A328" s="85" t="str">
        <f>+CALCULOS!C84</f>
        <v>Linea 3</v>
      </c>
      <c r="B328" s="85" t="str">
        <f t="shared" si="32"/>
        <v>Penetración mayores a 20 m para Linea 3</v>
      </c>
      <c r="C328" s="6">
        <f>+CALCULOS!G84</f>
        <v>465</v>
      </c>
      <c r="D328" s="85"/>
      <c r="E328" s="85"/>
      <c r="F328" s="85"/>
      <c r="G328" s="85"/>
      <c r="H328" s="85"/>
      <c r="I328" s="6"/>
      <c r="J328" s="6">
        <f t="shared" si="33"/>
        <v>465</v>
      </c>
      <c r="K328" s="372"/>
    </row>
    <row r="329" spans="1:13" x14ac:dyDescent="0.25">
      <c r="A329" s="85" t="str">
        <f>+CALCULOS!C85</f>
        <v>Linea 4</v>
      </c>
      <c r="B329" s="85" t="str">
        <f t="shared" ref="B329" si="34">+CONCATENATE("Penetración mayores a 20 m para ",A329)</f>
        <v>Penetración mayores a 20 m para Linea 4</v>
      </c>
      <c r="C329" s="6">
        <f>+CALCULOS!G85</f>
        <v>240</v>
      </c>
      <c r="D329" s="85"/>
      <c r="E329" s="85"/>
      <c r="F329" s="85"/>
      <c r="G329" s="85"/>
      <c r="H329" s="85"/>
      <c r="I329" s="6"/>
      <c r="J329" s="6">
        <f t="shared" si="33"/>
        <v>240</v>
      </c>
      <c r="K329" s="372"/>
    </row>
    <row r="330" spans="1:13" x14ac:dyDescent="0.25">
      <c r="A330" s="95"/>
      <c r="B330" s="85"/>
      <c r="C330" s="85"/>
      <c r="D330" s="85"/>
      <c r="E330" s="85"/>
      <c r="F330" s="85"/>
      <c r="G330" s="85"/>
      <c r="H330" s="85"/>
      <c r="I330" s="6"/>
      <c r="J330" s="6" t="str">
        <f t="shared" si="33"/>
        <v/>
      </c>
      <c r="K330" s="372"/>
    </row>
    <row r="331" spans="1:13" x14ac:dyDescent="0.25">
      <c r="A331" s="95"/>
      <c r="B331" s="85"/>
      <c r="C331" s="85"/>
      <c r="D331" s="85"/>
      <c r="E331" s="85"/>
      <c r="F331" s="85"/>
      <c r="G331" s="85"/>
      <c r="H331" s="85"/>
      <c r="I331" s="6"/>
      <c r="J331" s="6" t="str">
        <f t="shared" si="33"/>
        <v/>
      </c>
      <c r="K331" s="372"/>
    </row>
    <row r="332" spans="1:13" x14ac:dyDescent="0.25">
      <c r="A332" s="95"/>
      <c r="B332" s="85"/>
      <c r="C332" s="85"/>
      <c r="D332" s="85"/>
      <c r="E332" s="85"/>
      <c r="F332" s="85"/>
      <c r="G332" s="85"/>
      <c r="H332" s="85"/>
      <c r="I332" s="6"/>
      <c r="J332" s="6" t="str">
        <f t="shared" si="33"/>
        <v/>
      </c>
      <c r="K332" s="372"/>
    </row>
    <row r="333" spans="1:13" x14ac:dyDescent="0.25">
      <c r="A333" s="95"/>
      <c r="B333" s="85"/>
      <c r="C333" s="85"/>
      <c r="D333" s="85"/>
      <c r="E333" s="85"/>
      <c r="F333" s="85"/>
      <c r="G333" s="85"/>
      <c r="H333" s="85"/>
      <c r="I333" s="6"/>
      <c r="J333" s="6" t="str">
        <f t="shared" si="33"/>
        <v/>
      </c>
      <c r="K333" s="372"/>
    </row>
    <row r="334" spans="1:13" x14ac:dyDescent="0.25">
      <c r="A334" s="95"/>
      <c r="B334" s="85"/>
      <c r="C334" s="85"/>
      <c r="D334" s="85"/>
      <c r="E334" s="85"/>
      <c r="F334" s="85"/>
      <c r="G334" s="85"/>
      <c r="H334" s="85"/>
      <c r="I334" s="6"/>
      <c r="J334" s="6" t="str">
        <f t="shared" si="33"/>
        <v/>
      </c>
      <c r="K334" s="372"/>
    </row>
    <row r="335" spans="1:13" x14ac:dyDescent="0.25">
      <c r="A335" s="369" t="s">
        <v>424</v>
      </c>
      <c r="B335" s="369"/>
      <c r="C335" s="369"/>
      <c r="D335" s="369"/>
      <c r="E335" s="369"/>
      <c r="F335" s="369"/>
      <c r="G335" s="369"/>
      <c r="H335" s="369"/>
      <c r="I335" s="369"/>
      <c r="J335" s="63">
        <f>+SUM(J326:J334)</f>
        <v>1010</v>
      </c>
      <c r="K335" s="373"/>
    </row>
    <row r="336" spans="1:13" x14ac:dyDescent="0.25">
      <c r="A336" s="89" t="s">
        <v>288</v>
      </c>
      <c r="B336" s="370" t="s">
        <v>706</v>
      </c>
      <c r="C336" s="370"/>
      <c r="D336" s="370"/>
      <c r="E336" s="370"/>
      <c r="F336" s="370"/>
      <c r="G336" s="370"/>
      <c r="H336" s="370"/>
      <c r="I336" s="75" t="s">
        <v>31</v>
      </c>
      <c r="J336" s="75" t="s">
        <v>4</v>
      </c>
      <c r="K336" s="75" t="s">
        <v>413</v>
      </c>
    </row>
    <row r="337" spans="1:11" x14ac:dyDescent="0.25">
      <c r="A337" s="95" t="s">
        <v>353</v>
      </c>
      <c r="B337" s="374" t="str">
        <f>+UPPER(VLOOKUP(A337,PPTO!$A$9:$C$52,2,FALSE))</f>
        <v>ENCAMISADO EN PERFORACIONES HORIZONTALES PARA ANCLAJES Y DRENES DE PENETRACIÓN HORIZONTAL</v>
      </c>
      <c r="C337" s="374"/>
      <c r="D337" s="374"/>
      <c r="E337" s="374"/>
      <c r="F337" s="374"/>
      <c r="G337" s="374"/>
      <c r="H337" s="374"/>
      <c r="I337" s="6" t="str">
        <f>+VLOOKUP(A337,PPTO!$A$9:$C$52,3,FALSE)</f>
        <v>ML</v>
      </c>
      <c r="J337" s="6">
        <f>+J349</f>
        <v>21760</v>
      </c>
      <c r="K337" s="371"/>
    </row>
    <row r="338" spans="1:11" ht="19.5" customHeight="1" x14ac:dyDescent="0.25">
      <c r="A338" s="96" t="s">
        <v>414</v>
      </c>
      <c r="B338" s="84" t="s">
        <v>415</v>
      </c>
      <c r="C338" s="84" t="s">
        <v>416</v>
      </c>
      <c r="D338" s="84" t="s">
        <v>417</v>
      </c>
      <c r="E338" s="84" t="s">
        <v>418</v>
      </c>
      <c r="F338" s="84" t="s">
        <v>419</v>
      </c>
      <c r="G338" s="84" t="s">
        <v>420</v>
      </c>
      <c r="H338" s="84" t="s">
        <v>421</v>
      </c>
      <c r="I338" s="84" t="s">
        <v>422</v>
      </c>
      <c r="J338" s="84" t="s">
        <v>423</v>
      </c>
      <c r="K338" s="372"/>
    </row>
    <row r="339" spans="1:11" x14ac:dyDescent="0.25">
      <c r="A339" s="85" t="str">
        <f>+CALCULOS!C82</f>
        <v>Linea 1</v>
      </c>
      <c r="B339" s="85" t="str">
        <f>+CONCATENATE("Encamisado de perf. Drenes para ",A339)</f>
        <v>Encamisado de perf. Drenes para Linea 1</v>
      </c>
      <c r="C339" s="6">
        <f>+CALCULOS!F82+CALCULOS!G82</f>
        <v>750</v>
      </c>
      <c r="D339" s="6"/>
      <c r="E339" s="6"/>
      <c r="F339" s="6"/>
      <c r="G339" s="6"/>
      <c r="H339" s="6"/>
      <c r="I339" s="6"/>
      <c r="J339" s="6">
        <f>+IF(SUM(C339:I339)=0,"",SUM(C339:I339))</f>
        <v>750</v>
      </c>
      <c r="K339" s="372"/>
    </row>
    <row r="340" spans="1:11" x14ac:dyDescent="0.25">
      <c r="A340" s="85" t="str">
        <f>+CALCULOS!C83</f>
        <v>Linea 2</v>
      </c>
      <c r="B340" s="85" t="str">
        <f t="shared" ref="B340:B341" si="35">+CONCATENATE("Encamisado de perf. Drenes para ",A340)</f>
        <v>Encamisado de perf. Drenes para Linea 2</v>
      </c>
      <c r="C340" s="6">
        <f>+CALCULOS!F83+CALCULOS!G83</f>
        <v>775</v>
      </c>
      <c r="D340" s="85"/>
      <c r="E340" s="85"/>
      <c r="F340" s="85"/>
      <c r="G340" s="85"/>
      <c r="H340" s="85"/>
      <c r="I340" s="6"/>
      <c r="J340" s="6">
        <f t="shared" ref="J340:J348" si="36">+IF(SUM(C340:I340)=0,"",SUM(C340:I340))</f>
        <v>775</v>
      </c>
      <c r="K340" s="372"/>
    </row>
    <row r="341" spans="1:11" x14ac:dyDescent="0.25">
      <c r="A341" s="85" t="str">
        <f>+CALCULOS!C84</f>
        <v>Linea 3</v>
      </c>
      <c r="B341" s="85" t="str">
        <f t="shared" si="35"/>
        <v>Encamisado de perf. Drenes para Linea 3</v>
      </c>
      <c r="C341" s="6">
        <f>+CALCULOS!F84+CALCULOS!G84</f>
        <v>2325</v>
      </c>
      <c r="D341" s="85"/>
      <c r="E341" s="85"/>
      <c r="F341" s="85"/>
      <c r="G341" s="85"/>
      <c r="H341" s="85"/>
      <c r="I341" s="6"/>
      <c r="J341" s="6">
        <f t="shared" si="36"/>
        <v>2325</v>
      </c>
      <c r="K341" s="372"/>
    </row>
    <row r="342" spans="1:11" x14ac:dyDescent="0.25">
      <c r="A342" s="85" t="str">
        <f>+CALCULOS!C85</f>
        <v>Linea 4</v>
      </c>
      <c r="B342" s="85" t="str">
        <f t="shared" ref="B342" si="37">+CONCATENATE("Encamisado de perf. Drenes para ",A342)</f>
        <v>Encamisado de perf. Drenes para Linea 4</v>
      </c>
      <c r="C342" s="6">
        <f>+CALCULOS!F85+CALCULOS!G85</f>
        <v>1200</v>
      </c>
      <c r="D342" s="85"/>
      <c r="E342" s="85"/>
      <c r="F342" s="85"/>
      <c r="G342" s="85"/>
      <c r="H342" s="85"/>
      <c r="I342" s="6"/>
      <c r="J342" s="6">
        <f t="shared" si="36"/>
        <v>1200</v>
      </c>
      <c r="K342" s="372"/>
    </row>
    <row r="343" spans="1:11" x14ac:dyDescent="0.25">
      <c r="A343" s="85" t="str">
        <f>+CALCULOS!C89</f>
        <v>Muro 1</v>
      </c>
      <c r="B343" s="85" t="str">
        <f>+CONCATENATE("Encamisado de perf. Anclajes para ",A343)</f>
        <v>Encamisado de perf. Anclajes para Muro 1</v>
      </c>
      <c r="C343" s="85">
        <f>+CALCULOS!F89+CALCULOS!G89</f>
        <v>2910</v>
      </c>
      <c r="D343" s="85"/>
      <c r="E343" s="85"/>
      <c r="F343" s="85"/>
      <c r="G343" s="85"/>
      <c r="H343" s="85"/>
      <c r="I343" s="6"/>
      <c r="J343" s="6">
        <f t="shared" si="36"/>
        <v>2910</v>
      </c>
      <c r="K343" s="372"/>
    </row>
    <row r="344" spans="1:11" x14ac:dyDescent="0.25">
      <c r="A344" s="85" t="str">
        <f>+CALCULOS!C90</f>
        <v>Muro 2</v>
      </c>
      <c r="B344" s="85" t="str">
        <f t="shared" ref="B344:B345" si="38">+CONCATENATE("Encamisado de perf. Anclajes para ",A344)</f>
        <v>Encamisado de perf. Anclajes para Muro 2</v>
      </c>
      <c r="C344" s="85">
        <f>+CALCULOS!F90+CALCULOS!G90</f>
        <v>3120</v>
      </c>
      <c r="D344" s="85"/>
      <c r="E344" s="85"/>
      <c r="F344" s="85"/>
      <c r="G344" s="85"/>
      <c r="H344" s="85"/>
      <c r="I344" s="6"/>
      <c r="J344" s="6">
        <f t="shared" si="36"/>
        <v>3120</v>
      </c>
      <c r="K344" s="372"/>
    </row>
    <row r="345" spans="1:11" x14ac:dyDescent="0.25">
      <c r="A345" s="85" t="str">
        <f>+CALCULOS!C91</f>
        <v>Muro 3</v>
      </c>
      <c r="B345" s="85" t="str">
        <f t="shared" si="38"/>
        <v>Encamisado de perf. Anclajes para Muro 3</v>
      </c>
      <c r="C345" s="85">
        <f>+CALCULOS!F91+CALCULOS!G91</f>
        <v>6180</v>
      </c>
      <c r="D345" s="85"/>
      <c r="E345" s="85"/>
      <c r="F345" s="85"/>
      <c r="G345" s="85"/>
      <c r="H345" s="85"/>
      <c r="I345" s="6"/>
      <c r="J345" s="6">
        <f t="shared" si="36"/>
        <v>6180</v>
      </c>
      <c r="K345" s="372"/>
    </row>
    <row r="346" spans="1:11" x14ac:dyDescent="0.25">
      <c r="A346" s="85" t="str">
        <f>+CALCULOS!C92</f>
        <v>Muro 4</v>
      </c>
      <c r="B346" s="85" t="str">
        <f t="shared" ref="B346" si="39">+CONCATENATE("Encamisado de perf. Anclajes para ",A346)</f>
        <v>Encamisado de perf. Anclajes para Muro 4</v>
      </c>
      <c r="C346" s="85">
        <f>+CALCULOS!F92+CALCULOS!G92</f>
        <v>4500</v>
      </c>
      <c r="D346" s="85"/>
      <c r="E346" s="85"/>
      <c r="F346" s="85"/>
      <c r="G346" s="85"/>
      <c r="H346" s="85"/>
      <c r="I346" s="6"/>
      <c r="J346" s="6">
        <f t="shared" si="36"/>
        <v>4500</v>
      </c>
      <c r="K346" s="372"/>
    </row>
    <row r="347" spans="1:11" x14ac:dyDescent="0.25">
      <c r="A347" s="85"/>
      <c r="B347" s="85"/>
      <c r="C347" s="85"/>
      <c r="D347" s="85"/>
      <c r="E347" s="85"/>
      <c r="F347" s="85"/>
      <c r="G347" s="85"/>
      <c r="H347" s="85"/>
      <c r="I347" s="6"/>
      <c r="J347" s="6" t="str">
        <f t="shared" si="36"/>
        <v/>
      </c>
      <c r="K347" s="372"/>
    </row>
    <row r="348" spans="1:11" x14ac:dyDescent="0.25">
      <c r="A348" s="95"/>
      <c r="B348" s="85"/>
      <c r="C348" s="85"/>
      <c r="D348" s="85"/>
      <c r="E348" s="85"/>
      <c r="F348" s="85"/>
      <c r="G348" s="85"/>
      <c r="H348" s="85"/>
      <c r="I348" s="6"/>
      <c r="J348" s="6" t="str">
        <f t="shared" si="36"/>
        <v/>
      </c>
      <c r="K348" s="372"/>
    </row>
    <row r="349" spans="1:11" x14ac:dyDescent="0.25">
      <c r="A349" s="369" t="s">
        <v>424</v>
      </c>
      <c r="B349" s="369"/>
      <c r="C349" s="369"/>
      <c r="D349" s="369"/>
      <c r="E349" s="369"/>
      <c r="F349" s="369"/>
      <c r="G349" s="369"/>
      <c r="H349" s="369"/>
      <c r="I349" s="369"/>
      <c r="J349" s="63">
        <f>+SUM(J339:J348)</f>
        <v>21760</v>
      </c>
      <c r="K349" s="373"/>
    </row>
    <row r="350" spans="1:11" x14ac:dyDescent="0.25">
      <c r="A350" s="97"/>
      <c r="C350" s="80"/>
      <c r="D350" s="80"/>
      <c r="E350" s="80"/>
      <c r="F350" s="80"/>
      <c r="G350" s="80"/>
      <c r="H350" s="80"/>
    </row>
    <row r="351" spans="1:11" ht="15" customHeight="1" x14ac:dyDescent="0.25">
      <c r="A351" s="87" t="s">
        <v>360</v>
      </c>
      <c r="B351" s="87" t="s">
        <v>361</v>
      </c>
      <c r="C351" s="87"/>
      <c r="D351" s="87"/>
      <c r="E351" s="87"/>
      <c r="F351" s="87"/>
      <c r="G351" s="87"/>
      <c r="H351" s="87"/>
      <c r="I351" s="86"/>
      <c r="J351" s="86"/>
      <c r="K351" s="88"/>
    </row>
    <row r="352" spans="1:11" ht="15" customHeight="1" x14ac:dyDescent="0.25">
      <c r="A352" s="94"/>
      <c r="B352" s="79"/>
      <c r="C352" s="79"/>
      <c r="D352" s="79"/>
      <c r="E352" s="79"/>
      <c r="F352" s="79"/>
      <c r="G352" s="79"/>
      <c r="H352" s="79"/>
      <c r="I352" s="5"/>
      <c r="J352" s="5"/>
    </row>
    <row r="353" spans="1:11" x14ac:dyDescent="0.25">
      <c r="A353" s="89" t="s">
        <v>288</v>
      </c>
      <c r="B353" s="370" t="s">
        <v>706</v>
      </c>
      <c r="C353" s="370"/>
      <c r="D353" s="370"/>
      <c r="E353" s="370"/>
      <c r="F353" s="370"/>
      <c r="G353" s="370"/>
      <c r="H353" s="370"/>
      <c r="I353" s="75" t="s">
        <v>31</v>
      </c>
      <c r="J353" s="75" t="s">
        <v>4</v>
      </c>
      <c r="K353" s="75" t="s">
        <v>413</v>
      </c>
    </row>
    <row r="354" spans="1:11" ht="15" customHeight="1" x14ac:dyDescent="0.25">
      <c r="A354" s="95" t="s">
        <v>362</v>
      </c>
      <c r="B354" s="374" t="str">
        <f>+UPPER(VLOOKUP(A354,PPTO!$A$9:$C$52,2,FALSE))</f>
        <v>PERFORACIONES HORIZONTALES PARA ANCLAJES DE 0.00 A 20.00 M</v>
      </c>
      <c r="C354" s="374"/>
      <c r="D354" s="374"/>
      <c r="E354" s="374"/>
      <c r="F354" s="374"/>
      <c r="G354" s="374"/>
      <c r="H354" s="374"/>
      <c r="I354" s="6" t="str">
        <f>+VLOOKUP(A354,PPTO!$A$9:$C$52,3,FALSE)</f>
        <v>ML</v>
      </c>
      <c r="J354" s="6">
        <f>+J365</f>
        <v>11140</v>
      </c>
      <c r="K354" s="371"/>
    </row>
    <row r="355" spans="1:11" ht="19.5" customHeight="1" x14ac:dyDescent="0.25">
      <c r="A355" s="96" t="s">
        <v>414</v>
      </c>
      <c r="B355" s="84" t="s">
        <v>415</v>
      </c>
      <c r="C355" s="84" t="s">
        <v>416</v>
      </c>
      <c r="D355" s="84" t="s">
        <v>417</v>
      </c>
      <c r="E355" s="84" t="s">
        <v>418</v>
      </c>
      <c r="F355" s="84" t="s">
        <v>419</v>
      </c>
      <c r="G355" s="84" t="s">
        <v>420</v>
      </c>
      <c r="H355" s="84" t="s">
        <v>421</v>
      </c>
      <c r="I355" s="84" t="s">
        <v>422</v>
      </c>
      <c r="J355" s="84" t="s">
        <v>423</v>
      </c>
      <c r="K355" s="372"/>
    </row>
    <row r="356" spans="1:11" x14ac:dyDescent="0.25">
      <c r="A356" s="85" t="str">
        <f>+CALCULOS!C89</f>
        <v>Muro 1</v>
      </c>
      <c r="B356" s="85" t="str">
        <f>+CONCATENATE("Perforación Anclajes de 0 a 20 m en ",A356)</f>
        <v>Perforación Anclajes de 0 a 20 m en Muro 1</v>
      </c>
      <c r="C356" s="6">
        <f>+CALCULOS!F89</f>
        <v>1940</v>
      </c>
      <c r="D356" s="6"/>
      <c r="E356" s="6"/>
      <c r="F356" s="6"/>
      <c r="G356" s="6"/>
      <c r="H356" s="6"/>
      <c r="I356" s="6"/>
      <c r="J356" s="6">
        <f>+IF(SUM(C356:I356)=0,"",SUM(C356:I356))</f>
        <v>1940</v>
      </c>
      <c r="K356" s="372"/>
    </row>
    <row r="357" spans="1:11" x14ac:dyDescent="0.25">
      <c r="A357" s="85" t="str">
        <f>+CALCULOS!C90</f>
        <v>Muro 2</v>
      </c>
      <c r="B357" s="85" t="str">
        <f t="shared" ref="B357:B358" si="40">+CONCATENATE("Perforación Anclajes de 0 a 20 m en ",A357)</f>
        <v>Perforación Anclajes de 0 a 20 m en Muro 2</v>
      </c>
      <c r="C357" s="6">
        <f>+CALCULOS!F90</f>
        <v>2080</v>
      </c>
      <c r="D357" s="85"/>
      <c r="E357" s="85"/>
      <c r="F357" s="85"/>
      <c r="G357" s="85"/>
      <c r="H357" s="85"/>
      <c r="I357" s="6"/>
      <c r="J357" s="6">
        <f t="shared" ref="J357:J364" si="41">+IF(SUM(C357:I357)=0,"",SUM(C357:I357))</f>
        <v>2080</v>
      </c>
      <c r="K357" s="372"/>
    </row>
    <row r="358" spans="1:11" x14ac:dyDescent="0.25">
      <c r="A358" s="85" t="str">
        <f>+CALCULOS!C91</f>
        <v>Muro 3</v>
      </c>
      <c r="B358" s="85" t="str">
        <f t="shared" si="40"/>
        <v>Perforación Anclajes de 0 a 20 m en Muro 3</v>
      </c>
      <c r="C358" s="6">
        <f>+CALCULOS!F91</f>
        <v>4120</v>
      </c>
      <c r="D358" s="85"/>
      <c r="E358" s="85"/>
      <c r="F358" s="85"/>
      <c r="G358" s="85"/>
      <c r="H358" s="85"/>
      <c r="I358" s="6"/>
      <c r="J358" s="6">
        <f t="shared" si="41"/>
        <v>4120</v>
      </c>
      <c r="K358" s="372"/>
    </row>
    <row r="359" spans="1:11" x14ac:dyDescent="0.25">
      <c r="A359" s="85" t="str">
        <f>+CALCULOS!C92</f>
        <v>Muro 4</v>
      </c>
      <c r="B359" s="85" t="str">
        <f t="shared" ref="B359" si="42">+CONCATENATE("Perforación Anclajes de 0 a 20 m en ",A359)</f>
        <v>Perforación Anclajes de 0 a 20 m en Muro 4</v>
      </c>
      <c r="C359" s="6">
        <f>+CALCULOS!F92</f>
        <v>3000</v>
      </c>
      <c r="D359" s="85"/>
      <c r="E359" s="85"/>
      <c r="F359" s="85"/>
      <c r="G359" s="85"/>
      <c r="H359" s="85"/>
      <c r="I359" s="6"/>
      <c r="J359" s="6">
        <f t="shared" si="41"/>
        <v>3000</v>
      </c>
      <c r="K359" s="372"/>
    </row>
    <row r="360" spans="1:11" x14ac:dyDescent="0.25">
      <c r="A360" s="95"/>
      <c r="B360" s="85"/>
      <c r="C360" s="85"/>
      <c r="D360" s="85"/>
      <c r="E360" s="85"/>
      <c r="F360" s="85"/>
      <c r="G360" s="85"/>
      <c r="H360" s="85"/>
      <c r="I360" s="6"/>
      <c r="J360" s="6" t="str">
        <f t="shared" si="41"/>
        <v/>
      </c>
      <c r="K360" s="372"/>
    </row>
    <row r="361" spans="1:11" x14ac:dyDescent="0.25">
      <c r="A361" s="95"/>
      <c r="B361" s="85"/>
      <c r="C361" s="85"/>
      <c r="D361" s="85"/>
      <c r="E361" s="85"/>
      <c r="F361" s="85"/>
      <c r="G361" s="85"/>
      <c r="H361" s="85"/>
      <c r="I361" s="6"/>
      <c r="J361" s="6" t="str">
        <f t="shared" si="41"/>
        <v/>
      </c>
      <c r="K361" s="372"/>
    </row>
    <row r="362" spans="1:11" x14ac:dyDescent="0.25">
      <c r="A362" s="95"/>
      <c r="B362" s="85"/>
      <c r="C362" s="85"/>
      <c r="D362" s="85"/>
      <c r="E362" s="85"/>
      <c r="F362" s="85"/>
      <c r="G362" s="85"/>
      <c r="H362" s="85"/>
      <c r="I362" s="6"/>
      <c r="J362" s="6" t="str">
        <f t="shared" si="41"/>
        <v/>
      </c>
      <c r="K362" s="372"/>
    </row>
    <row r="363" spans="1:11" x14ac:dyDescent="0.25">
      <c r="A363" s="95"/>
      <c r="B363" s="85"/>
      <c r="C363" s="85"/>
      <c r="D363" s="85"/>
      <c r="E363" s="85"/>
      <c r="F363" s="85"/>
      <c r="G363" s="85"/>
      <c r="H363" s="85"/>
      <c r="I363" s="6"/>
      <c r="J363" s="6" t="str">
        <f t="shared" si="41"/>
        <v/>
      </c>
      <c r="K363" s="372"/>
    </row>
    <row r="364" spans="1:11" x14ac:dyDescent="0.25">
      <c r="A364" s="95"/>
      <c r="B364" s="85"/>
      <c r="C364" s="85"/>
      <c r="D364" s="85"/>
      <c r="E364" s="85"/>
      <c r="F364" s="85"/>
      <c r="G364" s="85"/>
      <c r="H364" s="85"/>
      <c r="I364" s="6"/>
      <c r="J364" s="6" t="str">
        <f t="shared" si="41"/>
        <v/>
      </c>
      <c r="K364" s="372"/>
    </row>
    <row r="365" spans="1:11" x14ac:dyDescent="0.25">
      <c r="A365" s="369" t="s">
        <v>424</v>
      </c>
      <c r="B365" s="369"/>
      <c r="C365" s="369"/>
      <c r="D365" s="369"/>
      <c r="E365" s="369"/>
      <c r="F365" s="369"/>
      <c r="G365" s="369"/>
      <c r="H365" s="369"/>
      <c r="I365" s="369"/>
      <c r="J365" s="63">
        <f>+SUM(J356:J364)</f>
        <v>11140</v>
      </c>
      <c r="K365" s="373"/>
    </row>
    <row r="366" spans="1:11" x14ac:dyDescent="0.25">
      <c r="A366" s="89" t="s">
        <v>288</v>
      </c>
      <c r="B366" s="370" t="s">
        <v>706</v>
      </c>
      <c r="C366" s="370"/>
      <c r="D366" s="370"/>
      <c r="E366" s="370"/>
      <c r="F366" s="370"/>
      <c r="G366" s="370"/>
      <c r="H366" s="370"/>
      <c r="I366" s="75" t="s">
        <v>31</v>
      </c>
      <c r="J366" s="75" t="s">
        <v>4</v>
      </c>
      <c r="K366" s="75" t="s">
        <v>413</v>
      </c>
    </row>
    <row r="367" spans="1:11" ht="15" customHeight="1" x14ac:dyDescent="0.25">
      <c r="A367" s="95" t="s">
        <v>364</v>
      </c>
      <c r="B367" s="374" t="str">
        <f>+UPPER(VLOOKUP(A367,PPTO!$A$9:$C$52,2,FALSE))</f>
        <v>PERFORACIONES HORIZONTALES PARA ANCLAJES MAYORES A 20.00 M</v>
      </c>
      <c r="C367" s="374"/>
      <c r="D367" s="374"/>
      <c r="E367" s="374"/>
      <c r="F367" s="374"/>
      <c r="G367" s="374"/>
      <c r="H367" s="374"/>
      <c r="I367" s="6" t="str">
        <f>+VLOOKUP(A367,PPTO!$A$9:$C$52,3,FALSE)</f>
        <v>ML</v>
      </c>
      <c r="J367" s="6">
        <f>+J378</f>
        <v>5570</v>
      </c>
      <c r="K367" s="371"/>
    </row>
    <row r="368" spans="1:11" ht="19.5" customHeight="1" x14ac:dyDescent="0.25">
      <c r="A368" s="96" t="s">
        <v>414</v>
      </c>
      <c r="B368" s="84" t="s">
        <v>415</v>
      </c>
      <c r="C368" s="84" t="s">
        <v>416</v>
      </c>
      <c r="D368" s="84" t="s">
        <v>417</v>
      </c>
      <c r="E368" s="84" t="s">
        <v>418</v>
      </c>
      <c r="F368" s="84" t="s">
        <v>419</v>
      </c>
      <c r="G368" s="84" t="s">
        <v>420</v>
      </c>
      <c r="H368" s="84" t="s">
        <v>421</v>
      </c>
      <c r="I368" s="84" t="s">
        <v>422</v>
      </c>
      <c r="J368" s="84" t="s">
        <v>423</v>
      </c>
      <c r="K368" s="372"/>
    </row>
    <row r="369" spans="1:11" x14ac:dyDescent="0.25">
      <c r="A369" s="85" t="str">
        <f>+CALCULOS!C89</f>
        <v>Muro 1</v>
      </c>
      <c r="B369" s="85" t="str">
        <f>+CONCATENATE("Perforación Anclajes mayores a 20 m en ",A369)</f>
        <v>Perforación Anclajes mayores a 20 m en Muro 1</v>
      </c>
      <c r="C369" s="6">
        <f>+CALCULOS!G89</f>
        <v>970</v>
      </c>
      <c r="D369" s="6"/>
      <c r="E369" s="6"/>
      <c r="F369" s="6"/>
      <c r="G369" s="6"/>
      <c r="H369" s="6"/>
      <c r="I369" s="6"/>
      <c r="J369" s="6">
        <f>+IF(SUM(C369:I369)=0,"",SUM(C369:I369))</f>
        <v>970</v>
      </c>
      <c r="K369" s="372"/>
    </row>
    <row r="370" spans="1:11" x14ac:dyDescent="0.25">
      <c r="A370" s="85" t="str">
        <f>+CALCULOS!C90</f>
        <v>Muro 2</v>
      </c>
      <c r="B370" s="85" t="str">
        <f t="shared" ref="B370:B371" si="43">+CONCATENATE("Perforación Anclajes mayores a 20 m en ",A370)</f>
        <v>Perforación Anclajes mayores a 20 m en Muro 2</v>
      </c>
      <c r="C370" s="6">
        <f>+CALCULOS!G90</f>
        <v>1040</v>
      </c>
      <c r="D370" s="85"/>
      <c r="E370" s="85"/>
      <c r="F370" s="85"/>
      <c r="G370" s="85"/>
      <c r="H370" s="85"/>
      <c r="I370" s="6"/>
      <c r="J370" s="6">
        <f t="shared" ref="J370:J377" si="44">+IF(SUM(C370:I370)=0,"",SUM(C370:I370))</f>
        <v>1040</v>
      </c>
      <c r="K370" s="372"/>
    </row>
    <row r="371" spans="1:11" x14ac:dyDescent="0.25">
      <c r="A371" s="85" t="str">
        <f>+CALCULOS!C91</f>
        <v>Muro 3</v>
      </c>
      <c r="B371" s="85" t="str">
        <f t="shared" si="43"/>
        <v>Perforación Anclajes mayores a 20 m en Muro 3</v>
      </c>
      <c r="C371" s="6">
        <f>+CALCULOS!G91</f>
        <v>2060</v>
      </c>
      <c r="D371" s="85"/>
      <c r="E371" s="85"/>
      <c r="F371" s="85"/>
      <c r="G371" s="85"/>
      <c r="H371" s="85"/>
      <c r="I371" s="6"/>
      <c r="J371" s="6">
        <f t="shared" si="44"/>
        <v>2060</v>
      </c>
      <c r="K371" s="372"/>
    </row>
    <row r="372" spans="1:11" x14ac:dyDescent="0.25">
      <c r="A372" s="85" t="str">
        <f>+CALCULOS!C92</f>
        <v>Muro 4</v>
      </c>
      <c r="B372" s="85" t="str">
        <f t="shared" ref="B372" si="45">+CONCATENATE("Perforación Anclajes mayores a 20 m en ",A372)</f>
        <v>Perforación Anclajes mayores a 20 m en Muro 4</v>
      </c>
      <c r="C372" s="6">
        <f>+CALCULOS!G92</f>
        <v>1500</v>
      </c>
      <c r="D372" s="85"/>
      <c r="E372" s="85"/>
      <c r="F372" s="85"/>
      <c r="G372" s="85"/>
      <c r="H372" s="85"/>
      <c r="I372" s="6"/>
      <c r="J372" s="6">
        <f t="shared" si="44"/>
        <v>1500</v>
      </c>
      <c r="K372" s="372"/>
    </row>
    <row r="373" spans="1:11" x14ac:dyDescent="0.25">
      <c r="A373" s="95"/>
      <c r="B373" s="85"/>
      <c r="C373" s="85"/>
      <c r="D373" s="85"/>
      <c r="E373" s="85"/>
      <c r="F373" s="85"/>
      <c r="G373" s="85"/>
      <c r="H373" s="85"/>
      <c r="I373" s="6"/>
      <c r="J373" s="6" t="str">
        <f t="shared" si="44"/>
        <v/>
      </c>
      <c r="K373" s="372"/>
    </row>
    <row r="374" spans="1:11" x14ac:dyDescent="0.25">
      <c r="A374" s="95"/>
      <c r="B374" s="85"/>
      <c r="C374" s="85"/>
      <c r="D374" s="85"/>
      <c r="E374" s="85"/>
      <c r="F374" s="85"/>
      <c r="G374" s="85"/>
      <c r="H374" s="85"/>
      <c r="I374" s="6"/>
      <c r="J374" s="6" t="str">
        <f t="shared" si="44"/>
        <v/>
      </c>
      <c r="K374" s="372"/>
    </row>
    <row r="375" spans="1:11" x14ac:dyDescent="0.25">
      <c r="A375" s="95"/>
      <c r="B375" s="85"/>
      <c r="C375" s="85"/>
      <c r="D375" s="85"/>
      <c r="E375" s="85"/>
      <c r="F375" s="85"/>
      <c r="G375" s="85"/>
      <c r="H375" s="85"/>
      <c r="I375" s="6"/>
      <c r="J375" s="6" t="str">
        <f t="shared" si="44"/>
        <v/>
      </c>
      <c r="K375" s="372"/>
    </row>
    <row r="376" spans="1:11" x14ac:dyDescent="0.25">
      <c r="A376" s="95"/>
      <c r="B376" s="85"/>
      <c r="C376" s="85"/>
      <c r="D376" s="85"/>
      <c r="E376" s="85"/>
      <c r="F376" s="85"/>
      <c r="G376" s="85"/>
      <c r="H376" s="85"/>
      <c r="I376" s="6"/>
      <c r="J376" s="6" t="str">
        <f t="shared" si="44"/>
        <v/>
      </c>
      <c r="K376" s="372"/>
    </row>
    <row r="377" spans="1:11" x14ac:dyDescent="0.25">
      <c r="A377" s="95"/>
      <c r="B377" s="85"/>
      <c r="C377" s="85"/>
      <c r="D377" s="85"/>
      <c r="E377" s="85"/>
      <c r="F377" s="85"/>
      <c r="G377" s="85"/>
      <c r="H377" s="85"/>
      <c r="I377" s="6"/>
      <c r="J377" s="6" t="str">
        <f t="shared" si="44"/>
        <v/>
      </c>
      <c r="K377" s="372"/>
    </row>
    <row r="378" spans="1:11" x14ac:dyDescent="0.25">
      <c r="A378" s="369" t="s">
        <v>424</v>
      </c>
      <c r="B378" s="369"/>
      <c r="C378" s="369"/>
      <c r="D378" s="369"/>
      <c r="E378" s="369"/>
      <c r="F378" s="369"/>
      <c r="G378" s="369"/>
      <c r="H378" s="369"/>
      <c r="I378" s="369"/>
      <c r="J378" s="63">
        <f>+SUM(J369:J377)</f>
        <v>5570</v>
      </c>
      <c r="K378" s="373"/>
    </row>
    <row r="379" spans="1:11" x14ac:dyDescent="0.25">
      <c r="A379" s="97"/>
      <c r="C379" s="80"/>
      <c r="D379" s="80"/>
      <c r="E379" s="80"/>
      <c r="F379" s="80"/>
      <c r="G379" s="80"/>
      <c r="H379" s="80"/>
    </row>
    <row r="380" spans="1:11" ht="15" customHeight="1" x14ac:dyDescent="0.25">
      <c r="A380" s="87" t="s">
        <v>366</v>
      </c>
      <c r="B380" s="87" t="s">
        <v>367</v>
      </c>
      <c r="C380" s="87"/>
      <c r="D380" s="87"/>
      <c r="E380" s="87"/>
      <c r="F380" s="87"/>
      <c r="G380" s="87"/>
      <c r="H380" s="87"/>
      <c r="I380" s="86"/>
      <c r="J380" s="86"/>
      <c r="K380" s="88"/>
    </row>
    <row r="381" spans="1:11" ht="15" customHeight="1" x14ac:dyDescent="0.25">
      <c r="A381" s="94"/>
      <c r="B381" s="79"/>
      <c r="C381" s="79"/>
      <c r="D381" s="79"/>
      <c r="E381" s="79"/>
      <c r="F381" s="79"/>
      <c r="G381" s="79"/>
      <c r="H381" s="79"/>
      <c r="I381" s="5"/>
      <c r="J381" s="5"/>
    </row>
    <row r="382" spans="1:11" x14ac:dyDescent="0.25">
      <c r="A382" s="89" t="s">
        <v>288</v>
      </c>
      <c r="B382" s="370" t="s">
        <v>706</v>
      </c>
      <c r="C382" s="370"/>
      <c r="D382" s="370"/>
      <c r="E382" s="370"/>
      <c r="F382" s="370"/>
      <c r="G382" s="370"/>
      <c r="H382" s="370"/>
      <c r="I382" s="75" t="s">
        <v>31</v>
      </c>
      <c r="J382" s="75" t="s">
        <v>4</v>
      </c>
      <c r="K382" s="75" t="s">
        <v>413</v>
      </c>
    </row>
    <row r="383" spans="1:11" ht="15" customHeight="1" x14ac:dyDescent="0.25">
      <c r="A383" s="95" t="s">
        <v>368</v>
      </c>
      <c r="B383" s="374" t="str">
        <f>+UPPER(VLOOKUP(A383,PPTO!$A$9:$C$52,2,FALSE))</f>
        <v>CUNETA TRAPEZOIDAL EN MANTO DE HORMIGÓN (B. MAYOR: 0.9M; B. MENOR: 0.5M; ALTURA: 0,2M)</v>
      </c>
      <c r="C383" s="374"/>
      <c r="D383" s="374"/>
      <c r="E383" s="374"/>
      <c r="F383" s="374"/>
      <c r="G383" s="374"/>
      <c r="H383" s="374"/>
      <c r="I383" s="6" t="str">
        <f>+VLOOKUP(A383,PPTO!$A$9:$C$52,3,FALSE)</f>
        <v>ML</v>
      </c>
      <c r="J383" s="6">
        <f>+J394</f>
        <v>542.1</v>
      </c>
      <c r="K383" s="371"/>
    </row>
    <row r="384" spans="1:11" ht="19.5" customHeight="1" x14ac:dyDescent="0.25">
      <c r="A384" s="96" t="s">
        <v>414</v>
      </c>
      <c r="B384" s="84" t="s">
        <v>415</v>
      </c>
      <c r="C384" s="84" t="s">
        <v>416</v>
      </c>
      <c r="D384" s="84" t="s">
        <v>417</v>
      </c>
      <c r="E384" s="84" t="s">
        <v>418</v>
      </c>
      <c r="F384" s="84" t="s">
        <v>419</v>
      </c>
      <c r="G384" s="84" t="s">
        <v>420</v>
      </c>
      <c r="H384" s="84" t="s">
        <v>421</v>
      </c>
      <c r="I384" s="84" t="s">
        <v>422</v>
      </c>
      <c r="J384" s="84" t="s">
        <v>423</v>
      </c>
      <c r="K384" s="372"/>
    </row>
    <row r="385" spans="1:11" x14ac:dyDescent="0.25">
      <c r="A385" s="85"/>
      <c r="B385" s="85" t="s">
        <v>751</v>
      </c>
      <c r="C385" s="6">
        <f>28.16+32.62+29.57+28.84+47.85+44.43+34.75+40.4+43.48+29.67+37.87+74.8+69.66</f>
        <v>542.1</v>
      </c>
      <c r="D385" s="6"/>
      <c r="E385" s="6"/>
      <c r="F385" s="6"/>
      <c r="G385" s="6"/>
      <c r="H385" s="6"/>
      <c r="I385" s="6"/>
      <c r="J385" s="6">
        <f>+IF(SUM(C385:I385)=0,"",SUM(C385:I385))</f>
        <v>542.1</v>
      </c>
      <c r="K385" s="372"/>
    </row>
    <row r="386" spans="1:11" x14ac:dyDescent="0.25">
      <c r="A386" s="85"/>
      <c r="B386" s="85"/>
      <c r="C386" s="85"/>
      <c r="D386" s="85"/>
      <c r="E386" s="85"/>
      <c r="F386" s="85"/>
      <c r="G386" s="85"/>
      <c r="H386" s="85"/>
      <c r="I386" s="6"/>
      <c r="J386" s="6" t="str">
        <f t="shared" ref="J386:J393" si="46">+IF(SUM(C386:I386)=0,"",SUM(C386:I386))</f>
        <v/>
      </c>
      <c r="K386" s="372"/>
    </row>
    <row r="387" spans="1:11" x14ac:dyDescent="0.25">
      <c r="A387" s="95"/>
      <c r="B387" s="85"/>
      <c r="C387" s="85"/>
      <c r="D387" s="85"/>
      <c r="E387" s="85"/>
      <c r="F387" s="85"/>
      <c r="G387" s="85"/>
      <c r="H387" s="85"/>
      <c r="I387" s="6"/>
      <c r="J387" s="6" t="str">
        <f t="shared" si="46"/>
        <v/>
      </c>
      <c r="K387" s="372"/>
    </row>
    <row r="388" spans="1:11" x14ac:dyDescent="0.25">
      <c r="A388" s="95"/>
      <c r="B388" s="85"/>
      <c r="C388" s="85"/>
      <c r="D388" s="85"/>
      <c r="E388" s="85"/>
      <c r="F388" s="85"/>
      <c r="G388" s="85"/>
      <c r="H388" s="85"/>
      <c r="I388" s="6"/>
      <c r="J388" s="6" t="str">
        <f t="shared" si="46"/>
        <v/>
      </c>
      <c r="K388" s="372"/>
    </row>
    <row r="389" spans="1:11" x14ac:dyDescent="0.25">
      <c r="A389" s="95"/>
      <c r="B389" s="85"/>
      <c r="C389" s="85"/>
      <c r="D389" s="85"/>
      <c r="E389" s="85"/>
      <c r="F389" s="85"/>
      <c r="G389" s="85"/>
      <c r="H389" s="85"/>
      <c r="I389" s="6"/>
      <c r="J389" s="6" t="str">
        <f t="shared" si="46"/>
        <v/>
      </c>
      <c r="K389" s="372"/>
    </row>
    <row r="390" spans="1:11" x14ac:dyDescent="0.25">
      <c r="A390" s="95"/>
      <c r="B390" s="85"/>
      <c r="C390" s="85"/>
      <c r="D390" s="85"/>
      <c r="E390" s="85"/>
      <c r="F390" s="85"/>
      <c r="G390" s="85"/>
      <c r="H390" s="85"/>
      <c r="I390" s="6"/>
      <c r="J390" s="6" t="str">
        <f t="shared" si="46"/>
        <v/>
      </c>
      <c r="K390" s="372"/>
    </row>
    <row r="391" spans="1:11" x14ac:dyDescent="0.25">
      <c r="A391" s="95"/>
      <c r="B391" s="85"/>
      <c r="C391" s="85"/>
      <c r="D391" s="85"/>
      <c r="E391" s="85"/>
      <c r="F391" s="85"/>
      <c r="G391" s="85"/>
      <c r="H391" s="85"/>
      <c r="I391" s="6"/>
      <c r="J391" s="6" t="str">
        <f t="shared" si="46"/>
        <v/>
      </c>
      <c r="K391" s="372"/>
    </row>
    <row r="392" spans="1:11" x14ac:dyDescent="0.25">
      <c r="A392" s="95"/>
      <c r="B392" s="85"/>
      <c r="C392" s="85"/>
      <c r="D392" s="85"/>
      <c r="E392" s="85"/>
      <c r="F392" s="85"/>
      <c r="G392" s="85"/>
      <c r="H392" s="85"/>
      <c r="I392" s="6"/>
      <c r="J392" s="6" t="str">
        <f t="shared" si="46"/>
        <v/>
      </c>
      <c r="K392" s="372"/>
    </row>
    <row r="393" spans="1:11" x14ac:dyDescent="0.25">
      <c r="A393" s="95"/>
      <c r="B393" s="85"/>
      <c r="C393" s="85"/>
      <c r="D393" s="85"/>
      <c r="E393" s="85"/>
      <c r="F393" s="85"/>
      <c r="G393" s="85"/>
      <c r="H393" s="85"/>
      <c r="I393" s="6"/>
      <c r="J393" s="6" t="str">
        <f t="shared" si="46"/>
        <v/>
      </c>
      <c r="K393" s="372"/>
    </row>
    <row r="394" spans="1:11" x14ac:dyDescent="0.25">
      <c r="A394" s="369" t="s">
        <v>424</v>
      </c>
      <c r="B394" s="369"/>
      <c r="C394" s="369"/>
      <c r="D394" s="369"/>
      <c r="E394" s="369"/>
      <c r="F394" s="369"/>
      <c r="G394" s="369"/>
      <c r="H394" s="369"/>
      <c r="I394" s="369"/>
      <c r="J394" s="63">
        <f>+SUM(J385:J393)</f>
        <v>542.1</v>
      </c>
      <c r="K394" s="373"/>
    </row>
    <row r="395" spans="1:11" x14ac:dyDescent="0.25">
      <c r="A395" s="89" t="s">
        <v>288</v>
      </c>
      <c r="B395" s="370" t="s">
        <v>706</v>
      </c>
      <c r="C395" s="370"/>
      <c r="D395" s="370"/>
      <c r="E395" s="370"/>
      <c r="F395" s="370"/>
      <c r="G395" s="370"/>
      <c r="H395" s="370"/>
      <c r="I395" s="75" t="s">
        <v>31</v>
      </c>
      <c r="J395" s="75" t="s">
        <v>4</v>
      </c>
      <c r="K395" s="75" t="s">
        <v>413</v>
      </c>
    </row>
    <row r="396" spans="1:11" ht="15" customHeight="1" x14ac:dyDescent="0.25">
      <c r="A396" s="95" t="s">
        <v>369</v>
      </c>
      <c r="B396" s="374" t="str">
        <f>+UPPER(VLOOKUP(A396,PPTO!$A$9:$C$52,2,FALSE))</f>
        <v>FILTRO EN GEOTEXTIL (NT-1600 O SIMILAR) - 1,50 * 0,5 MTS.</v>
      </c>
      <c r="C396" s="374"/>
      <c r="D396" s="374"/>
      <c r="E396" s="374"/>
      <c r="F396" s="374"/>
      <c r="G396" s="374"/>
      <c r="H396" s="374"/>
      <c r="I396" s="6" t="str">
        <f>+VLOOKUP(A396,PPTO!$A$9:$C$52,3,FALSE)</f>
        <v>ML</v>
      </c>
      <c r="J396" s="6">
        <f>+J407</f>
        <v>542.1</v>
      </c>
      <c r="K396" s="371"/>
    </row>
    <row r="397" spans="1:11" ht="19.5" customHeight="1" x14ac:dyDescent="0.25">
      <c r="A397" s="96" t="s">
        <v>414</v>
      </c>
      <c r="B397" s="84" t="s">
        <v>415</v>
      </c>
      <c r="C397" s="84" t="s">
        <v>416</v>
      </c>
      <c r="D397" s="84" t="s">
        <v>417</v>
      </c>
      <c r="E397" s="84" t="s">
        <v>418</v>
      </c>
      <c r="F397" s="84" t="s">
        <v>419</v>
      </c>
      <c r="G397" s="84" t="s">
        <v>420</v>
      </c>
      <c r="H397" s="84" t="s">
        <v>421</v>
      </c>
      <c r="I397" s="84" t="s">
        <v>422</v>
      </c>
      <c r="J397" s="84" t="s">
        <v>423</v>
      </c>
      <c r="K397" s="372"/>
    </row>
    <row r="398" spans="1:11" x14ac:dyDescent="0.25">
      <c r="A398" s="85"/>
      <c r="B398" s="85" t="s">
        <v>752</v>
      </c>
      <c r="C398" s="6">
        <f>C385</f>
        <v>542.1</v>
      </c>
      <c r="D398" s="6"/>
      <c r="E398" s="6"/>
      <c r="F398" s="6"/>
      <c r="G398" s="6"/>
      <c r="H398" s="6"/>
      <c r="I398" s="6"/>
      <c r="J398" s="6">
        <f>+IF(SUM(C398:I398)=0,"",SUM(C398:I398))</f>
        <v>542.1</v>
      </c>
      <c r="K398" s="372"/>
    </row>
    <row r="399" spans="1:11" x14ac:dyDescent="0.25">
      <c r="A399" s="85"/>
      <c r="B399" s="85"/>
      <c r="C399" s="85"/>
      <c r="D399" s="85"/>
      <c r="E399" s="85"/>
      <c r="F399" s="85"/>
      <c r="G399" s="85"/>
      <c r="H399" s="85"/>
      <c r="I399" s="6"/>
      <c r="J399" s="6" t="str">
        <f t="shared" ref="J399:J406" si="47">+IF(SUM(C399:I399)=0,"",SUM(C399:I399))</f>
        <v/>
      </c>
      <c r="K399" s="372"/>
    </row>
    <row r="400" spans="1:11" x14ac:dyDescent="0.25">
      <c r="A400" s="85"/>
      <c r="B400" s="85"/>
      <c r="C400" s="85"/>
      <c r="D400" s="85"/>
      <c r="E400" s="85"/>
      <c r="F400" s="85"/>
      <c r="G400" s="85"/>
      <c r="H400" s="85"/>
      <c r="I400" s="6"/>
      <c r="J400" s="6" t="str">
        <f t="shared" si="47"/>
        <v/>
      </c>
      <c r="K400" s="372"/>
    </row>
    <row r="401" spans="1:11" x14ac:dyDescent="0.25">
      <c r="A401" s="95"/>
      <c r="B401" s="85"/>
      <c r="C401" s="85"/>
      <c r="D401" s="85"/>
      <c r="E401" s="85"/>
      <c r="F401" s="85"/>
      <c r="G401" s="85"/>
      <c r="H401" s="85"/>
      <c r="I401" s="6"/>
      <c r="J401" s="6" t="str">
        <f t="shared" si="47"/>
        <v/>
      </c>
      <c r="K401" s="372"/>
    </row>
    <row r="402" spans="1:11" x14ac:dyDescent="0.25">
      <c r="A402" s="95"/>
      <c r="B402" s="85"/>
      <c r="C402" s="85"/>
      <c r="D402" s="85"/>
      <c r="E402" s="85"/>
      <c r="F402" s="85"/>
      <c r="G402" s="85"/>
      <c r="H402" s="85"/>
      <c r="I402" s="6"/>
      <c r="J402" s="6" t="str">
        <f t="shared" si="47"/>
        <v/>
      </c>
      <c r="K402" s="372"/>
    </row>
    <row r="403" spans="1:11" x14ac:dyDescent="0.25">
      <c r="A403" s="95"/>
      <c r="B403" s="85"/>
      <c r="C403" s="85"/>
      <c r="D403" s="85"/>
      <c r="E403" s="85"/>
      <c r="F403" s="85"/>
      <c r="G403" s="85"/>
      <c r="H403" s="85"/>
      <c r="I403" s="6"/>
      <c r="J403" s="6" t="str">
        <f t="shared" si="47"/>
        <v/>
      </c>
      <c r="K403" s="372"/>
    </row>
    <row r="404" spans="1:11" x14ac:dyDescent="0.25">
      <c r="A404" s="95"/>
      <c r="B404" s="85"/>
      <c r="C404" s="85"/>
      <c r="D404" s="85"/>
      <c r="E404" s="85"/>
      <c r="F404" s="85"/>
      <c r="G404" s="85"/>
      <c r="H404" s="85"/>
      <c r="I404" s="6"/>
      <c r="J404" s="6" t="str">
        <f t="shared" si="47"/>
        <v/>
      </c>
      <c r="K404" s="372"/>
    </row>
    <row r="405" spans="1:11" x14ac:dyDescent="0.25">
      <c r="A405" s="95"/>
      <c r="B405" s="85"/>
      <c r="C405" s="85"/>
      <c r="D405" s="85"/>
      <c r="E405" s="85"/>
      <c r="F405" s="85"/>
      <c r="G405" s="85"/>
      <c r="H405" s="85"/>
      <c r="I405" s="6"/>
      <c r="J405" s="6" t="str">
        <f t="shared" si="47"/>
        <v/>
      </c>
      <c r="K405" s="372"/>
    </row>
    <row r="406" spans="1:11" x14ac:dyDescent="0.25">
      <c r="A406" s="95"/>
      <c r="B406" s="85"/>
      <c r="C406" s="85"/>
      <c r="D406" s="85"/>
      <c r="E406" s="85"/>
      <c r="F406" s="85"/>
      <c r="G406" s="85"/>
      <c r="H406" s="85"/>
      <c r="I406" s="6"/>
      <c r="J406" s="6" t="str">
        <f t="shared" si="47"/>
        <v/>
      </c>
      <c r="K406" s="372"/>
    </row>
    <row r="407" spans="1:11" x14ac:dyDescent="0.25">
      <c r="A407" s="369" t="s">
        <v>424</v>
      </c>
      <c r="B407" s="369"/>
      <c r="C407" s="369"/>
      <c r="D407" s="369"/>
      <c r="E407" s="369"/>
      <c r="F407" s="369"/>
      <c r="G407" s="369"/>
      <c r="H407" s="369"/>
      <c r="I407" s="369"/>
      <c r="J407" s="63">
        <f>+SUM(J398:J406)</f>
        <v>542.1</v>
      </c>
      <c r="K407" s="373"/>
    </row>
    <row r="408" spans="1:11" x14ac:dyDescent="0.25">
      <c r="A408" s="89" t="s">
        <v>288</v>
      </c>
      <c r="B408" s="370" t="s">
        <v>706</v>
      </c>
      <c r="C408" s="370"/>
      <c r="D408" s="370"/>
      <c r="E408" s="370"/>
      <c r="F408" s="370"/>
      <c r="G408" s="370"/>
      <c r="H408" s="370"/>
      <c r="I408" s="75" t="s">
        <v>31</v>
      </c>
      <c r="J408" s="75" t="s">
        <v>4</v>
      </c>
      <c r="K408" s="75" t="s">
        <v>413</v>
      </c>
    </row>
    <row r="409" spans="1:11" ht="15" customHeight="1" x14ac:dyDescent="0.25">
      <c r="A409" s="95" t="s">
        <v>370</v>
      </c>
      <c r="B409" s="374" t="str">
        <f>+UPPER(VLOOKUP(A409,PPTO!$A$9:$C$52,2,FALSE))</f>
        <v>LIMPIEZA GENERAL DE LA OBRA</v>
      </c>
      <c r="C409" s="374"/>
      <c r="D409" s="374"/>
      <c r="E409" s="374"/>
      <c r="F409" s="374"/>
      <c r="G409" s="374"/>
      <c r="H409" s="374"/>
      <c r="I409" s="6" t="str">
        <f>+VLOOKUP(A409,PPTO!$A$9:$C$52,3,FALSE)</f>
        <v>M2</v>
      </c>
      <c r="J409" s="6">
        <f>+J420</f>
        <v>4314.07</v>
      </c>
      <c r="K409" s="371"/>
    </row>
    <row r="410" spans="1:11" ht="19.5" customHeight="1" x14ac:dyDescent="0.25">
      <c r="A410" s="96" t="s">
        <v>414</v>
      </c>
      <c r="B410" s="84" t="s">
        <v>415</v>
      </c>
      <c r="C410" s="84" t="s">
        <v>416</v>
      </c>
      <c r="D410" s="84" t="s">
        <v>417</v>
      </c>
      <c r="E410" s="84" t="s">
        <v>418</v>
      </c>
      <c r="F410" s="84" t="s">
        <v>419</v>
      </c>
      <c r="G410" s="84" t="s">
        <v>420</v>
      </c>
      <c r="H410" s="84" t="s">
        <v>421</v>
      </c>
      <c r="I410" s="84" t="s">
        <v>422</v>
      </c>
      <c r="J410" s="84" t="s">
        <v>423</v>
      </c>
      <c r="K410" s="372"/>
    </row>
    <row r="411" spans="1:11" x14ac:dyDescent="0.25">
      <c r="A411" s="85" t="str">
        <f t="shared" ref="A411:A417" si="48">+A23</f>
        <v>Area 1</v>
      </c>
      <c r="B411" s="85" t="str">
        <f>+CONCATENATE("Limpieza de obra en ",A411)</f>
        <v>Limpieza de obra en Area 1</v>
      </c>
      <c r="C411" s="6"/>
      <c r="D411" s="6"/>
      <c r="E411" s="6"/>
      <c r="F411" s="6">
        <f>+CALCULOS!D4</f>
        <v>562.79999999999995</v>
      </c>
      <c r="G411" s="6"/>
      <c r="H411" s="6"/>
      <c r="I411" s="6"/>
      <c r="J411" s="6">
        <f>+IF(SUM(C411:I411)=0,"",SUM(C411:I411))</f>
        <v>562.79999999999995</v>
      </c>
      <c r="K411" s="372"/>
    </row>
    <row r="412" spans="1:11" x14ac:dyDescent="0.25">
      <c r="A412" s="85" t="str">
        <f t="shared" si="48"/>
        <v>Area 2</v>
      </c>
      <c r="B412" s="85" t="str">
        <f t="shared" ref="B412:B417" si="49">+CONCATENATE("Limpieza de obra en ",A412)</f>
        <v>Limpieza de obra en Area 2</v>
      </c>
      <c r="C412" s="85"/>
      <c r="D412" s="85"/>
      <c r="E412" s="85"/>
      <c r="F412" s="6">
        <f>+CALCULOS!D5</f>
        <v>798.81</v>
      </c>
      <c r="G412" s="85"/>
      <c r="H412" s="85"/>
      <c r="I412" s="6"/>
      <c r="J412" s="6">
        <f t="shared" ref="J412:J419" si="50">+IF(SUM(C412:I412)=0,"",SUM(C412:I412))</f>
        <v>798.81</v>
      </c>
      <c r="K412" s="372"/>
    </row>
    <row r="413" spans="1:11" x14ac:dyDescent="0.25">
      <c r="A413" s="85" t="str">
        <f t="shared" si="48"/>
        <v>Area 3</v>
      </c>
      <c r="B413" s="85" t="str">
        <f t="shared" si="49"/>
        <v>Limpieza de obra en Area 3</v>
      </c>
      <c r="C413" s="85"/>
      <c r="D413" s="85"/>
      <c r="E413" s="85"/>
      <c r="F413" s="6">
        <f>+CALCULOS!D6</f>
        <v>52.73</v>
      </c>
      <c r="G413" s="85"/>
      <c r="H413" s="85"/>
      <c r="I413" s="6"/>
      <c r="J413" s="6">
        <f t="shared" si="50"/>
        <v>52.73</v>
      </c>
      <c r="K413" s="372"/>
    </row>
    <row r="414" spans="1:11" x14ac:dyDescent="0.25">
      <c r="A414" s="85" t="str">
        <f t="shared" si="48"/>
        <v>Area 4</v>
      </c>
      <c r="B414" s="85" t="str">
        <f t="shared" si="49"/>
        <v>Limpieza de obra en Area 4</v>
      </c>
      <c r="C414" s="85"/>
      <c r="D414" s="85"/>
      <c r="E414" s="85"/>
      <c r="F414" s="6">
        <f>+CALCULOS!D7</f>
        <v>66.75</v>
      </c>
      <c r="G414" s="85"/>
      <c r="H414" s="85"/>
      <c r="I414" s="6"/>
      <c r="J414" s="6">
        <f t="shared" si="50"/>
        <v>66.75</v>
      </c>
      <c r="K414" s="372"/>
    </row>
    <row r="415" spans="1:11" x14ac:dyDescent="0.25">
      <c r="A415" s="85" t="str">
        <f t="shared" si="48"/>
        <v>Area 5</v>
      </c>
      <c r="B415" s="85" t="str">
        <f t="shared" si="49"/>
        <v>Limpieza de obra en Area 5</v>
      </c>
      <c r="C415" s="85"/>
      <c r="D415" s="85"/>
      <c r="E415" s="85"/>
      <c r="F415" s="6">
        <f>+CALCULOS!D8</f>
        <v>1235.68</v>
      </c>
      <c r="G415" s="85"/>
      <c r="H415" s="85"/>
      <c r="I415" s="6"/>
      <c r="J415" s="6">
        <f t="shared" si="50"/>
        <v>1235.68</v>
      </c>
      <c r="K415" s="372"/>
    </row>
    <row r="416" spans="1:11" x14ac:dyDescent="0.25">
      <c r="A416" s="85" t="str">
        <f t="shared" si="48"/>
        <v>Area 6</v>
      </c>
      <c r="B416" s="85" t="str">
        <f t="shared" si="49"/>
        <v>Limpieza de obra en Area 6</v>
      </c>
      <c r="C416" s="85"/>
      <c r="D416" s="85"/>
      <c r="E416" s="85"/>
      <c r="F416" s="6">
        <f>+CALCULOS!D9</f>
        <v>40.61</v>
      </c>
      <c r="G416" s="85"/>
      <c r="H416" s="85"/>
      <c r="I416" s="6"/>
      <c r="J416" s="6">
        <f t="shared" si="50"/>
        <v>40.61</v>
      </c>
      <c r="K416" s="372"/>
    </row>
    <row r="417" spans="1:11" x14ac:dyDescent="0.25">
      <c r="A417" s="85" t="str">
        <f t="shared" si="48"/>
        <v>Area 7</v>
      </c>
      <c r="B417" s="85" t="str">
        <f t="shared" si="49"/>
        <v>Limpieza de obra en Area 7</v>
      </c>
      <c r="C417" s="85"/>
      <c r="D417" s="85"/>
      <c r="E417" s="85"/>
      <c r="F417" s="6">
        <f>+CALCULOS!D10</f>
        <v>1556.69</v>
      </c>
      <c r="G417" s="85"/>
      <c r="H417" s="85"/>
      <c r="I417" s="6"/>
      <c r="J417" s="6">
        <f t="shared" si="50"/>
        <v>1556.69</v>
      </c>
      <c r="K417" s="372"/>
    </row>
    <row r="418" spans="1:11" x14ac:dyDescent="0.25">
      <c r="A418" s="95"/>
      <c r="B418" s="85"/>
      <c r="C418" s="85"/>
      <c r="D418" s="85"/>
      <c r="E418" s="85"/>
      <c r="F418" s="85"/>
      <c r="G418" s="85"/>
      <c r="H418" s="85"/>
      <c r="I418" s="6"/>
      <c r="J418" s="6" t="str">
        <f t="shared" si="50"/>
        <v/>
      </c>
      <c r="K418" s="372"/>
    </row>
    <row r="419" spans="1:11" x14ac:dyDescent="0.25">
      <c r="A419" s="95"/>
      <c r="B419" s="85"/>
      <c r="C419" s="85"/>
      <c r="D419" s="85"/>
      <c r="E419" s="85"/>
      <c r="F419" s="85"/>
      <c r="G419" s="85"/>
      <c r="H419" s="85"/>
      <c r="I419" s="6"/>
      <c r="J419" s="6" t="str">
        <f t="shared" si="50"/>
        <v/>
      </c>
      <c r="K419" s="372"/>
    </row>
    <row r="420" spans="1:11" x14ac:dyDescent="0.25">
      <c r="A420" s="369" t="s">
        <v>424</v>
      </c>
      <c r="B420" s="369"/>
      <c r="C420" s="369"/>
      <c r="D420" s="369"/>
      <c r="E420" s="369"/>
      <c r="F420" s="369"/>
      <c r="G420" s="369"/>
      <c r="H420" s="369"/>
      <c r="I420" s="369"/>
      <c r="J420" s="63">
        <f>+SUM(J411:J419)</f>
        <v>4314.07</v>
      </c>
      <c r="K420" s="373"/>
    </row>
    <row r="421" spans="1:11" x14ac:dyDescent="0.25">
      <c r="A421" s="89" t="s">
        <v>288</v>
      </c>
      <c r="B421" s="370" t="s">
        <v>706</v>
      </c>
      <c r="C421" s="370"/>
      <c r="D421" s="370"/>
      <c r="E421" s="370"/>
      <c r="F421" s="370"/>
      <c r="G421" s="370"/>
      <c r="H421" s="370"/>
      <c r="I421" s="75" t="s">
        <v>31</v>
      </c>
      <c r="J421" s="75" t="s">
        <v>4</v>
      </c>
      <c r="K421" s="75" t="s">
        <v>413</v>
      </c>
    </row>
    <row r="422" spans="1:11" ht="15" customHeight="1" x14ac:dyDescent="0.25">
      <c r="A422" s="95" t="s">
        <v>371</v>
      </c>
      <c r="B422" s="374" t="str">
        <f>+UPPER(VLOOKUP(A422,PPTO!$A$9:$C$52,2,FALSE))</f>
        <v>CANAL DISIPADOR EN CONCRETO DE 4000 PSI (ALTO: 2.0 M, BASE: 2.0M, E=0.2M)</v>
      </c>
      <c r="C422" s="374"/>
      <c r="D422" s="374"/>
      <c r="E422" s="374"/>
      <c r="F422" s="374"/>
      <c r="G422" s="374"/>
      <c r="H422" s="374"/>
      <c r="I422" s="6" t="str">
        <f>+VLOOKUP(A422,PPTO!$A$9:$C$52,3,FALSE)</f>
        <v>ML</v>
      </c>
      <c r="J422" s="6">
        <f>+J433</f>
        <v>160.13999999999999</v>
      </c>
      <c r="K422" s="371"/>
    </row>
    <row r="423" spans="1:11" ht="19.5" customHeight="1" x14ac:dyDescent="0.25">
      <c r="A423" s="96" t="s">
        <v>414</v>
      </c>
      <c r="B423" s="84" t="s">
        <v>415</v>
      </c>
      <c r="C423" s="84" t="s">
        <v>416</v>
      </c>
      <c r="D423" s="84" t="s">
        <v>417</v>
      </c>
      <c r="E423" s="84" t="s">
        <v>418</v>
      </c>
      <c r="F423" s="84" t="s">
        <v>419</v>
      </c>
      <c r="G423" s="84" t="s">
        <v>420</v>
      </c>
      <c r="H423" s="84" t="s">
        <v>421</v>
      </c>
      <c r="I423" s="84" t="s">
        <v>422</v>
      </c>
      <c r="J423" s="84" t="s">
        <v>423</v>
      </c>
      <c r="K423" s="372"/>
    </row>
    <row r="424" spans="1:11" x14ac:dyDescent="0.25">
      <c r="A424" s="85"/>
      <c r="B424" s="85" t="s">
        <v>753</v>
      </c>
      <c r="C424" s="6">
        <f>66.75+52.78</f>
        <v>119.53</v>
      </c>
      <c r="D424" s="6"/>
      <c r="E424" s="6"/>
      <c r="F424" s="6"/>
      <c r="G424" s="6"/>
      <c r="H424" s="6"/>
      <c r="I424" s="6"/>
      <c r="J424" s="6">
        <f>+IF(SUM(C424:I424)=0,"",SUM(C424:I424))</f>
        <v>119.53</v>
      </c>
      <c r="K424" s="372"/>
    </row>
    <row r="425" spans="1:11" x14ac:dyDescent="0.25">
      <c r="A425" s="95"/>
      <c r="B425" s="85" t="s">
        <v>754</v>
      </c>
      <c r="C425" s="85">
        <v>40.61</v>
      </c>
      <c r="D425" s="85"/>
      <c r="E425" s="85"/>
      <c r="F425" s="85"/>
      <c r="G425" s="85"/>
      <c r="H425" s="85"/>
      <c r="I425" s="6"/>
      <c r="J425" s="6">
        <f t="shared" ref="J425:J432" si="51">+IF(SUM(C425:I425)=0,"",SUM(C425:I425))</f>
        <v>40.61</v>
      </c>
      <c r="K425" s="372"/>
    </row>
    <row r="426" spans="1:11" x14ac:dyDescent="0.25">
      <c r="A426" s="95"/>
      <c r="B426" s="85"/>
      <c r="C426" s="85"/>
      <c r="D426" s="85"/>
      <c r="E426" s="85"/>
      <c r="F426" s="85"/>
      <c r="G426" s="85"/>
      <c r="H426" s="85"/>
      <c r="I426" s="6"/>
      <c r="J426" s="6" t="str">
        <f t="shared" si="51"/>
        <v/>
      </c>
      <c r="K426" s="372"/>
    </row>
    <row r="427" spans="1:11" x14ac:dyDescent="0.25">
      <c r="A427" s="95"/>
      <c r="B427" s="85"/>
      <c r="C427" s="85"/>
      <c r="D427" s="85"/>
      <c r="E427" s="85"/>
      <c r="F427" s="85"/>
      <c r="G427" s="85"/>
      <c r="H427" s="85"/>
      <c r="I427" s="6"/>
      <c r="J427" s="6" t="str">
        <f t="shared" si="51"/>
        <v/>
      </c>
      <c r="K427" s="372"/>
    </row>
    <row r="428" spans="1:11" x14ac:dyDescent="0.25">
      <c r="A428" s="95"/>
      <c r="B428" s="85"/>
      <c r="C428" s="85"/>
      <c r="D428" s="85"/>
      <c r="E428" s="85"/>
      <c r="F428" s="85"/>
      <c r="G428" s="85"/>
      <c r="H428" s="85"/>
      <c r="I428" s="6"/>
      <c r="J428" s="6" t="str">
        <f t="shared" si="51"/>
        <v/>
      </c>
      <c r="K428" s="372"/>
    </row>
    <row r="429" spans="1:11" x14ac:dyDescent="0.25">
      <c r="A429" s="95"/>
      <c r="B429" s="85"/>
      <c r="C429" s="85"/>
      <c r="D429" s="85"/>
      <c r="E429" s="85"/>
      <c r="F429" s="85"/>
      <c r="G429" s="85"/>
      <c r="H429" s="85"/>
      <c r="I429" s="6"/>
      <c r="J429" s="6" t="str">
        <f t="shared" si="51"/>
        <v/>
      </c>
      <c r="K429" s="372"/>
    </row>
    <row r="430" spans="1:11" x14ac:dyDescent="0.25">
      <c r="A430" s="95"/>
      <c r="B430" s="85"/>
      <c r="C430" s="85"/>
      <c r="D430" s="85"/>
      <c r="E430" s="85"/>
      <c r="F430" s="85"/>
      <c r="G430" s="85"/>
      <c r="H430" s="85"/>
      <c r="I430" s="6"/>
      <c r="J430" s="6" t="str">
        <f t="shared" si="51"/>
        <v/>
      </c>
      <c r="K430" s="372"/>
    </row>
    <row r="431" spans="1:11" x14ac:dyDescent="0.25">
      <c r="A431" s="95"/>
      <c r="B431" s="85"/>
      <c r="C431" s="85"/>
      <c r="D431" s="85"/>
      <c r="E431" s="85"/>
      <c r="F431" s="85"/>
      <c r="G431" s="85"/>
      <c r="H431" s="85"/>
      <c r="I431" s="6"/>
      <c r="J431" s="6" t="str">
        <f t="shared" si="51"/>
        <v/>
      </c>
      <c r="K431" s="372"/>
    </row>
    <row r="432" spans="1:11" x14ac:dyDescent="0.25">
      <c r="A432" s="95"/>
      <c r="B432" s="85"/>
      <c r="C432" s="85"/>
      <c r="D432" s="85"/>
      <c r="E432" s="85"/>
      <c r="F432" s="85"/>
      <c r="G432" s="85"/>
      <c r="H432" s="85"/>
      <c r="I432" s="6"/>
      <c r="J432" s="6" t="str">
        <f t="shared" si="51"/>
        <v/>
      </c>
      <c r="K432" s="372"/>
    </row>
    <row r="433" spans="1:11" x14ac:dyDescent="0.25">
      <c r="A433" s="369" t="s">
        <v>424</v>
      </c>
      <c r="B433" s="369"/>
      <c r="C433" s="369"/>
      <c r="D433" s="369"/>
      <c r="E433" s="369"/>
      <c r="F433" s="369"/>
      <c r="G433" s="369"/>
      <c r="H433" s="369"/>
      <c r="I433" s="369"/>
      <c r="J433" s="63">
        <f>+SUM(J424:J432)</f>
        <v>160.13999999999999</v>
      </c>
      <c r="K433" s="373"/>
    </row>
    <row r="434" spans="1:11" x14ac:dyDescent="0.25">
      <c r="A434" s="97"/>
      <c r="C434" s="80"/>
      <c r="D434" s="80"/>
      <c r="E434" s="80"/>
      <c r="F434" s="80"/>
      <c r="G434" s="80"/>
      <c r="H434" s="80"/>
    </row>
    <row r="435" spans="1:11" x14ac:dyDescent="0.25">
      <c r="A435" s="87" t="s">
        <v>406</v>
      </c>
      <c r="B435" s="87" t="s">
        <v>737</v>
      </c>
      <c r="C435" s="87"/>
      <c r="D435" s="87"/>
      <c r="E435" s="87"/>
      <c r="F435" s="87"/>
      <c r="G435" s="87"/>
      <c r="H435" s="87"/>
      <c r="I435" s="86"/>
      <c r="J435" s="86"/>
      <c r="K435" s="88"/>
    </row>
    <row r="436" spans="1:11" x14ac:dyDescent="0.25">
      <c r="A436" s="94"/>
      <c r="B436" s="79"/>
      <c r="C436" s="79"/>
      <c r="D436" s="79"/>
      <c r="E436" s="79"/>
      <c r="F436" s="79"/>
      <c r="G436" s="79"/>
      <c r="H436" s="79"/>
      <c r="I436" s="5"/>
      <c r="J436" s="5"/>
    </row>
    <row r="437" spans="1:11" x14ac:dyDescent="0.25">
      <c r="A437" s="89" t="s">
        <v>288</v>
      </c>
      <c r="B437" s="370" t="s">
        <v>706</v>
      </c>
      <c r="C437" s="370"/>
      <c r="D437" s="370"/>
      <c r="E437" s="370"/>
      <c r="F437" s="370"/>
      <c r="G437" s="370"/>
      <c r="H437" s="370"/>
      <c r="I437" s="75" t="s">
        <v>31</v>
      </c>
      <c r="J437" s="75" t="s">
        <v>4</v>
      </c>
      <c r="K437" s="75" t="s">
        <v>413</v>
      </c>
    </row>
    <row r="438" spans="1:11" x14ac:dyDescent="0.25">
      <c r="A438" s="95" t="s">
        <v>407</v>
      </c>
      <c r="B438" s="374" t="e">
        <f>+UPPER(VLOOKUP(A438,PPTO!$A$9:$C$52,2,FALSE))</f>
        <v>#N/A</v>
      </c>
      <c r="C438" s="374"/>
      <c r="D438" s="374"/>
      <c r="E438" s="374"/>
      <c r="F438" s="374"/>
      <c r="G438" s="374"/>
      <c r="H438" s="374"/>
      <c r="I438" s="6" t="e">
        <f>+VLOOKUP(A438,PPTO!$A$9:$C$52,3,FALSE)</f>
        <v>#N/A</v>
      </c>
      <c r="J438" s="6">
        <f>+J449</f>
        <v>1</v>
      </c>
      <c r="K438" s="371"/>
    </row>
    <row r="439" spans="1:11" ht="19.5" customHeight="1" x14ac:dyDescent="0.25">
      <c r="A439" s="96" t="s">
        <v>414</v>
      </c>
      <c r="B439" s="84" t="s">
        <v>415</v>
      </c>
      <c r="C439" s="84" t="s">
        <v>416</v>
      </c>
      <c r="D439" s="84" t="s">
        <v>417</v>
      </c>
      <c r="E439" s="84" t="s">
        <v>418</v>
      </c>
      <c r="F439" s="84" t="s">
        <v>419</v>
      </c>
      <c r="G439" s="84" t="s">
        <v>420</v>
      </c>
      <c r="H439" s="84" t="s">
        <v>421</v>
      </c>
      <c r="I439" s="84" t="s">
        <v>422</v>
      </c>
      <c r="J439" s="84" t="s">
        <v>423</v>
      </c>
      <c r="K439" s="372"/>
    </row>
    <row r="440" spans="1:11" x14ac:dyDescent="0.25">
      <c r="A440" s="85" t="s">
        <v>556</v>
      </c>
      <c r="B440" s="85" t="e">
        <f>+B438</f>
        <v>#N/A</v>
      </c>
      <c r="C440" s="6"/>
      <c r="D440" s="6"/>
      <c r="E440" s="6"/>
      <c r="F440" s="6"/>
      <c r="G440" s="6"/>
      <c r="H440" s="6"/>
      <c r="I440" s="6">
        <v>1</v>
      </c>
      <c r="J440" s="6">
        <f>+IF(SUM(C440:I440)=0,"",SUM(C440:I440))</f>
        <v>1</v>
      </c>
      <c r="K440" s="372"/>
    </row>
    <row r="441" spans="1:11" x14ac:dyDescent="0.25">
      <c r="A441" s="95"/>
      <c r="B441" s="85"/>
      <c r="C441" s="85"/>
      <c r="D441" s="85"/>
      <c r="E441" s="85"/>
      <c r="F441" s="85"/>
      <c r="G441" s="85"/>
      <c r="H441" s="85"/>
      <c r="I441" s="6"/>
      <c r="J441" s="6" t="str">
        <f t="shared" ref="J441:J448" si="52">+IF(SUM(C441:I441)=0,"",SUM(C441:I441))</f>
        <v/>
      </c>
      <c r="K441" s="372"/>
    </row>
    <row r="442" spans="1:11" x14ac:dyDescent="0.25">
      <c r="A442" s="95"/>
      <c r="B442" s="85"/>
      <c r="C442" s="85"/>
      <c r="D442" s="85"/>
      <c r="E442" s="85"/>
      <c r="F442" s="85"/>
      <c r="G442" s="85"/>
      <c r="H442" s="85"/>
      <c r="I442" s="6"/>
      <c r="J442" s="6" t="str">
        <f t="shared" si="52"/>
        <v/>
      </c>
      <c r="K442" s="372"/>
    </row>
    <row r="443" spans="1:11" x14ac:dyDescent="0.25">
      <c r="A443" s="95"/>
      <c r="B443" s="85"/>
      <c r="C443" s="85"/>
      <c r="D443" s="85"/>
      <c r="E443" s="85"/>
      <c r="F443" s="85"/>
      <c r="G443" s="85"/>
      <c r="H443" s="85"/>
      <c r="I443" s="6"/>
      <c r="J443" s="6" t="str">
        <f t="shared" si="52"/>
        <v/>
      </c>
      <c r="K443" s="372"/>
    </row>
    <row r="444" spans="1:11" x14ac:dyDescent="0.25">
      <c r="A444" s="95"/>
      <c r="B444" s="85"/>
      <c r="C444" s="85"/>
      <c r="D444" s="85"/>
      <c r="E444" s="85"/>
      <c r="F444" s="85"/>
      <c r="G444" s="85"/>
      <c r="H444" s="85"/>
      <c r="I444" s="6"/>
      <c r="J444" s="6" t="str">
        <f t="shared" si="52"/>
        <v/>
      </c>
      <c r="K444" s="372"/>
    </row>
    <row r="445" spans="1:11" x14ac:dyDescent="0.25">
      <c r="A445" s="95"/>
      <c r="B445" s="85"/>
      <c r="C445" s="85"/>
      <c r="D445" s="85"/>
      <c r="E445" s="85"/>
      <c r="F445" s="85"/>
      <c r="G445" s="85"/>
      <c r="H445" s="85"/>
      <c r="I445" s="6"/>
      <c r="J445" s="6" t="str">
        <f t="shared" si="52"/>
        <v/>
      </c>
      <c r="K445" s="372"/>
    </row>
    <row r="446" spans="1:11" x14ac:dyDescent="0.25">
      <c r="A446" s="95"/>
      <c r="B446" s="85"/>
      <c r="C446" s="85"/>
      <c r="D446" s="85"/>
      <c r="E446" s="85"/>
      <c r="F446" s="85"/>
      <c r="G446" s="85"/>
      <c r="H446" s="85"/>
      <c r="I446" s="6"/>
      <c r="J446" s="6" t="str">
        <f t="shared" si="52"/>
        <v/>
      </c>
      <c r="K446" s="372"/>
    </row>
    <row r="447" spans="1:11" x14ac:dyDescent="0.25">
      <c r="A447" s="95"/>
      <c r="B447" s="85"/>
      <c r="C447" s="85"/>
      <c r="D447" s="85"/>
      <c r="E447" s="85"/>
      <c r="F447" s="85"/>
      <c r="G447" s="85"/>
      <c r="H447" s="85"/>
      <c r="I447" s="6"/>
      <c r="J447" s="6" t="str">
        <f t="shared" si="52"/>
        <v/>
      </c>
      <c r="K447" s="372"/>
    </row>
    <row r="448" spans="1:11" x14ac:dyDescent="0.25">
      <c r="A448" s="95"/>
      <c r="B448" s="85"/>
      <c r="C448" s="85"/>
      <c r="D448" s="85"/>
      <c r="E448" s="85"/>
      <c r="F448" s="85"/>
      <c r="G448" s="85"/>
      <c r="H448" s="85"/>
      <c r="I448" s="6"/>
      <c r="J448" s="6" t="str">
        <f t="shared" si="52"/>
        <v/>
      </c>
      <c r="K448" s="372"/>
    </row>
    <row r="449" spans="1:11" x14ac:dyDescent="0.25">
      <c r="A449" s="369" t="s">
        <v>424</v>
      </c>
      <c r="B449" s="369"/>
      <c r="C449" s="369"/>
      <c r="D449" s="369"/>
      <c r="E449" s="369"/>
      <c r="F449" s="369"/>
      <c r="G449" s="369"/>
      <c r="H449" s="369"/>
      <c r="I449" s="369"/>
      <c r="J449" s="63">
        <f>+SUM(J440:J448)</f>
        <v>1</v>
      </c>
      <c r="K449" s="373"/>
    </row>
    <row r="450" spans="1:11" x14ac:dyDescent="0.25">
      <c r="A450" s="89" t="s">
        <v>288</v>
      </c>
      <c r="B450" s="370" t="s">
        <v>706</v>
      </c>
      <c r="C450" s="370"/>
      <c r="D450" s="370"/>
      <c r="E450" s="370"/>
      <c r="F450" s="370"/>
      <c r="G450" s="370"/>
      <c r="H450" s="370"/>
      <c r="I450" s="75" t="s">
        <v>31</v>
      </c>
      <c r="J450" s="75" t="s">
        <v>4</v>
      </c>
      <c r="K450" s="75" t="s">
        <v>413</v>
      </c>
    </row>
    <row r="451" spans="1:11" x14ac:dyDescent="0.25">
      <c r="A451" s="95" t="s">
        <v>408</v>
      </c>
      <c r="B451" s="374" t="e">
        <f>+UPPER(VLOOKUP(A451,PPTO!$A$9:$C$52,2,FALSE))</f>
        <v>#N/A</v>
      </c>
      <c r="C451" s="374"/>
      <c r="D451" s="374"/>
      <c r="E451" s="374"/>
      <c r="F451" s="374"/>
      <c r="G451" s="374"/>
      <c r="H451" s="374"/>
      <c r="I451" s="6" t="e">
        <f>+VLOOKUP(A451,PPTO!$A$9:$C$52,3,FALSE)</f>
        <v>#N/A</v>
      </c>
      <c r="J451" s="6">
        <f>+J462</f>
        <v>1</v>
      </c>
      <c r="K451" s="371"/>
    </row>
    <row r="452" spans="1:11" ht="25.5" x14ac:dyDescent="0.25">
      <c r="A452" s="96" t="s">
        <v>414</v>
      </c>
      <c r="B452" s="84" t="s">
        <v>415</v>
      </c>
      <c r="C452" s="84" t="s">
        <v>416</v>
      </c>
      <c r="D452" s="84" t="s">
        <v>417</v>
      </c>
      <c r="E452" s="84" t="s">
        <v>418</v>
      </c>
      <c r="F452" s="84" t="s">
        <v>419</v>
      </c>
      <c r="G452" s="84" t="s">
        <v>420</v>
      </c>
      <c r="H452" s="84" t="s">
        <v>421</v>
      </c>
      <c r="I452" s="84" t="s">
        <v>422</v>
      </c>
      <c r="J452" s="84" t="s">
        <v>423</v>
      </c>
      <c r="K452" s="372"/>
    </row>
    <row r="453" spans="1:11" x14ac:dyDescent="0.25">
      <c r="A453" s="85" t="s">
        <v>556</v>
      </c>
      <c r="B453" s="85" t="s">
        <v>596</v>
      </c>
      <c r="C453" s="6"/>
      <c r="D453" s="6"/>
      <c r="E453" s="6"/>
      <c r="F453" s="6"/>
      <c r="G453" s="6"/>
      <c r="H453" s="6"/>
      <c r="I453" s="6">
        <v>1</v>
      </c>
      <c r="J453" s="6">
        <f>+IF(SUM(C453:I453)=0,"",SUM(C453:I453))</f>
        <v>1</v>
      </c>
      <c r="K453" s="372"/>
    </row>
    <row r="454" spans="1:11" x14ac:dyDescent="0.25">
      <c r="A454" s="95"/>
      <c r="B454" s="85"/>
      <c r="C454" s="85"/>
      <c r="D454" s="85"/>
      <c r="E454" s="85"/>
      <c r="F454" s="85"/>
      <c r="G454" s="85"/>
      <c r="H454" s="85"/>
      <c r="I454" s="6"/>
      <c r="J454" s="6" t="str">
        <f t="shared" ref="J454:J461" si="53">+IF(SUM(C454:I454)=0,"",SUM(C454:I454))</f>
        <v/>
      </c>
      <c r="K454" s="372"/>
    </row>
    <row r="455" spans="1:11" x14ac:dyDescent="0.25">
      <c r="A455" s="95"/>
      <c r="B455" s="85"/>
      <c r="C455" s="85"/>
      <c r="D455" s="85"/>
      <c r="E455" s="85"/>
      <c r="F455" s="85"/>
      <c r="G455" s="85"/>
      <c r="H455" s="85"/>
      <c r="I455" s="6"/>
      <c r="J455" s="6" t="str">
        <f t="shared" si="53"/>
        <v/>
      </c>
      <c r="K455" s="372"/>
    </row>
    <row r="456" spans="1:11" x14ac:dyDescent="0.25">
      <c r="A456" s="95"/>
      <c r="B456" s="85"/>
      <c r="C456" s="85"/>
      <c r="D456" s="85"/>
      <c r="E456" s="85"/>
      <c r="F456" s="85"/>
      <c r="G456" s="85"/>
      <c r="H456" s="85"/>
      <c r="I456" s="6"/>
      <c r="J456" s="6" t="str">
        <f t="shared" si="53"/>
        <v/>
      </c>
      <c r="K456" s="372"/>
    </row>
    <row r="457" spans="1:11" x14ac:dyDescent="0.25">
      <c r="A457" s="95"/>
      <c r="B457" s="85"/>
      <c r="C457" s="85"/>
      <c r="D457" s="85"/>
      <c r="E457" s="85"/>
      <c r="F457" s="85"/>
      <c r="G457" s="85"/>
      <c r="H457" s="85"/>
      <c r="I457" s="6"/>
      <c r="J457" s="6" t="str">
        <f t="shared" si="53"/>
        <v/>
      </c>
      <c r="K457" s="372"/>
    </row>
    <row r="458" spans="1:11" x14ac:dyDescent="0.25">
      <c r="A458" s="95"/>
      <c r="B458" s="85"/>
      <c r="C458" s="85"/>
      <c r="D458" s="85"/>
      <c r="E458" s="85"/>
      <c r="F458" s="85"/>
      <c r="G458" s="85"/>
      <c r="H458" s="85"/>
      <c r="I458" s="6"/>
      <c r="J458" s="6" t="str">
        <f t="shared" si="53"/>
        <v/>
      </c>
      <c r="K458" s="372"/>
    </row>
    <row r="459" spans="1:11" x14ac:dyDescent="0.25">
      <c r="A459" s="95"/>
      <c r="B459" s="85"/>
      <c r="C459" s="85"/>
      <c r="D459" s="85"/>
      <c r="E459" s="85"/>
      <c r="F459" s="85"/>
      <c r="G459" s="85"/>
      <c r="H459" s="85"/>
      <c r="I459" s="6"/>
      <c r="J459" s="6" t="str">
        <f t="shared" si="53"/>
        <v/>
      </c>
      <c r="K459" s="372"/>
    </row>
    <row r="460" spans="1:11" x14ac:dyDescent="0.25">
      <c r="A460" s="95"/>
      <c r="B460" s="85"/>
      <c r="C460" s="85"/>
      <c r="D460" s="85"/>
      <c r="E460" s="85"/>
      <c r="F460" s="85"/>
      <c r="G460" s="85"/>
      <c r="H460" s="85"/>
      <c r="I460" s="6"/>
      <c r="J460" s="6" t="str">
        <f t="shared" si="53"/>
        <v/>
      </c>
      <c r="K460" s="372"/>
    </row>
    <row r="461" spans="1:11" x14ac:dyDescent="0.25">
      <c r="A461" s="95"/>
      <c r="B461" s="85"/>
      <c r="C461" s="85"/>
      <c r="D461" s="85"/>
      <c r="E461" s="85"/>
      <c r="F461" s="85"/>
      <c r="G461" s="85"/>
      <c r="H461" s="85"/>
      <c r="I461" s="6"/>
      <c r="J461" s="6" t="str">
        <f t="shared" si="53"/>
        <v/>
      </c>
      <c r="K461" s="372"/>
    </row>
    <row r="462" spans="1:11" x14ac:dyDescent="0.25">
      <c r="A462" s="369" t="s">
        <v>424</v>
      </c>
      <c r="B462" s="369"/>
      <c r="C462" s="369"/>
      <c r="D462" s="369"/>
      <c r="E462" s="369"/>
      <c r="F462" s="369"/>
      <c r="G462" s="369"/>
      <c r="H462" s="369"/>
      <c r="I462" s="369"/>
      <c r="J462" s="63">
        <f>+SUM(J453:J461)</f>
        <v>1</v>
      </c>
      <c r="K462" s="373"/>
    </row>
  </sheetData>
  <mergeCells count="139">
    <mergeCell ref="B214:G214"/>
    <mergeCell ref="K146:K157"/>
    <mergeCell ref="B187:H187"/>
    <mergeCell ref="B200:H200"/>
    <mergeCell ref="A173:I173"/>
    <mergeCell ref="A186:I186"/>
    <mergeCell ref="A199:I199"/>
    <mergeCell ref="A2:A3"/>
    <mergeCell ref="B3:J3"/>
    <mergeCell ref="B2:J2"/>
    <mergeCell ref="B7:H7"/>
    <mergeCell ref="B8:H8"/>
    <mergeCell ref="B21:H21"/>
    <mergeCell ref="B90:H90"/>
    <mergeCell ref="B77:H77"/>
    <mergeCell ref="B64:H64"/>
    <mergeCell ref="B47:H47"/>
    <mergeCell ref="B34:H34"/>
    <mergeCell ref="A19:I19"/>
    <mergeCell ref="A32:I32"/>
    <mergeCell ref="A45:I45"/>
    <mergeCell ref="B46:H46"/>
    <mergeCell ref="B63:H63"/>
    <mergeCell ref="A62:I62"/>
    <mergeCell ref="K8:K19"/>
    <mergeCell ref="K21:K32"/>
    <mergeCell ref="K34:K45"/>
    <mergeCell ref="K47:K62"/>
    <mergeCell ref="B161:H161"/>
    <mergeCell ref="B174:H174"/>
    <mergeCell ref="B162:H162"/>
    <mergeCell ref="B132:H132"/>
    <mergeCell ref="K90:K101"/>
    <mergeCell ref="K77:K88"/>
    <mergeCell ref="K64:K75"/>
    <mergeCell ref="A101:I101"/>
    <mergeCell ref="A144:I144"/>
    <mergeCell ref="B106:H106"/>
    <mergeCell ref="B20:H20"/>
    <mergeCell ref="A118:I118"/>
    <mergeCell ref="A131:I131"/>
    <mergeCell ref="B33:H33"/>
    <mergeCell ref="A75:I75"/>
    <mergeCell ref="B294:H294"/>
    <mergeCell ref="A306:I306"/>
    <mergeCell ref="B146:H146"/>
    <mergeCell ref="B133:H133"/>
    <mergeCell ref="B159:G159"/>
    <mergeCell ref="B201:H201"/>
    <mergeCell ref="B188:H188"/>
    <mergeCell ref="B175:H175"/>
    <mergeCell ref="B76:H76"/>
    <mergeCell ref="B89:H89"/>
    <mergeCell ref="B119:H119"/>
    <mergeCell ref="B120:H120"/>
    <mergeCell ref="B107:H107"/>
    <mergeCell ref="B145:H145"/>
    <mergeCell ref="A157:I157"/>
    <mergeCell ref="A88:I88"/>
    <mergeCell ref="A212:I212"/>
    <mergeCell ref="B216:H216"/>
    <mergeCell ref="B229:H229"/>
    <mergeCell ref="A228:I228"/>
    <mergeCell ref="A241:I241"/>
    <mergeCell ref="A254:I254"/>
    <mergeCell ref="A280:I280"/>
    <mergeCell ref="B256:H256"/>
    <mergeCell ref="B422:H422"/>
    <mergeCell ref="K120:K131"/>
    <mergeCell ref="B102:H102"/>
    <mergeCell ref="K107:K118"/>
    <mergeCell ref="K282:K293"/>
    <mergeCell ref="K295:K306"/>
    <mergeCell ref="K133:K144"/>
    <mergeCell ref="K162:K173"/>
    <mergeCell ref="K175:K186"/>
    <mergeCell ref="K188:K199"/>
    <mergeCell ref="K201:K212"/>
    <mergeCell ref="A293:I293"/>
    <mergeCell ref="B242:H242"/>
    <mergeCell ref="B217:H217"/>
    <mergeCell ref="B255:H255"/>
    <mergeCell ref="B243:H243"/>
    <mergeCell ref="B230:H230"/>
    <mergeCell ref="B268:H268"/>
    <mergeCell ref="B281:H281"/>
    <mergeCell ref="B295:H295"/>
    <mergeCell ref="B282:H282"/>
    <mergeCell ref="B269:H269"/>
    <mergeCell ref="K217:K228"/>
    <mergeCell ref="K230:K241"/>
    <mergeCell ref="A378:I378"/>
    <mergeCell ref="K354:K365"/>
    <mergeCell ref="K367:K378"/>
    <mergeCell ref="B367:H367"/>
    <mergeCell ref="B354:H354"/>
    <mergeCell ref="B382:H382"/>
    <mergeCell ref="B395:H395"/>
    <mergeCell ref="K243:K254"/>
    <mergeCell ref="K256:K267"/>
    <mergeCell ref="K269:K280"/>
    <mergeCell ref="K311:K322"/>
    <mergeCell ref="K324:K335"/>
    <mergeCell ref="K337:K349"/>
    <mergeCell ref="B337:H337"/>
    <mergeCell ref="B324:H324"/>
    <mergeCell ref="B353:H353"/>
    <mergeCell ref="B310:H310"/>
    <mergeCell ref="B323:H323"/>
    <mergeCell ref="B336:H336"/>
    <mergeCell ref="A322:I322"/>
    <mergeCell ref="A335:I335"/>
    <mergeCell ref="A349:I349"/>
    <mergeCell ref="B311:H311"/>
    <mergeCell ref="A267:I267"/>
    <mergeCell ref="A433:I433"/>
    <mergeCell ref="B421:H421"/>
    <mergeCell ref="K422:K433"/>
    <mergeCell ref="B450:H450"/>
    <mergeCell ref="B451:H451"/>
    <mergeCell ref="K451:K462"/>
    <mergeCell ref="A462:I462"/>
    <mergeCell ref="K2:K3"/>
    <mergeCell ref="K438:K449"/>
    <mergeCell ref="B437:H437"/>
    <mergeCell ref="A449:I449"/>
    <mergeCell ref="B438:H438"/>
    <mergeCell ref="B408:H408"/>
    <mergeCell ref="B396:H396"/>
    <mergeCell ref="B383:H383"/>
    <mergeCell ref="A394:I394"/>
    <mergeCell ref="A407:I407"/>
    <mergeCell ref="K383:K394"/>
    <mergeCell ref="K396:K407"/>
    <mergeCell ref="K409:K420"/>
    <mergeCell ref="A420:I420"/>
    <mergeCell ref="B409:H409"/>
    <mergeCell ref="B366:H366"/>
    <mergeCell ref="A365:I365"/>
  </mergeCells>
  <phoneticPr fontId="3" type="noConversion"/>
  <hyperlinks>
    <hyperlink ref="A217" location="'4.01'!A1" display="4.01" xr:uid="{00000000-0004-0000-0500-000000000000}"/>
    <hyperlink ref="A311" location="'5.01'!A1" display="5.01" xr:uid="{00000000-0004-0000-0500-000001000000}"/>
    <hyperlink ref="A354" location="'6.01'!A1" display="6.01" xr:uid="{00000000-0004-0000-0500-000002000000}"/>
    <hyperlink ref="A383" location="'7.01'!A1" display="7.01" xr:uid="{00000000-0004-0000-0500-000003000000}"/>
    <hyperlink ref="A438" location="'9.01'!A1" display="9.01" xr:uid="{00000000-0004-0000-0500-000004000000}"/>
    <hyperlink ref="A8" location="'1.00'!A1" display="1.00" xr:uid="{00000000-0004-0000-0500-000005000000}"/>
    <hyperlink ref="A21" location="'1.01'!A1" display="1.01" xr:uid="{00000000-0004-0000-0500-000006000000}"/>
    <hyperlink ref="A34" location="'1.02'!A1" display="1.02" xr:uid="{00000000-0004-0000-0500-000007000000}"/>
    <hyperlink ref="A47" location="'1.04'!A1" display="1.04" xr:uid="{00000000-0004-0000-0500-000008000000}"/>
    <hyperlink ref="A64" location="'1.05'!A1" display="1.05" xr:uid="{00000000-0004-0000-0500-000009000000}"/>
    <hyperlink ref="A77" location="'1.06'!A1" display="1.06" xr:uid="{00000000-0004-0000-0500-00000A000000}"/>
    <hyperlink ref="A90" location="'1.07'!A1" display="1.07" xr:uid="{00000000-0004-0000-0500-00000B000000}"/>
    <hyperlink ref="A107" location="'2.03'!A1" display="2.03" xr:uid="{00000000-0004-0000-0500-00000C000000}"/>
    <hyperlink ref="A120" location="'2.06'!A1" display="2.06" xr:uid="{00000000-0004-0000-0500-00000D000000}"/>
    <hyperlink ref="A133" location="'2.08'!A1" display="2.08" xr:uid="{00000000-0004-0000-0500-00000E000000}"/>
    <hyperlink ref="A162" location="'3.04'!A1" display="3.04" xr:uid="{00000000-0004-0000-0500-00000F000000}"/>
    <hyperlink ref="A175" location="'3.06'!A1" display="3.06" xr:uid="{00000000-0004-0000-0500-000010000000}"/>
    <hyperlink ref="A201" location="'3.09'!A1" display="3.09" xr:uid="{00000000-0004-0000-0500-000011000000}"/>
    <hyperlink ref="A230" location="'4.02'!A1" display="4.02" xr:uid="{00000000-0004-0000-0500-000012000000}"/>
    <hyperlink ref="A243" location="'4.03'!A1" display="4.03" xr:uid="{00000000-0004-0000-0500-000013000000}"/>
    <hyperlink ref="A256" location="'4.04'!A1" display="4.04" xr:uid="{00000000-0004-0000-0500-000014000000}"/>
    <hyperlink ref="A269" location="'4.05'!A1" display="4.05" xr:uid="{00000000-0004-0000-0500-000015000000}"/>
    <hyperlink ref="A282" location="'4.07'!A1" display="4.07" xr:uid="{00000000-0004-0000-0500-000016000000}"/>
    <hyperlink ref="A295" location="'4.08'!A1" display="4.08" xr:uid="{00000000-0004-0000-0500-000017000000}"/>
    <hyperlink ref="A324" location="'5.02'!A1" display="5.02" xr:uid="{00000000-0004-0000-0500-000018000000}"/>
    <hyperlink ref="A337" location="'5.03'!A1" display="5.03" xr:uid="{00000000-0004-0000-0500-000019000000}"/>
    <hyperlink ref="A367" location="'6.02'!A1" display="6.02" xr:uid="{00000000-0004-0000-0500-00001A000000}"/>
    <hyperlink ref="A396" location="'7.03'!A1" display="7.03" xr:uid="{00000000-0004-0000-0500-00001B000000}"/>
    <hyperlink ref="A409" location="'7.06'!A1" display="7.06" xr:uid="{00000000-0004-0000-0500-00001C000000}"/>
    <hyperlink ref="A422" location="'7.17'!A1" display="7.17" xr:uid="{00000000-0004-0000-0500-00001D000000}"/>
    <hyperlink ref="A451" location="'9.01'!A1" display="9.01" xr:uid="{00000000-0004-0000-0500-00001E000000}"/>
    <hyperlink ref="A146" location="'2.09'!A1" display="2.09" xr:uid="{00000000-0004-0000-0500-00001F000000}"/>
    <hyperlink ref="A188" location="'3.08'!A1" display="3.08" xr:uid="{00000000-0004-0000-0500-000020000000}"/>
  </hyperlinks>
  <printOptions horizontalCentered="1"/>
  <pageMargins left="0.7" right="0.7" top="0.75" bottom="0.75" header="0.3" footer="0.3"/>
  <pageSetup scale="49" fitToHeight="0" orientation="portrait" r:id="rId1"/>
  <headerFooter>
    <oddFooter>&amp;CPagina &amp;P de &amp;N</oddFooter>
  </headerFooter>
  <rowBreaks count="4" manualBreakCount="4">
    <brk id="101" max="10" man="1"/>
    <brk id="186" max="10" man="1"/>
    <brk id="280" max="10" man="1"/>
    <brk id="379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"/>
  <dimension ref="C1:AK235"/>
  <sheetViews>
    <sheetView showGridLines="0" view="pageBreakPreview" topLeftCell="A34" zoomScaleNormal="100" zoomScaleSheetLayoutView="100" workbookViewId="0">
      <selection activeCell="I58" sqref="I58"/>
    </sheetView>
  </sheetViews>
  <sheetFormatPr baseColWidth="10" defaultColWidth="11.42578125" defaultRowHeight="12.75" x14ac:dyDescent="0.25"/>
  <cols>
    <col min="1" max="1" width="8" style="99" customWidth="1"/>
    <col min="2" max="2" width="17.140625" style="99" customWidth="1"/>
    <col min="3" max="3" width="16" style="99" customWidth="1"/>
    <col min="4" max="4" width="15.42578125" style="99" customWidth="1"/>
    <col min="5" max="5" width="15" style="99" customWidth="1"/>
    <col min="6" max="6" width="13.5703125" style="99" customWidth="1"/>
    <col min="7" max="7" width="13.85546875" style="99" customWidth="1"/>
    <col min="8" max="8" width="11.42578125" style="99"/>
    <col min="9" max="9" width="25.85546875" style="99" bestFit="1" customWidth="1"/>
    <col min="10" max="10" width="18.140625" style="99" customWidth="1"/>
    <col min="11" max="11" width="18.5703125" style="99" customWidth="1"/>
    <col min="12" max="12" width="14.140625" style="99" customWidth="1"/>
    <col min="13" max="13" width="19.140625" style="99" customWidth="1"/>
    <col min="14" max="14" width="15.28515625" style="99" customWidth="1"/>
    <col min="15" max="15" width="12.7109375" style="99" customWidth="1"/>
    <col min="16" max="16" width="13.28515625" style="99" customWidth="1"/>
    <col min="17" max="17" width="11.42578125" style="99"/>
    <col min="18" max="18" width="14.85546875" style="99" customWidth="1"/>
    <col min="19" max="20" width="9.140625" style="99" customWidth="1"/>
    <col min="21" max="21" width="10.7109375" style="99" customWidth="1"/>
    <col min="22" max="22" width="12.7109375" style="99" customWidth="1"/>
    <col min="23" max="23" width="6.28515625" style="99" customWidth="1"/>
    <col min="24" max="25" width="7.42578125" style="99" customWidth="1"/>
    <col min="26" max="26" width="8.140625" style="99" customWidth="1"/>
    <col min="27" max="27" width="9" style="99" customWidth="1"/>
    <col min="28" max="28" width="9.140625" style="99" customWidth="1"/>
    <col min="29" max="29" width="11.7109375" style="99" customWidth="1"/>
    <col min="30" max="32" width="13.28515625" style="99" customWidth="1"/>
    <col min="33" max="33" width="17" style="99" customWidth="1"/>
    <col min="34" max="16384" width="11.42578125" style="99"/>
  </cols>
  <sheetData>
    <row r="1" spans="3:13" x14ac:dyDescent="0.25">
      <c r="C1" s="98"/>
    </row>
    <row r="2" spans="3:13" x14ac:dyDescent="0.25">
      <c r="C2" s="135" t="s">
        <v>637</v>
      </c>
      <c r="D2" s="135"/>
    </row>
    <row r="3" spans="3:13" x14ac:dyDescent="0.25">
      <c r="C3" s="124" t="s">
        <v>561</v>
      </c>
      <c r="D3" s="124" t="s">
        <v>562</v>
      </c>
    </row>
    <row r="4" spans="3:13" x14ac:dyDescent="0.25">
      <c r="C4" s="133" t="s">
        <v>741</v>
      </c>
      <c r="D4" s="134">
        <v>562.79999999999995</v>
      </c>
    </row>
    <row r="5" spans="3:13" x14ac:dyDescent="0.25">
      <c r="C5" s="133" t="s">
        <v>742</v>
      </c>
      <c r="D5" s="134">
        <v>798.81</v>
      </c>
    </row>
    <row r="6" spans="3:13" x14ac:dyDescent="0.25">
      <c r="C6" s="133" t="s">
        <v>743</v>
      </c>
      <c r="D6" s="134">
        <v>52.73</v>
      </c>
    </row>
    <row r="7" spans="3:13" ht="25.5" x14ac:dyDescent="0.25">
      <c r="C7" s="133" t="s">
        <v>744</v>
      </c>
      <c r="D7" s="134">
        <v>66.75</v>
      </c>
      <c r="F7" s="148" t="s">
        <v>632</v>
      </c>
      <c r="G7" s="125">
        <v>0</v>
      </c>
      <c r="H7" s="102" t="s">
        <v>633</v>
      </c>
      <c r="I7" s="125">
        <v>0</v>
      </c>
      <c r="J7" s="102" t="s">
        <v>710</v>
      </c>
      <c r="K7" s="125">
        <v>0</v>
      </c>
      <c r="L7" s="102" t="s">
        <v>634</v>
      </c>
      <c r="M7" s="125">
        <v>0</v>
      </c>
    </row>
    <row r="8" spans="3:13" x14ac:dyDescent="0.25">
      <c r="C8" s="133" t="s">
        <v>755</v>
      </c>
      <c r="D8" s="134">
        <v>1235.68</v>
      </c>
      <c r="F8" s="159"/>
      <c r="G8" s="160"/>
      <c r="H8" s="98"/>
      <c r="I8" s="160"/>
      <c r="J8" s="98"/>
      <c r="K8" s="160"/>
      <c r="L8" s="98"/>
      <c r="M8" s="160"/>
    </row>
    <row r="9" spans="3:13" x14ac:dyDescent="0.25">
      <c r="C9" s="133" t="s">
        <v>756</v>
      </c>
      <c r="D9" s="134">
        <v>40.61</v>
      </c>
      <c r="F9" s="159"/>
      <c r="G9" s="160"/>
      <c r="H9" s="98"/>
      <c r="I9" s="160"/>
      <c r="J9" s="98"/>
      <c r="K9" s="160"/>
      <c r="L9" s="98"/>
      <c r="M9" s="160"/>
    </row>
    <row r="10" spans="3:13" x14ac:dyDescent="0.25">
      <c r="C10" s="133" t="s">
        <v>784</v>
      </c>
      <c r="D10" s="125">
        <v>1556.69</v>
      </c>
    </row>
    <row r="11" spans="3:13" x14ac:dyDescent="0.25">
      <c r="C11" s="98"/>
    </row>
    <row r="12" spans="3:13" ht="12.75" customHeight="1" x14ac:dyDescent="0.25">
      <c r="C12" s="135" t="s">
        <v>638</v>
      </c>
      <c r="D12" s="135"/>
    </row>
    <row r="13" spans="3:13" ht="38.25" x14ac:dyDescent="0.25">
      <c r="C13" s="124" t="s">
        <v>427</v>
      </c>
      <c r="D13" s="124" t="s">
        <v>428</v>
      </c>
      <c r="E13" s="124" t="s">
        <v>429</v>
      </c>
      <c r="F13" s="124" t="s">
        <v>430</v>
      </c>
      <c r="G13" s="124" t="s">
        <v>629</v>
      </c>
      <c r="H13" s="124" t="s">
        <v>630</v>
      </c>
      <c r="I13" s="124" t="s">
        <v>631</v>
      </c>
    </row>
    <row r="14" spans="3:13" x14ac:dyDescent="0.25">
      <c r="C14" s="102" t="str">
        <f>+C4</f>
        <v>Poligono 1</v>
      </c>
      <c r="D14" s="103">
        <f t="shared" ref="D14:D20" si="0">D4</f>
        <v>562.79999999999995</v>
      </c>
      <c r="E14" s="103">
        <v>4.0000000000000001E-3</v>
      </c>
      <c r="F14" s="103">
        <f>ROUND(+E14*D14,1)</f>
        <v>2.2999999999999998</v>
      </c>
      <c r="G14" s="103">
        <f t="shared" ref="G14:G20" si="1">+D4</f>
        <v>562.79999999999995</v>
      </c>
      <c r="H14" s="103">
        <v>0.15</v>
      </c>
      <c r="I14" s="103">
        <f>ROUND(+G14*H14,1)</f>
        <v>84.4</v>
      </c>
    </row>
    <row r="15" spans="3:13" x14ac:dyDescent="0.25">
      <c r="C15" s="102" t="str">
        <f>+C5</f>
        <v>Poligono 2</v>
      </c>
      <c r="D15" s="103">
        <f t="shared" si="0"/>
        <v>798.81</v>
      </c>
      <c r="E15" s="103">
        <v>4.0000000000000001E-3</v>
      </c>
      <c r="F15" s="103">
        <f>ROUND(+E15*D15,1)</f>
        <v>3.2</v>
      </c>
      <c r="G15" s="103">
        <f t="shared" si="1"/>
        <v>798.81</v>
      </c>
      <c r="H15" s="103">
        <v>0.15</v>
      </c>
      <c r="I15" s="103">
        <f t="shared" ref="I15:I16" si="2">ROUND(+G15*H15,1)</f>
        <v>119.8</v>
      </c>
    </row>
    <row r="16" spans="3:13" x14ac:dyDescent="0.25">
      <c r="C16" s="102" t="str">
        <f>+C6</f>
        <v>Disipador 1</v>
      </c>
      <c r="D16" s="103">
        <f t="shared" si="0"/>
        <v>52.73</v>
      </c>
      <c r="E16" s="103">
        <v>4.0000000000000001E-3</v>
      </c>
      <c r="F16" s="103">
        <f>ROUND(+E16*D16,1)</f>
        <v>0.2</v>
      </c>
      <c r="G16" s="103">
        <f t="shared" si="1"/>
        <v>52.73</v>
      </c>
      <c r="H16" s="103">
        <v>0.15</v>
      </c>
      <c r="I16" s="103">
        <f t="shared" si="2"/>
        <v>7.9</v>
      </c>
    </row>
    <row r="17" spans="3:14" x14ac:dyDescent="0.25">
      <c r="C17" s="102" t="str">
        <f t="shared" ref="C17" si="3">+C7</f>
        <v>Disipador 2</v>
      </c>
      <c r="D17" s="103">
        <f t="shared" si="0"/>
        <v>66.75</v>
      </c>
      <c r="E17" s="103">
        <v>4.0000000000000001E-3</v>
      </c>
      <c r="F17" s="103">
        <f>ROUND(+E17*D17,1)</f>
        <v>0.3</v>
      </c>
      <c r="G17" s="103">
        <f t="shared" si="1"/>
        <v>66.75</v>
      </c>
      <c r="H17" s="103">
        <v>0.15</v>
      </c>
      <c r="I17" s="103">
        <f t="shared" ref="I17:I19" si="4">ROUND(+G17*H17,1)</f>
        <v>10</v>
      </c>
    </row>
    <row r="18" spans="3:14" x14ac:dyDescent="0.25">
      <c r="C18" s="102" t="s">
        <v>755</v>
      </c>
      <c r="D18" s="103">
        <f t="shared" si="0"/>
        <v>1235.68</v>
      </c>
      <c r="E18" s="103">
        <v>4.0000000000000001E-3</v>
      </c>
      <c r="F18" s="103">
        <f t="shared" ref="F18:F20" si="5">ROUND(+E18*D18,1)</f>
        <v>4.9000000000000004</v>
      </c>
      <c r="G18" s="103">
        <f t="shared" si="1"/>
        <v>1235.68</v>
      </c>
      <c r="H18" s="103">
        <v>0.15</v>
      </c>
      <c r="I18" s="103">
        <f t="shared" si="4"/>
        <v>185.4</v>
      </c>
    </row>
    <row r="19" spans="3:14" x14ac:dyDescent="0.25">
      <c r="C19" s="102" t="s">
        <v>756</v>
      </c>
      <c r="D19" s="103">
        <f t="shared" si="0"/>
        <v>40.61</v>
      </c>
      <c r="E19" s="103">
        <v>4.0000000000000001E-3</v>
      </c>
      <c r="F19" s="103">
        <f t="shared" si="5"/>
        <v>0.2</v>
      </c>
      <c r="G19" s="103">
        <f t="shared" si="1"/>
        <v>40.61</v>
      </c>
      <c r="H19" s="103">
        <v>0.15</v>
      </c>
      <c r="I19" s="103">
        <f t="shared" si="4"/>
        <v>6.1</v>
      </c>
    </row>
    <row r="20" spans="3:14" x14ac:dyDescent="0.25">
      <c r="C20" s="102" t="s">
        <v>784</v>
      </c>
      <c r="D20" s="103">
        <f t="shared" si="0"/>
        <v>1556.69</v>
      </c>
      <c r="E20" s="103">
        <v>4.0000000000000001E-3</v>
      </c>
      <c r="F20" s="103">
        <f t="shared" si="5"/>
        <v>6.2</v>
      </c>
      <c r="G20" s="103">
        <f t="shared" si="1"/>
        <v>1556.69</v>
      </c>
      <c r="H20" s="103">
        <v>0.15</v>
      </c>
      <c r="I20" s="103">
        <f t="shared" ref="I20" si="6">ROUND(+G20*H20,1)</f>
        <v>233.5</v>
      </c>
    </row>
    <row r="21" spans="3:14" x14ac:dyDescent="0.25">
      <c r="C21" s="98"/>
    </row>
    <row r="22" spans="3:14" x14ac:dyDescent="0.25">
      <c r="C22" s="98"/>
    </row>
    <row r="23" spans="3:14" x14ac:dyDescent="0.25">
      <c r="C23" s="100" t="s">
        <v>672</v>
      </c>
    </row>
    <row r="24" spans="3:14" ht="38.25" customHeight="1" x14ac:dyDescent="0.25">
      <c r="C24" s="139" t="s">
        <v>414</v>
      </c>
      <c r="D24" s="139" t="s">
        <v>660</v>
      </c>
      <c r="E24" s="139" t="s">
        <v>664</v>
      </c>
      <c r="F24" s="139" t="s">
        <v>663</v>
      </c>
      <c r="G24" s="139" t="s">
        <v>665</v>
      </c>
      <c r="H24" s="139" t="s">
        <v>667</v>
      </c>
      <c r="K24" s="394" t="s">
        <v>679</v>
      </c>
      <c r="L24" s="394"/>
      <c r="M24" s="394"/>
      <c r="N24" s="394"/>
    </row>
    <row r="25" spans="3:14" ht="12.75" customHeight="1" x14ac:dyDescent="0.25">
      <c r="C25" s="176" t="s">
        <v>745</v>
      </c>
      <c r="D25" s="125" t="s">
        <v>662</v>
      </c>
      <c r="E25" s="125">
        <v>1</v>
      </c>
      <c r="F25" s="125">
        <v>33.17</v>
      </c>
      <c r="G25" s="103">
        <f>+E25*F25</f>
        <v>33.17</v>
      </c>
      <c r="H25" s="103">
        <f>+ROUND(G25*0.3,1)</f>
        <v>10</v>
      </c>
      <c r="K25" s="394"/>
      <c r="L25" s="394"/>
      <c r="M25" s="394"/>
      <c r="N25" s="394"/>
    </row>
    <row r="26" spans="3:14" ht="12.75" customHeight="1" x14ac:dyDescent="0.25">
      <c r="C26" s="176" t="str">
        <f>+C25</f>
        <v>La Feria</v>
      </c>
      <c r="D26" s="125" t="s">
        <v>661</v>
      </c>
      <c r="E26" s="125">
        <v>1</v>
      </c>
      <c r="F26" s="125">
        <v>22.47</v>
      </c>
      <c r="G26" s="103">
        <f>+E26*F26</f>
        <v>22.47</v>
      </c>
      <c r="H26" s="103">
        <f>+ROUND(G26*0.3,1)</f>
        <v>6.7</v>
      </c>
      <c r="K26" s="394"/>
      <c r="L26" s="394"/>
      <c r="M26" s="394"/>
      <c r="N26" s="394"/>
    </row>
    <row r="27" spans="3:14" ht="12.75" customHeight="1" x14ac:dyDescent="0.25">
      <c r="C27" s="176" t="s">
        <v>745</v>
      </c>
      <c r="D27" s="125"/>
      <c r="E27" s="125">
        <v>1</v>
      </c>
      <c r="F27" s="125">
        <v>53.27</v>
      </c>
      <c r="G27" s="103">
        <f>+E27*F27</f>
        <v>53.27</v>
      </c>
      <c r="H27" s="103">
        <f>+ROUND(G27*0.3,1)</f>
        <v>16</v>
      </c>
      <c r="K27" s="394"/>
      <c r="L27" s="394"/>
      <c r="M27" s="394"/>
      <c r="N27" s="394"/>
    </row>
    <row r="28" spans="3:14" ht="12.75" customHeight="1" x14ac:dyDescent="0.25">
      <c r="C28" s="98"/>
      <c r="G28" s="138" t="s">
        <v>670</v>
      </c>
      <c r="H28" s="99">
        <f>+SUM(H25:H27)</f>
        <v>32.700000000000003</v>
      </c>
      <c r="K28" s="394"/>
      <c r="L28" s="394"/>
      <c r="M28" s="394"/>
      <c r="N28" s="394"/>
    </row>
    <row r="29" spans="3:14" ht="12.75" customHeight="1" x14ac:dyDescent="0.25">
      <c r="C29" s="98"/>
      <c r="K29" s="394"/>
      <c r="L29" s="394"/>
      <c r="M29" s="394"/>
      <c r="N29" s="394"/>
    </row>
    <row r="30" spans="3:14" ht="12.75" customHeight="1" x14ac:dyDescent="0.25">
      <c r="C30" s="100" t="s">
        <v>659</v>
      </c>
      <c r="K30" s="394"/>
      <c r="L30" s="394"/>
      <c r="M30" s="394"/>
      <c r="N30" s="394"/>
    </row>
    <row r="31" spans="3:14" ht="38.25" x14ac:dyDescent="0.25">
      <c r="C31" s="139" t="s">
        <v>414</v>
      </c>
      <c r="D31" s="139" t="s">
        <v>660</v>
      </c>
      <c r="E31" s="140" t="s">
        <v>665</v>
      </c>
      <c r="F31" s="101" t="s">
        <v>667</v>
      </c>
      <c r="G31" s="98"/>
      <c r="H31" s="98"/>
      <c r="K31" s="394"/>
      <c r="L31" s="394"/>
      <c r="M31" s="394"/>
      <c r="N31" s="394"/>
    </row>
    <row r="32" spans="3:14" ht="25.5" x14ac:dyDescent="0.25">
      <c r="C32" s="102" t="str">
        <f>+C25</f>
        <v>La Feria</v>
      </c>
      <c r="D32" s="125" t="s">
        <v>673</v>
      </c>
      <c r="E32" s="141">
        <v>0</v>
      </c>
      <c r="F32" s="103">
        <f>+ROUND(E32*0.3,1)</f>
        <v>0</v>
      </c>
      <c r="K32" s="394"/>
      <c r="L32" s="394"/>
      <c r="M32" s="394"/>
      <c r="N32" s="394"/>
    </row>
    <row r="33" spans="3:14" ht="30.75" customHeight="1" x14ac:dyDescent="0.25">
      <c r="C33" s="390" t="s">
        <v>671</v>
      </c>
      <c r="D33" s="390"/>
      <c r="E33" s="390"/>
      <c r="F33" s="98">
        <f>+SUM(F32)</f>
        <v>0</v>
      </c>
      <c r="K33" s="394"/>
      <c r="L33" s="394"/>
      <c r="M33" s="394"/>
      <c r="N33" s="394"/>
    </row>
    <row r="34" spans="3:14" ht="12.75" customHeight="1" x14ac:dyDescent="0.25">
      <c r="C34" s="98"/>
      <c r="K34" s="394"/>
      <c r="L34" s="394"/>
      <c r="M34" s="394"/>
      <c r="N34" s="394"/>
    </row>
    <row r="35" spans="3:14" ht="12.75" customHeight="1" x14ac:dyDescent="0.25">
      <c r="C35" s="100" t="s">
        <v>674</v>
      </c>
      <c r="K35" s="394"/>
      <c r="L35" s="394"/>
      <c r="M35" s="394"/>
      <c r="N35" s="394"/>
    </row>
    <row r="36" spans="3:14" ht="25.5" x14ac:dyDescent="0.25">
      <c r="C36" s="101" t="s">
        <v>414</v>
      </c>
      <c r="D36" s="101" t="s">
        <v>675</v>
      </c>
      <c r="E36" s="101" t="s">
        <v>676</v>
      </c>
      <c r="K36" s="394"/>
      <c r="L36" s="394"/>
      <c r="M36" s="394"/>
      <c r="N36" s="394"/>
    </row>
    <row r="37" spans="3:14" ht="12.75" customHeight="1" x14ac:dyDescent="0.25">
      <c r="C37" s="102" t="str">
        <f>+C25</f>
        <v>La Feria</v>
      </c>
      <c r="D37" s="103" t="s">
        <v>677</v>
      </c>
      <c r="E37" s="103">
        <f>+H28</f>
        <v>32.700000000000003</v>
      </c>
      <c r="K37" s="394"/>
      <c r="L37" s="394"/>
      <c r="M37" s="394"/>
      <c r="N37" s="394"/>
    </row>
    <row r="38" spans="3:14" ht="25.5" x14ac:dyDescent="0.25">
      <c r="C38" s="102" t="str">
        <f>+C37</f>
        <v>La Feria</v>
      </c>
      <c r="D38" s="103" t="s">
        <v>678</v>
      </c>
      <c r="E38" s="103">
        <f>+F33</f>
        <v>0</v>
      </c>
      <c r="K38" s="394"/>
      <c r="L38" s="394"/>
      <c r="M38" s="394"/>
      <c r="N38" s="394"/>
    </row>
    <row r="39" spans="3:14" x14ac:dyDescent="0.25">
      <c r="C39" s="98"/>
      <c r="D39" s="98" t="s">
        <v>423</v>
      </c>
      <c r="E39" s="99">
        <f>+SUM(E37:E38)</f>
        <v>32.700000000000003</v>
      </c>
      <c r="K39" s="394"/>
      <c r="L39" s="394"/>
      <c r="M39" s="394"/>
      <c r="N39" s="394"/>
    </row>
    <row r="40" spans="3:14" x14ac:dyDescent="0.25">
      <c r="C40" s="98"/>
      <c r="K40" s="394"/>
      <c r="L40" s="394"/>
      <c r="M40" s="394"/>
      <c r="N40" s="394"/>
    </row>
    <row r="41" spans="3:14" x14ac:dyDescent="0.25">
      <c r="C41" s="100" t="s">
        <v>668</v>
      </c>
      <c r="K41" s="394"/>
      <c r="L41" s="394"/>
      <c r="M41" s="394"/>
      <c r="N41" s="394"/>
    </row>
    <row r="42" spans="3:14" ht="51" customHeight="1" x14ac:dyDescent="0.25">
      <c r="C42" s="101" t="s">
        <v>414</v>
      </c>
      <c r="D42" s="101" t="s">
        <v>669</v>
      </c>
      <c r="K42" s="394"/>
      <c r="L42" s="394"/>
      <c r="M42" s="394"/>
      <c r="N42" s="394"/>
    </row>
    <row r="43" spans="3:14" x14ac:dyDescent="0.25">
      <c r="C43" s="102" t="s">
        <v>745</v>
      </c>
      <c r="D43" s="125">
        <v>3</v>
      </c>
      <c r="K43" s="394"/>
      <c r="L43" s="394"/>
      <c r="M43" s="394"/>
      <c r="N43" s="394"/>
    </row>
    <row r="44" spans="3:14" x14ac:dyDescent="0.25">
      <c r="C44" s="98"/>
    </row>
    <row r="45" spans="3:14" x14ac:dyDescent="0.25">
      <c r="C45" s="396" t="s">
        <v>566</v>
      </c>
      <c r="D45" s="396"/>
    </row>
    <row r="46" spans="3:14" x14ac:dyDescent="0.25">
      <c r="C46" s="397" t="s">
        <v>425</v>
      </c>
      <c r="D46" s="392" t="str">
        <f>+CONCATENATE("Caisson Diam: ",E49," ",G49," - Long: ",E48," "," - Long: ",F48," ",G48)</f>
        <v>Caisson Diam: 0 [m] - Long: 0  - Long:  [m]</v>
      </c>
      <c r="E46" s="392"/>
      <c r="F46" s="392"/>
      <c r="G46" s="392"/>
      <c r="H46" s="392" t="s">
        <v>431</v>
      </c>
      <c r="I46" s="392" t="s">
        <v>639</v>
      </c>
      <c r="J46" s="392" t="s">
        <v>640</v>
      </c>
      <c r="K46" s="392" t="s">
        <v>641</v>
      </c>
    </row>
    <row r="47" spans="3:14" x14ac:dyDescent="0.25">
      <c r="C47" s="397"/>
      <c r="D47" s="101"/>
      <c r="E47" s="101" t="s">
        <v>635</v>
      </c>
      <c r="F47" s="101" t="s">
        <v>636</v>
      </c>
      <c r="G47" s="101"/>
      <c r="H47" s="392"/>
      <c r="I47" s="392"/>
      <c r="J47" s="392"/>
      <c r="K47" s="392"/>
    </row>
    <row r="48" spans="3:14" x14ac:dyDescent="0.25">
      <c r="C48" s="397"/>
      <c r="D48" s="101" t="s">
        <v>433</v>
      </c>
      <c r="E48" s="133">
        <v>0</v>
      </c>
      <c r="F48" s="133"/>
      <c r="G48" s="101" t="s">
        <v>432</v>
      </c>
      <c r="H48" s="392"/>
      <c r="I48" s="392"/>
      <c r="J48" s="392"/>
      <c r="K48" s="392"/>
    </row>
    <row r="49" spans="3:21" x14ac:dyDescent="0.25">
      <c r="C49" s="397"/>
      <c r="D49" s="101" t="s">
        <v>435</v>
      </c>
      <c r="E49" s="133">
        <v>0</v>
      </c>
      <c r="F49" s="133"/>
      <c r="G49" s="101" t="s">
        <v>432</v>
      </c>
      <c r="H49" s="392"/>
      <c r="I49" s="392"/>
      <c r="J49" s="392"/>
      <c r="K49" s="392"/>
    </row>
    <row r="50" spans="3:21" ht="25.5" x14ac:dyDescent="0.25">
      <c r="C50" s="397"/>
      <c r="D50" s="101" t="s">
        <v>642</v>
      </c>
      <c r="E50" s="101" t="s">
        <v>436</v>
      </c>
      <c r="F50" s="101" t="s">
        <v>437</v>
      </c>
      <c r="G50" s="101" t="s">
        <v>438</v>
      </c>
      <c r="H50" s="392"/>
      <c r="I50" s="392"/>
      <c r="J50" s="392"/>
      <c r="K50" s="392"/>
    </row>
    <row r="51" spans="3:21" x14ac:dyDescent="0.25">
      <c r="C51" s="102" t="str">
        <f>+C14</f>
        <v>Poligono 1</v>
      </c>
      <c r="D51" s="125" t="s">
        <v>635</v>
      </c>
      <c r="E51" s="103">
        <f>IF(D51="Tipo 1",(PI()*($E$49^2)/4)*$E$48,(PI()*($F$49^2)/4)*$F$48)</f>
        <v>0</v>
      </c>
      <c r="F51" s="125">
        <v>19</v>
      </c>
      <c r="G51" s="103">
        <f>+ROUND(E51*F51,1)</f>
        <v>0</v>
      </c>
      <c r="H51" s="125">
        <f>3575.79+3945.04</f>
        <v>7520.83</v>
      </c>
      <c r="I51" s="103">
        <f>+ROUND(G51+H51,1)</f>
        <v>7520.8</v>
      </c>
      <c r="J51" s="103">
        <f>+ROUND(I51*1.25,1)</f>
        <v>9401</v>
      </c>
      <c r="K51" s="126">
        <f>+ROUND(J51*0.1,1)</f>
        <v>940.1</v>
      </c>
    </row>
    <row r="52" spans="3:21" x14ac:dyDescent="0.25">
      <c r="C52" s="102" t="str">
        <f>+C15</f>
        <v>Poligono 2</v>
      </c>
      <c r="D52" s="125" t="s">
        <v>635</v>
      </c>
      <c r="E52" s="103">
        <f t="shared" ref="E52:E53" si="7">IF(D52="Tipo 1",(PI()*($E$49^2)/4)*$E$48,(PI()*($F$49^2)/4)*$F$48)</f>
        <v>0</v>
      </c>
      <c r="F52" s="125">
        <v>17</v>
      </c>
      <c r="G52" s="103">
        <f>+ROUND(E52*F52,1)</f>
        <v>0</v>
      </c>
      <c r="H52" s="125">
        <v>0</v>
      </c>
      <c r="I52" s="103">
        <f t="shared" ref="I52:I53" si="8">+ROUND(G52+H52,1)</f>
        <v>0</v>
      </c>
      <c r="J52" s="103">
        <f t="shared" ref="J52:J53" si="9">+ROUND(I52*1.25,1)</f>
        <v>0</v>
      </c>
      <c r="K52" s="103">
        <f t="shared" ref="K52:K53" si="10">+ROUND(J52*0.1,1)</f>
        <v>0</v>
      </c>
    </row>
    <row r="53" spans="3:21" x14ac:dyDescent="0.25">
      <c r="C53" s="102" t="str">
        <f>+C16</f>
        <v>Disipador 1</v>
      </c>
      <c r="D53" s="125" t="s">
        <v>635</v>
      </c>
      <c r="E53" s="103">
        <f t="shared" si="7"/>
        <v>0</v>
      </c>
      <c r="F53" s="125">
        <v>9</v>
      </c>
      <c r="G53" s="103">
        <f>+ROUND(E53*F53,1)</f>
        <v>0</v>
      </c>
      <c r="H53" s="125">
        <v>0</v>
      </c>
      <c r="I53" s="103">
        <f t="shared" si="8"/>
        <v>0</v>
      </c>
      <c r="J53" s="103">
        <f t="shared" si="9"/>
        <v>0</v>
      </c>
      <c r="K53" s="103">
        <f t="shared" si="10"/>
        <v>0</v>
      </c>
    </row>
    <row r="54" spans="3:21" x14ac:dyDescent="0.25">
      <c r="C54" s="102" t="str">
        <f>+C17</f>
        <v>Disipador 2</v>
      </c>
      <c r="D54" s="103"/>
      <c r="E54" s="103"/>
      <c r="F54" s="103"/>
      <c r="G54" s="103"/>
      <c r="H54" s="125">
        <v>0</v>
      </c>
      <c r="I54" s="103">
        <f t="shared" ref="I54" si="11">+ROUND(G54+H54,1)</f>
        <v>0</v>
      </c>
      <c r="J54" s="103">
        <f t="shared" ref="J54" si="12">+ROUND(I54*1.25,1)</f>
        <v>0</v>
      </c>
      <c r="K54" s="103">
        <f t="shared" ref="K54" si="13">+ROUND(J54*0.1,1)</f>
        <v>0</v>
      </c>
    </row>
    <row r="56" spans="3:21" ht="12.75" customHeight="1" x14ac:dyDescent="0.25">
      <c r="C56" s="100" t="s">
        <v>643</v>
      </c>
      <c r="D56" s="100"/>
      <c r="E56" s="100"/>
    </row>
    <row r="57" spans="3:21" ht="12.75" customHeight="1" x14ac:dyDescent="0.25">
      <c r="C57" s="392" t="s">
        <v>425</v>
      </c>
      <c r="D57" s="392" t="str">
        <f>+CONCATENATE("Viga Cabezal [",E58," x ",E59,"]")</f>
        <v>Viga Cabezal [0 x 0]</v>
      </c>
      <c r="E57" s="392"/>
      <c r="F57" s="392"/>
      <c r="I57" s="181"/>
      <c r="N57" s="388"/>
      <c r="O57" s="388"/>
      <c r="P57" s="388"/>
      <c r="Q57" s="388"/>
      <c r="R57" s="388"/>
      <c r="S57" s="388"/>
      <c r="T57" s="388"/>
      <c r="U57" s="388"/>
    </row>
    <row r="58" spans="3:21" x14ac:dyDescent="0.25">
      <c r="C58" s="392"/>
      <c r="D58" s="101" t="s">
        <v>474</v>
      </c>
      <c r="E58" s="133">
        <v>0</v>
      </c>
      <c r="F58" s="101" t="s">
        <v>432</v>
      </c>
      <c r="I58" s="181"/>
      <c r="N58" s="388"/>
      <c r="O58" s="388"/>
      <c r="P58" s="98"/>
      <c r="Q58" s="98"/>
      <c r="R58" s="388"/>
      <c r="S58" s="388"/>
      <c r="T58" s="98"/>
      <c r="U58" s="98"/>
    </row>
    <row r="59" spans="3:21" x14ac:dyDescent="0.25">
      <c r="C59" s="392"/>
      <c r="D59" s="101" t="s">
        <v>434</v>
      </c>
      <c r="E59" s="133">
        <v>0</v>
      </c>
      <c r="F59" s="101" t="s">
        <v>432</v>
      </c>
      <c r="N59" s="388"/>
      <c r="O59" s="388"/>
      <c r="P59" s="98"/>
      <c r="Q59" s="98"/>
      <c r="R59" s="388"/>
      <c r="S59" s="388"/>
      <c r="T59" s="98"/>
      <c r="U59" s="98"/>
    </row>
    <row r="60" spans="3:21" x14ac:dyDescent="0.25">
      <c r="C60" s="392"/>
      <c r="D60" s="392"/>
      <c r="E60" s="392"/>
      <c r="F60" s="392"/>
      <c r="N60" s="388"/>
      <c r="O60" s="388"/>
      <c r="P60" s="98"/>
      <c r="Q60" s="98"/>
      <c r="R60" s="388"/>
      <c r="S60" s="388"/>
      <c r="T60" s="98"/>
      <c r="U60" s="98"/>
    </row>
    <row r="61" spans="3:21" ht="38.25" x14ac:dyDescent="0.25">
      <c r="C61" s="392"/>
      <c r="D61" s="101" t="s">
        <v>426</v>
      </c>
      <c r="E61" s="101" t="s">
        <v>567</v>
      </c>
      <c r="F61" s="101" t="s">
        <v>649</v>
      </c>
      <c r="N61" s="388"/>
      <c r="O61" s="388"/>
      <c r="P61" s="98"/>
      <c r="Q61" s="98"/>
      <c r="R61" s="388"/>
      <c r="S61" s="388"/>
      <c r="T61" s="98"/>
      <c r="U61" s="98"/>
    </row>
    <row r="62" spans="3:21" x14ac:dyDescent="0.25">
      <c r="C62" s="103" t="str">
        <f>+C51</f>
        <v>Poligono 1</v>
      </c>
      <c r="D62" s="125">
        <v>0</v>
      </c>
      <c r="E62" s="103">
        <f>ROUND(+$E$58*$E$59,2)</f>
        <v>0</v>
      </c>
      <c r="F62" s="103">
        <f>+ROUND(E62*D62,1)</f>
        <v>0</v>
      </c>
      <c r="O62" s="127"/>
    </row>
    <row r="63" spans="3:21" x14ac:dyDescent="0.25">
      <c r="C63" s="103" t="str">
        <f>+C52</f>
        <v>Poligono 2</v>
      </c>
      <c r="D63" s="125">
        <v>0</v>
      </c>
      <c r="E63" s="103">
        <f>ROUND(+$E$58*$E$59,2)</f>
        <v>0</v>
      </c>
      <c r="F63" s="103">
        <f t="shared" ref="F63:F64" si="14">+ROUND(E63*D63,1)</f>
        <v>0</v>
      </c>
      <c r="O63" s="127"/>
    </row>
    <row r="64" spans="3:21" x14ac:dyDescent="0.25">
      <c r="C64" s="103" t="str">
        <f>+C53</f>
        <v>Disipador 1</v>
      </c>
      <c r="D64" s="125">
        <v>0</v>
      </c>
      <c r="E64" s="103">
        <f>ROUND(+$E$58*$E$59,2)</f>
        <v>0</v>
      </c>
      <c r="F64" s="103">
        <f t="shared" si="14"/>
        <v>0</v>
      </c>
      <c r="O64" s="127"/>
    </row>
    <row r="65" spans="3:14" x14ac:dyDescent="0.25">
      <c r="C65" s="98"/>
    </row>
    <row r="66" spans="3:14" x14ac:dyDescent="0.25">
      <c r="C66" s="104" t="s">
        <v>439</v>
      </c>
    </row>
    <row r="67" spans="3:14" ht="38.25" x14ac:dyDescent="0.25">
      <c r="C67" s="101" t="s">
        <v>425</v>
      </c>
      <c r="D67" s="101" t="s">
        <v>644</v>
      </c>
      <c r="E67" s="101" t="s">
        <v>645</v>
      </c>
      <c r="F67" s="101" t="s">
        <v>646</v>
      </c>
      <c r="G67" s="101" t="s">
        <v>647</v>
      </c>
      <c r="H67" s="101" t="s">
        <v>648</v>
      </c>
    </row>
    <row r="68" spans="3:14" x14ac:dyDescent="0.25">
      <c r="C68" s="103" t="str">
        <f>+C51</f>
        <v>Poligono 1</v>
      </c>
      <c r="D68" s="103">
        <f>+D62</f>
        <v>0</v>
      </c>
      <c r="E68" s="103">
        <f>+$E$58</f>
        <v>0</v>
      </c>
      <c r="F68" s="110">
        <f>+(PI()*(E49^2)/4)</f>
        <v>0</v>
      </c>
      <c r="G68" s="103">
        <f>+F51</f>
        <v>19</v>
      </c>
      <c r="H68" s="103">
        <f>ROUND((D68*E68)-(F68*G68),1)</f>
        <v>0</v>
      </c>
    </row>
    <row r="69" spans="3:14" x14ac:dyDescent="0.25">
      <c r="C69" s="103" t="str">
        <f>+C52</f>
        <v>Poligono 2</v>
      </c>
      <c r="D69" s="103">
        <f>+D63</f>
        <v>0</v>
      </c>
      <c r="E69" s="103">
        <f t="shared" ref="E69:E70" si="15">+$E$58</f>
        <v>0</v>
      </c>
      <c r="F69" s="110">
        <f>+(PI()*(E49^2)/4)</f>
        <v>0</v>
      </c>
      <c r="G69" s="103">
        <f>+F52</f>
        <v>17</v>
      </c>
      <c r="H69" s="103">
        <f t="shared" ref="H69:H71" si="16">ROUND((D69*E69)-(F69*G69),1)</f>
        <v>0</v>
      </c>
    </row>
    <row r="70" spans="3:14" x14ac:dyDescent="0.25">
      <c r="C70" s="103" t="str">
        <f>+C53</f>
        <v>Disipador 1</v>
      </c>
      <c r="D70" s="103">
        <f>+D64</f>
        <v>0</v>
      </c>
      <c r="E70" s="103">
        <f t="shared" si="15"/>
        <v>0</v>
      </c>
      <c r="F70" s="110">
        <f>+(PI()*(E49^2)/4)</f>
        <v>0</v>
      </c>
      <c r="G70" s="103">
        <f>+F53</f>
        <v>9</v>
      </c>
      <c r="H70" s="103">
        <f t="shared" si="16"/>
        <v>0</v>
      </c>
    </row>
    <row r="71" spans="3:14" x14ac:dyDescent="0.25">
      <c r="C71" s="103" t="str">
        <f>+C54</f>
        <v>Disipador 2</v>
      </c>
      <c r="D71" s="103">
        <f>+M7</f>
        <v>0</v>
      </c>
      <c r="E71" s="103">
        <f>+G7+2*I7</f>
        <v>0</v>
      </c>
      <c r="F71" s="110">
        <v>0</v>
      </c>
      <c r="G71" s="103">
        <v>0</v>
      </c>
      <c r="H71" s="103">
        <f t="shared" si="16"/>
        <v>0</v>
      </c>
    </row>
    <row r="73" spans="3:14" x14ac:dyDescent="0.25">
      <c r="C73" s="100" t="s">
        <v>653</v>
      </c>
      <c r="L73" s="98"/>
      <c r="M73" s="98"/>
      <c r="N73" s="98"/>
    </row>
    <row r="74" spans="3:14" ht="25.5" x14ac:dyDescent="0.25">
      <c r="C74" s="101" t="s">
        <v>414</v>
      </c>
      <c r="D74" s="101" t="s">
        <v>654</v>
      </c>
      <c r="E74" s="101" t="s">
        <v>426</v>
      </c>
      <c r="F74" s="101" t="s">
        <v>422</v>
      </c>
      <c r="G74" s="101" t="s">
        <v>655</v>
      </c>
    </row>
    <row r="75" spans="3:14" x14ac:dyDescent="0.25">
      <c r="C75" s="103" t="str">
        <f>+C68</f>
        <v>Poligono 1</v>
      </c>
      <c r="D75" s="103" t="str">
        <f>+D51</f>
        <v>Tipo 1</v>
      </c>
      <c r="E75" s="103">
        <f>+IF(D75="Tipo 1",$E$48,$F$48)</f>
        <v>0</v>
      </c>
      <c r="F75" s="103">
        <f>+F51</f>
        <v>19</v>
      </c>
      <c r="G75" s="103">
        <f>+E75*F75</f>
        <v>0</v>
      </c>
    </row>
    <row r="76" spans="3:14" x14ac:dyDescent="0.25">
      <c r="C76" s="103" t="str">
        <f t="shared" ref="C76:C77" si="17">+C69</f>
        <v>Poligono 2</v>
      </c>
      <c r="D76" s="103" t="str">
        <f>+D52</f>
        <v>Tipo 1</v>
      </c>
      <c r="E76" s="103">
        <f t="shared" ref="E76:E77" si="18">+IF(D76="Tipo 1",$E$48,$F$48)</f>
        <v>0</v>
      </c>
      <c r="F76" s="103">
        <f>+F52</f>
        <v>17</v>
      </c>
      <c r="G76" s="103">
        <f t="shared" ref="G76:G77" si="19">+E76*F76</f>
        <v>0</v>
      </c>
    </row>
    <row r="77" spans="3:14" x14ac:dyDescent="0.25">
      <c r="C77" s="103" t="str">
        <f t="shared" si="17"/>
        <v>Disipador 1</v>
      </c>
      <c r="D77" s="103" t="str">
        <f>+D53</f>
        <v>Tipo 1</v>
      </c>
      <c r="E77" s="103">
        <f t="shared" si="18"/>
        <v>0</v>
      </c>
      <c r="F77" s="103">
        <f>+F53</f>
        <v>9</v>
      </c>
      <c r="G77" s="103">
        <f t="shared" si="19"/>
        <v>0</v>
      </c>
    </row>
    <row r="78" spans="3:14" x14ac:dyDescent="0.25">
      <c r="F78" s="98" t="s">
        <v>424</v>
      </c>
      <c r="G78" s="102">
        <f>+SUM(G75:G77)</f>
        <v>0</v>
      </c>
    </row>
    <row r="80" spans="3:14" x14ac:dyDescent="0.25">
      <c r="C80" s="100" t="s">
        <v>684</v>
      </c>
    </row>
    <row r="81" spans="3:12" ht="25.5" x14ac:dyDescent="0.25">
      <c r="C81" s="101" t="s">
        <v>414</v>
      </c>
      <c r="D81" s="101" t="s">
        <v>687</v>
      </c>
      <c r="E81" s="101" t="s">
        <v>422</v>
      </c>
      <c r="F81" s="101" t="s">
        <v>685</v>
      </c>
      <c r="G81" s="101" t="s">
        <v>686</v>
      </c>
    </row>
    <row r="82" spans="3:12" x14ac:dyDescent="0.25">
      <c r="C82" s="125" t="s">
        <v>688</v>
      </c>
      <c r="D82" s="125">
        <v>25</v>
      </c>
      <c r="E82" s="125">
        <f>75-12-11-12-10</f>
        <v>30</v>
      </c>
      <c r="F82" s="103">
        <f>+IF(D82&gt;20,20*E82,D82*E82)</f>
        <v>600</v>
      </c>
      <c r="G82" s="103">
        <f>+IF(D82&gt;20,(D82-20)*E82,0)</f>
        <v>150</v>
      </c>
    </row>
    <row r="83" spans="3:12" x14ac:dyDescent="0.25">
      <c r="C83" s="125" t="s">
        <v>689</v>
      </c>
      <c r="D83" s="125">
        <v>25</v>
      </c>
      <c r="E83" s="125">
        <f>72-10-11-10-10</f>
        <v>31</v>
      </c>
      <c r="F83" s="103">
        <f t="shared" ref="F83:F85" si="20">+IF(D83&gt;20,20*E83,D83*E83)</f>
        <v>620</v>
      </c>
      <c r="G83" s="103">
        <f t="shared" ref="G83:G85" si="21">+IF(D83&gt;20,(D83-20)*E83,0)</f>
        <v>155</v>
      </c>
    </row>
    <row r="84" spans="3:12" x14ac:dyDescent="0.25">
      <c r="C84" s="125" t="s">
        <v>690</v>
      </c>
      <c r="D84" s="125">
        <v>25</v>
      </c>
      <c r="E84" s="125">
        <f>127-17-17</f>
        <v>93</v>
      </c>
      <c r="F84" s="103">
        <f t="shared" si="20"/>
        <v>1860</v>
      </c>
      <c r="G84" s="103">
        <f t="shared" si="21"/>
        <v>465</v>
      </c>
      <c r="I84" s="99">
        <v>6</v>
      </c>
    </row>
    <row r="85" spans="3:12" x14ac:dyDescent="0.25">
      <c r="C85" s="125" t="s">
        <v>785</v>
      </c>
      <c r="D85" s="125">
        <v>25</v>
      </c>
      <c r="E85" s="125">
        <f>123-16-16-17-19-1-I84</f>
        <v>48</v>
      </c>
      <c r="F85" s="103">
        <f t="shared" si="20"/>
        <v>960</v>
      </c>
      <c r="G85" s="103">
        <f t="shared" si="21"/>
        <v>240</v>
      </c>
      <c r="I85" s="181">
        <f>+PPTO!F68</f>
        <v>0</v>
      </c>
    </row>
    <row r="87" spans="3:12" x14ac:dyDescent="0.25">
      <c r="C87" s="100" t="s">
        <v>691</v>
      </c>
    </row>
    <row r="88" spans="3:12" ht="25.5" x14ac:dyDescent="0.25">
      <c r="C88" s="101" t="s">
        <v>414</v>
      </c>
      <c r="D88" s="101" t="s">
        <v>703</v>
      </c>
      <c r="E88" s="101" t="s">
        <v>422</v>
      </c>
      <c r="F88" s="101" t="s">
        <v>685</v>
      </c>
      <c r="G88" s="101" t="s">
        <v>686</v>
      </c>
    </row>
    <row r="89" spans="3:12" x14ac:dyDescent="0.25">
      <c r="C89" s="125" t="s">
        <v>700</v>
      </c>
      <c r="D89" s="125">
        <v>30</v>
      </c>
      <c r="E89" s="125">
        <v>97</v>
      </c>
      <c r="F89" s="103">
        <f>+IF(D89&gt;20,20*E89,D89*E89)</f>
        <v>1940</v>
      </c>
      <c r="G89" s="103">
        <f>+IF(D89&gt;20,(D89-20)*E89,0)</f>
        <v>970</v>
      </c>
      <c r="I89" s="99">
        <f>13+12+12+12+11+10+9+9+9</f>
        <v>97</v>
      </c>
    </row>
    <row r="90" spans="3:12" x14ac:dyDescent="0.25">
      <c r="C90" s="125" t="s">
        <v>701</v>
      </c>
      <c r="D90" s="125">
        <v>30</v>
      </c>
      <c r="E90" s="125">
        <v>104</v>
      </c>
      <c r="F90" s="103">
        <f t="shared" ref="F90:F92" si="22">+IF(D90&gt;20,20*E90,D90*E90)</f>
        <v>2080</v>
      </c>
      <c r="G90" s="103">
        <f t="shared" ref="G90:G92" si="23">+IF(D90&gt;20,(D90-20)*E90,0)</f>
        <v>1040</v>
      </c>
      <c r="I90" s="99">
        <f>11+11+11+11+11+11+11+11+5+5+6</f>
        <v>104</v>
      </c>
    </row>
    <row r="91" spans="3:12" x14ac:dyDescent="0.25">
      <c r="C91" s="125" t="s">
        <v>702</v>
      </c>
      <c r="D91" s="125">
        <v>30</v>
      </c>
      <c r="E91" s="125">
        <v>206</v>
      </c>
      <c r="F91" s="103">
        <f t="shared" si="22"/>
        <v>4120</v>
      </c>
      <c r="G91" s="103">
        <f t="shared" si="23"/>
        <v>2060</v>
      </c>
      <c r="I91" s="99">
        <f>18+18+18+18+19+19+19+19+19+19+20</f>
        <v>206</v>
      </c>
    </row>
    <row r="92" spans="3:12" x14ac:dyDescent="0.25">
      <c r="C92" s="125" t="s">
        <v>786</v>
      </c>
      <c r="D92" s="125">
        <v>30</v>
      </c>
      <c r="E92" s="125">
        <v>150</v>
      </c>
      <c r="F92" s="103">
        <f t="shared" si="22"/>
        <v>3000</v>
      </c>
      <c r="G92" s="103">
        <f t="shared" si="23"/>
        <v>1500</v>
      </c>
      <c r="I92" s="99">
        <f>17+17+17+17+18+18+18+10+9+9</f>
        <v>150</v>
      </c>
    </row>
    <row r="94" spans="3:12" x14ac:dyDescent="0.25">
      <c r="C94" s="100" t="s">
        <v>699</v>
      </c>
    </row>
    <row r="95" spans="3:12" x14ac:dyDescent="0.25">
      <c r="C95" s="147" t="s">
        <v>704</v>
      </c>
    </row>
    <row r="96" spans="3:12" ht="38.25" x14ac:dyDescent="0.25">
      <c r="C96" s="101" t="s">
        <v>414</v>
      </c>
      <c r="D96" s="101" t="s">
        <v>703</v>
      </c>
      <c r="E96" s="101" t="s">
        <v>692</v>
      </c>
      <c r="F96" s="101" t="s">
        <v>693</v>
      </c>
      <c r="G96" s="101" t="s">
        <v>694</v>
      </c>
      <c r="H96" s="101" t="s">
        <v>695</v>
      </c>
      <c r="I96" s="101" t="s">
        <v>705</v>
      </c>
      <c r="J96" s="101" t="s">
        <v>696</v>
      </c>
      <c r="K96" s="101" t="s">
        <v>697</v>
      </c>
      <c r="L96" s="101" t="s">
        <v>698</v>
      </c>
    </row>
    <row r="97" spans="3:12" x14ac:dyDescent="0.25">
      <c r="C97" s="103" t="str">
        <f t="shared" ref="C97:E99" si="24">+C89</f>
        <v>Muro 1</v>
      </c>
      <c r="D97" s="103">
        <f t="shared" si="24"/>
        <v>30</v>
      </c>
      <c r="E97" s="103">
        <f t="shared" si="24"/>
        <v>97</v>
      </c>
      <c r="F97" s="103">
        <f>+E97*D97</f>
        <v>2910</v>
      </c>
      <c r="G97" s="103">
        <v>1</v>
      </c>
      <c r="H97" s="103">
        <f>+G97*E97</f>
        <v>97</v>
      </c>
      <c r="I97" s="103">
        <v>1</v>
      </c>
      <c r="J97" s="103">
        <f>+I97*E97</f>
        <v>97</v>
      </c>
      <c r="K97" s="103">
        <v>1</v>
      </c>
      <c r="L97" s="103">
        <f>+E97*K97</f>
        <v>97</v>
      </c>
    </row>
    <row r="98" spans="3:12" x14ac:dyDescent="0.25">
      <c r="C98" s="103" t="str">
        <f t="shared" si="24"/>
        <v>Muro 2</v>
      </c>
      <c r="D98" s="103">
        <f t="shared" si="24"/>
        <v>30</v>
      </c>
      <c r="E98" s="103">
        <f t="shared" si="24"/>
        <v>104</v>
      </c>
      <c r="F98" s="103">
        <f t="shared" ref="F98:F99" si="25">+E98*D98</f>
        <v>3120</v>
      </c>
      <c r="G98" s="103">
        <v>1</v>
      </c>
      <c r="H98" s="103">
        <f t="shared" ref="H98" si="26">+G98*E98</f>
        <v>104</v>
      </c>
      <c r="I98" s="103">
        <v>1</v>
      </c>
      <c r="J98" s="103">
        <f t="shared" ref="J98:J99" si="27">+I98*E98</f>
        <v>104</v>
      </c>
      <c r="K98" s="103">
        <v>1</v>
      </c>
      <c r="L98" s="103">
        <f t="shared" ref="L98:L99" si="28">+E98*K98</f>
        <v>104</v>
      </c>
    </row>
    <row r="99" spans="3:12" x14ac:dyDescent="0.25">
      <c r="C99" s="103" t="str">
        <f t="shared" si="24"/>
        <v>Muro 3</v>
      </c>
      <c r="D99" s="103">
        <f t="shared" si="24"/>
        <v>30</v>
      </c>
      <c r="E99" s="103">
        <f t="shared" si="24"/>
        <v>206</v>
      </c>
      <c r="F99" s="103">
        <f t="shared" si="25"/>
        <v>6180</v>
      </c>
      <c r="G99" s="103">
        <v>1</v>
      </c>
      <c r="H99" s="103">
        <f>+G99*E99</f>
        <v>206</v>
      </c>
      <c r="I99" s="103">
        <v>1</v>
      </c>
      <c r="J99" s="103">
        <f t="shared" si="27"/>
        <v>206</v>
      </c>
      <c r="K99" s="103">
        <v>1</v>
      </c>
      <c r="L99" s="103">
        <f t="shared" si="28"/>
        <v>206</v>
      </c>
    </row>
    <row r="100" spans="3:12" x14ac:dyDescent="0.25">
      <c r="C100" s="103" t="s">
        <v>786</v>
      </c>
      <c r="D100" s="103">
        <f>+D92</f>
        <v>30</v>
      </c>
      <c r="E100" s="103">
        <f>+E92</f>
        <v>150</v>
      </c>
      <c r="F100" s="103">
        <f t="shared" ref="F100" si="29">+E100*D100</f>
        <v>4500</v>
      </c>
      <c r="G100" s="103">
        <v>2</v>
      </c>
      <c r="H100" s="103">
        <f>+G100*E100</f>
        <v>300</v>
      </c>
      <c r="I100" s="103">
        <v>2</v>
      </c>
      <c r="J100" s="103">
        <f t="shared" ref="J100" si="30">+I100*E100</f>
        <v>300</v>
      </c>
      <c r="K100" s="103">
        <v>1</v>
      </c>
      <c r="L100" s="103">
        <f t="shared" ref="L100" si="31">+E100*K100</f>
        <v>150</v>
      </c>
    </row>
    <row r="130" spans="3:12" x14ac:dyDescent="0.25">
      <c r="C130" s="112" t="s">
        <v>652</v>
      </c>
    </row>
    <row r="131" spans="3:12" x14ac:dyDescent="0.25">
      <c r="C131" s="113" t="str">
        <f>+CONCATENATE("VIGA CABEZAL ",E58," x ",E59," m")</f>
        <v>VIGA CABEZAL 0 x 0 m</v>
      </c>
    </row>
    <row r="132" spans="3:12" x14ac:dyDescent="0.25">
      <c r="C132" s="101" t="s">
        <v>650</v>
      </c>
      <c r="D132" s="101" t="s">
        <v>444</v>
      </c>
      <c r="E132" s="101" t="s">
        <v>651</v>
      </c>
    </row>
    <row r="133" spans="3:12" x14ac:dyDescent="0.25">
      <c r="C133" s="137" t="str">
        <f t="shared" ref="C133:D135" si="32">+C68</f>
        <v>Poligono 1</v>
      </c>
      <c r="D133" s="103">
        <f t="shared" si="32"/>
        <v>0</v>
      </c>
      <c r="E133" s="103" t="s">
        <v>287</v>
      </c>
    </row>
    <row r="134" spans="3:12" x14ac:dyDescent="0.25">
      <c r="C134" s="137" t="str">
        <f t="shared" si="32"/>
        <v>Poligono 2</v>
      </c>
      <c r="D134" s="103">
        <f t="shared" si="32"/>
        <v>0</v>
      </c>
      <c r="E134" s="103" t="s">
        <v>287</v>
      </c>
    </row>
    <row r="135" spans="3:12" x14ac:dyDescent="0.25">
      <c r="C135" s="137" t="str">
        <f t="shared" si="32"/>
        <v>Disipador 1</v>
      </c>
      <c r="D135" s="103">
        <f t="shared" si="32"/>
        <v>0</v>
      </c>
      <c r="E135" s="103" t="s">
        <v>287</v>
      </c>
    </row>
    <row r="136" spans="3:12" ht="38.25" x14ac:dyDescent="0.25">
      <c r="C136" s="101" t="s">
        <v>445</v>
      </c>
      <c r="D136" s="101" t="s">
        <v>446</v>
      </c>
      <c r="E136" s="101" t="s">
        <v>447</v>
      </c>
      <c r="F136" s="132" t="s">
        <v>440</v>
      </c>
      <c r="G136" s="101" t="s">
        <v>441</v>
      </c>
      <c r="H136" s="101" t="s">
        <v>442</v>
      </c>
      <c r="I136" s="101" t="s">
        <v>448</v>
      </c>
      <c r="J136" s="101" t="s">
        <v>449</v>
      </c>
      <c r="K136" s="101" t="s">
        <v>450</v>
      </c>
      <c r="L136" s="101" t="s">
        <v>451</v>
      </c>
    </row>
    <row r="137" spans="3:12" x14ac:dyDescent="0.25">
      <c r="C137" s="103">
        <v>6</v>
      </c>
      <c r="D137" s="103">
        <v>4</v>
      </c>
      <c r="E137" s="103">
        <v>0.2</v>
      </c>
      <c r="F137" s="103">
        <v>1.55</v>
      </c>
      <c r="G137" s="103">
        <v>0.85</v>
      </c>
      <c r="H137" s="103">
        <f>+VLOOKUP(D137,$P$172:$AC$183,14,FALSE)/100</f>
        <v>0.17</v>
      </c>
      <c r="I137" s="103">
        <f>+H137*2+G137*2+F137*2</f>
        <v>5.1400000000000006</v>
      </c>
      <c r="J137" s="103">
        <f>+ROUNDUP(10/3,0)</f>
        <v>4</v>
      </c>
      <c r="K137" s="103">
        <f>+I137*J137</f>
        <v>20.560000000000002</v>
      </c>
      <c r="L137" s="103">
        <f>+ROUND(VLOOKUP(D137,$P$172:$AC$182,8,FALSE)*K137,1)</f>
        <v>20.399999999999999</v>
      </c>
    </row>
    <row r="138" spans="3:12" x14ac:dyDescent="0.25">
      <c r="C138" s="103">
        <v>6</v>
      </c>
      <c r="D138" s="103">
        <v>4</v>
      </c>
      <c r="E138" s="103">
        <v>0.2</v>
      </c>
      <c r="F138" s="103">
        <v>1.55</v>
      </c>
      <c r="G138" s="103">
        <v>0.45</v>
      </c>
      <c r="H138" s="103">
        <f>+VLOOKUP(D138,$P$172:$AC$183,14,FALSE)/100</f>
        <v>0.17</v>
      </c>
      <c r="I138" s="103">
        <f>+H138*2+G138*2+F138*2</f>
        <v>4.34</v>
      </c>
      <c r="J138" s="103">
        <f t="shared" ref="J138:J139" si="33">+ROUNDUP(10/3,0)</f>
        <v>4</v>
      </c>
      <c r="K138" s="103">
        <f>+I138*J138</f>
        <v>17.36</v>
      </c>
      <c r="L138" s="103">
        <f>+ROUND(VLOOKUP(D138,$P$172:$AC$182,8,FALSE)*K138,1)</f>
        <v>17.3</v>
      </c>
    </row>
    <row r="139" spans="3:12" x14ac:dyDescent="0.25">
      <c r="C139" s="103">
        <v>6</v>
      </c>
      <c r="D139" s="103">
        <v>4</v>
      </c>
      <c r="E139" s="103">
        <v>0.2</v>
      </c>
      <c r="F139" s="103">
        <v>0.72</v>
      </c>
      <c r="G139" s="103">
        <v>0.85</v>
      </c>
      <c r="H139" s="103">
        <f>+VLOOKUP(D139,$P$172:$AC$183,14,FALSE)/100</f>
        <v>0.17</v>
      </c>
      <c r="I139" s="103">
        <f>+H139*2+G139*2+F139*2</f>
        <v>3.48</v>
      </c>
      <c r="J139" s="103">
        <f t="shared" si="33"/>
        <v>4</v>
      </c>
      <c r="K139" s="103">
        <f>+I139*J139</f>
        <v>13.92</v>
      </c>
      <c r="L139" s="103">
        <f>+ROUND(VLOOKUP(D139,$P$172:$AC$182,8,FALSE)*K139,1)</f>
        <v>13.8</v>
      </c>
    </row>
    <row r="140" spans="3:12" x14ac:dyDescent="0.25">
      <c r="C140" s="103">
        <v>1</v>
      </c>
      <c r="D140" s="103">
        <v>8</v>
      </c>
      <c r="E140" s="103"/>
      <c r="F140" s="110">
        <f>(+VLOOKUP(D140,$P$172:$AC$183,9,FALSE)/100)/6+1</f>
        <v>1.24</v>
      </c>
      <c r="G140" s="103"/>
      <c r="H140" s="103"/>
      <c r="I140" s="110">
        <f>+F140+G140+H140</f>
        <v>1.24</v>
      </c>
      <c r="J140" s="103">
        <v>22</v>
      </c>
      <c r="K140" s="111">
        <f>+I140*J140</f>
        <v>27.28</v>
      </c>
      <c r="L140" s="103">
        <f>+ROUND(VLOOKUP(D140,$P$172:$AC$182,8,FALSE)*K140,1)</f>
        <v>108.4</v>
      </c>
    </row>
    <row r="141" spans="3:12" x14ac:dyDescent="0.25">
      <c r="F141" s="390" t="str">
        <f>+CONCATENATE("Acero por ML de ",C131)</f>
        <v>Acero por ML de VIGA CABEZAL 0 x 0 m</v>
      </c>
      <c r="G141" s="390"/>
      <c r="H141" s="390"/>
      <c r="I141" s="390"/>
      <c r="J141" s="390"/>
      <c r="K141" s="400"/>
      <c r="L141" s="102">
        <f>+SUM(L137:L140)</f>
        <v>159.9</v>
      </c>
    </row>
    <row r="142" spans="3:12" x14ac:dyDescent="0.25">
      <c r="F142" s="401" t="str">
        <f>+CONCATENATE("Total acero para ",D133," ",E133," de ",C133," [kg]")</f>
        <v>Total acero para 0 ml de Poligono 1 [kg]</v>
      </c>
      <c r="G142" s="401"/>
      <c r="H142" s="401"/>
      <c r="I142" s="401"/>
      <c r="J142" s="401"/>
      <c r="K142" s="402"/>
      <c r="L142" s="102">
        <f>+ROUND(L$141*D133,1)</f>
        <v>0</v>
      </c>
    </row>
    <row r="143" spans="3:12" ht="12.75" customHeight="1" x14ac:dyDescent="0.25">
      <c r="C143" s="98"/>
      <c r="F143" s="401" t="str">
        <f t="shared" ref="F143:F144" si="34">+CONCATENATE("Total acero para ",D134," ",E134," de ",C134," [kg]")</f>
        <v>Total acero para 0 ml de Poligono 2 [kg]</v>
      </c>
      <c r="G143" s="401"/>
      <c r="H143" s="401"/>
      <c r="I143" s="401"/>
      <c r="J143" s="401"/>
      <c r="K143" s="402"/>
      <c r="L143" s="102">
        <f t="shared" ref="L143:L144" si="35">+ROUND(L$141*D134,1)</f>
        <v>0</v>
      </c>
    </row>
    <row r="144" spans="3:12" ht="12.75" customHeight="1" x14ac:dyDescent="0.25">
      <c r="C144" s="98"/>
      <c r="F144" s="401" t="str">
        <f t="shared" si="34"/>
        <v>Total acero para 0 ml de Disipador 1 [kg]</v>
      </c>
      <c r="G144" s="401"/>
      <c r="H144" s="401"/>
      <c r="I144" s="401"/>
      <c r="J144" s="401"/>
      <c r="K144" s="402"/>
      <c r="L144" s="102">
        <f t="shared" si="35"/>
        <v>0</v>
      </c>
    </row>
    <row r="145" spans="3:12" x14ac:dyDescent="0.25">
      <c r="C145" s="98"/>
      <c r="K145" s="138" t="str">
        <f>+CONCATENATE("Acero total para ",C131, " [kg]")</f>
        <v>Acero total para VIGA CABEZAL 0 x 0 m [kg]</v>
      </c>
      <c r="L145" s="102">
        <f>+SUM(L142:L144)</f>
        <v>0</v>
      </c>
    </row>
    <row r="146" spans="3:12" x14ac:dyDescent="0.25">
      <c r="C146" s="98"/>
      <c r="K146" s="138"/>
      <c r="L146" s="98"/>
    </row>
    <row r="147" spans="3:12" x14ac:dyDescent="0.25">
      <c r="C147" s="100" t="s">
        <v>680</v>
      </c>
      <c r="K147" s="138"/>
      <c r="L147" s="98"/>
    </row>
    <row r="148" spans="3:12" x14ac:dyDescent="0.25">
      <c r="C148" s="145" t="s">
        <v>681</v>
      </c>
      <c r="D148" s="79"/>
      <c r="E148" s="79"/>
      <c r="F148" s="79"/>
      <c r="G148" s="80"/>
      <c r="H148" s="80"/>
      <c r="I148" s="80"/>
      <c r="J148" s="80"/>
      <c r="K148" s="80"/>
      <c r="L148" s="80"/>
    </row>
    <row r="149" spans="3:12" ht="25.5" x14ac:dyDescent="0.25">
      <c r="C149" s="84" t="s">
        <v>445</v>
      </c>
      <c r="D149" s="84" t="s">
        <v>446</v>
      </c>
      <c r="E149" s="84" t="s">
        <v>447</v>
      </c>
      <c r="F149" s="84" t="s">
        <v>440</v>
      </c>
      <c r="G149" s="84" t="s">
        <v>441</v>
      </c>
      <c r="H149" s="84" t="s">
        <v>442</v>
      </c>
      <c r="I149" s="84" t="s">
        <v>448</v>
      </c>
      <c r="J149" s="84" t="s">
        <v>449</v>
      </c>
      <c r="K149" s="84" t="s">
        <v>450</v>
      </c>
      <c r="L149" s="84" t="s">
        <v>451</v>
      </c>
    </row>
    <row r="150" spans="3:12" x14ac:dyDescent="0.25">
      <c r="C150" s="85">
        <v>5</v>
      </c>
      <c r="D150" s="85">
        <v>4</v>
      </c>
      <c r="E150" s="85">
        <v>0.15</v>
      </c>
      <c r="F150" s="85">
        <f>1.8</f>
        <v>1.8</v>
      </c>
      <c r="G150" s="85">
        <v>1.4</v>
      </c>
      <c r="H150" s="85"/>
      <c r="I150" s="85">
        <f>+F150+(2*G150)</f>
        <v>4.5999999999999996</v>
      </c>
      <c r="J150" s="142">
        <f>(1/0.15)*1.12</f>
        <v>7.4666666666666677</v>
      </c>
      <c r="K150" s="85">
        <f>+I150*J150</f>
        <v>34.346666666666671</v>
      </c>
      <c r="L150" s="143">
        <f>+ROUND(VLOOKUP(D150,$P$172:$AC$183,8,FALSE)*K150,1)</f>
        <v>34.1</v>
      </c>
    </row>
    <row r="151" spans="3:12" x14ac:dyDescent="0.25">
      <c r="C151" s="85">
        <v>1</v>
      </c>
      <c r="D151" s="85">
        <v>3</v>
      </c>
      <c r="E151" s="85">
        <v>0.15</v>
      </c>
      <c r="F151" s="85">
        <f>1.02+(VLOOKUP(D151,$P$172:$AC$183,9,FALSE)/100)/6</f>
        <v>1.1100000000000001</v>
      </c>
      <c r="G151" s="85"/>
      <c r="H151" s="85"/>
      <c r="I151" s="85">
        <f>+F151+G151+2*H151</f>
        <v>1.1100000000000001</v>
      </c>
      <c r="J151" s="85">
        <f>31*1.12</f>
        <v>34.720000000000006</v>
      </c>
      <c r="K151" s="85">
        <f>+I151*J151</f>
        <v>38.539200000000008</v>
      </c>
      <c r="L151" s="85">
        <f>+ROUND(VLOOKUP(D151,$P$172:$AC$183,8,FALSE)*K151,1)</f>
        <v>21.6</v>
      </c>
    </row>
    <row r="152" spans="3:12" x14ac:dyDescent="0.25">
      <c r="C152" s="80"/>
      <c r="D152" s="80"/>
      <c r="E152" s="80"/>
      <c r="F152" s="80"/>
      <c r="G152" s="80"/>
      <c r="H152" s="80"/>
      <c r="I152" s="393" t="str">
        <f>+CONCATENATE("Acero por ML para ",C148)</f>
        <v>Acero por ML para CANAL DISIPADOR 1,6x1,3</v>
      </c>
      <c r="J152" s="393"/>
      <c r="K152" s="393"/>
      <c r="L152" s="144">
        <f>+SUM(L150:L151)</f>
        <v>55.7</v>
      </c>
    </row>
    <row r="153" spans="3:12" x14ac:dyDescent="0.25">
      <c r="C153" s="98"/>
      <c r="K153" s="138"/>
      <c r="L153" s="98"/>
    </row>
    <row r="154" spans="3:12" x14ac:dyDescent="0.25">
      <c r="C154" s="100" t="s">
        <v>680</v>
      </c>
      <c r="K154" s="138"/>
      <c r="L154" s="98"/>
    </row>
    <row r="155" spans="3:12" x14ac:dyDescent="0.25">
      <c r="C155" s="145" t="s">
        <v>682</v>
      </c>
      <c r="D155" s="79"/>
      <c r="E155" s="79"/>
      <c r="F155" s="79"/>
      <c r="G155" s="80"/>
      <c r="H155" s="80"/>
      <c r="I155" s="80"/>
      <c r="J155" s="80"/>
      <c r="K155" s="80"/>
      <c r="L155" s="80"/>
    </row>
    <row r="156" spans="3:12" ht="25.5" x14ac:dyDescent="0.25">
      <c r="C156" s="84" t="s">
        <v>445</v>
      </c>
      <c r="D156" s="84" t="s">
        <v>446</v>
      </c>
      <c r="E156" s="84" t="s">
        <v>447</v>
      </c>
      <c r="F156" s="84" t="s">
        <v>440</v>
      </c>
      <c r="G156" s="84" t="s">
        <v>441</v>
      </c>
      <c r="H156" s="84" t="s">
        <v>442</v>
      </c>
      <c r="I156" s="84" t="s">
        <v>448</v>
      </c>
      <c r="J156" s="84" t="s">
        <v>449</v>
      </c>
      <c r="K156" s="84" t="s">
        <v>450</v>
      </c>
      <c r="L156" s="84" t="s">
        <v>451</v>
      </c>
    </row>
    <row r="157" spans="3:12" x14ac:dyDescent="0.25">
      <c r="C157" s="85">
        <v>5</v>
      </c>
      <c r="D157" s="85">
        <v>4</v>
      </c>
      <c r="E157" s="85">
        <v>0.15</v>
      </c>
      <c r="F157" s="85">
        <f>1.8</f>
        <v>1.8</v>
      </c>
      <c r="G157" s="85">
        <v>1.4</v>
      </c>
      <c r="H157" s="85"/>
      <c r="I157" s="85">
        <f>+F157+(2*G157)</f>
        <v>4.5999999999999996</v>
      </c>
      <c r="J157" s="142">
        <f>(1/0.15)*1.12</f>
        <v>7.4666666666666677</v>
      </c>
      <c r="K157" s="85">
        <f>+I157*J157</f>
        <v>34.346666666666671</v>
      </c>
      <c r="L157" s="143">
        <f>+ROUND(VLOOKUP(D157,$P$172:$AC$183,8,FALSE)*K157,1)</f>
        <v>34.1</v>
      </c>
    </row>
    <row r="158" spans="3:12" x14ac:dyDescent="0.25">
      <c r="C158" s="85">
        <v>1</v>
      </c>
      <c r="D158" s="85">
        <v>3</v>
      </c>
      <c r="E158" s="85">
        <v>0.15</v>
      </c>
      <c r="F158" s="85">
        <f>1.02+(VLOOKUP(D158,$P$172:$AC$183,9,FALSE)/100)/6</f>
        <v>1.1100000000000001</v>
      </c>
      <c r="G158" s="85"/>
      <c r="H158" s="85"/>
      <c r="I158" s="85">
        <f>+F158+G158+2*H158</f>
        <v>1.1100000000000001</v>
      </c>
      <c r="J158" s="85">
        <f>31*1.12</f>
        <v>34.720000000000006</v>
      </c>
      <c r="K158" s="85">
        <f>+I158*J158</f>
        <v>38.539200000000008</v>
      </c>
      <c r="L158" s="85">
        <f>+ROUND(VLOOKUP(D158,$P$172:$AC$183,8,FALSE)*K158,1)</f>
        <v>21.6</v>
      </c>
    </row>
    <row r="159" spans="3:12" x14ac:dyDescent="0.25">
      <c r="C159" s="80"/>
      <c r="D159" s="80"/>
      <c r="E159" s="80"/>
      <c r="F159" s="80"/>
      <c r="G159" s="80"/>
      <c r="H159" s="80"/>
      <c r="I159" s="393" t="str">
        <f>+CONCATENATE("Acero por ML para ",C155)</f>
        <v>Acero por ML para CANAL 1,6x1,3</v>
      </c>
      <c r="J159" s="393"/>
      <c r="K159" s="393"/>
      <c r="L159" s="144">
        <f>+SUM(L157:L158)</f>
        <v>55.7</v>
      </c>
    </row>
    <row r="160" spans="3:12" x14ac:dyDescent="0.25">
      <c r="C160" s="98"/>
      <c r="K160" s="138"/>
      <c r="L160" s="98"/>
    </row>
    <row r="161" spans="3:37" x14ac:dyDescent="0.25">
      <c r="C161" s="100" t="s">
        <v>680</v>
      </c>
      <c r="K161" s="138"/>
      <c r="L161" s="98"/>
    </row>
    <row r="162" spans="3:37" x14ac:dyDescent="0.25">
      <c r="C162" s="395" t="s">
        <v>683</v>
      </c>
      <c r="D162" s="395"/>
      <c r="E162" s="80"/>
      <c r="F162" s="80"/>
      <c r="G162" s="80"/>
      <c r="H162" s="80"/>
      <c r="I162" s="80"/>
      <c r="J162" s="80"/>
      <c r="K162" s="80"/>
      <c r="L162" s="80"/>
    </row>
    <row r="163" spans="3:37" ht="25.5" x14ac:dyDescent="0.25">
      <c r="C163" s="84" t="s">
        <v>445</v>
      </c>
      <c r="D163" s="84" t="s">
        <v>446</v>
      </c>
      <c r="E163" s="84" t="s">
        <v>447</v>
      </c>
      <c r="F163" s="84" t="s">
        <v>440</v>
      </c>
      <c r="G163" s="84" t="s">
        <v>441</v>
      </c>
      <c r="H163" s="84" t="s">
        <v>442</v>
      </c>
      <c r="I163" s="84" t="s">
        <v>448</v>
      </c>
      <c r="J163" s="84" t="s">
        <v>449</v>
      </c>
      <c r="K163" s="84" t="s">
        <v>450</v>
      </c>
      <c r="L163" s="84" t="s">
        <v>451</v>
      </c>
    </row>
    <row r="164" spans="3:37" x14ac:dyDescent="0.25">
      <c r="C164" s="85">
        <v>5</v>
      </c>
      <c r="D164" s="85">
        <v>3</v>
      </c>
      <c r="E164" s="85">
        <v>0.15</v>
      </c>
      <c r="F164" s="85">
        <f>2.05*2+2.2</f>
        <v>6.3</v>
      </c>
      <c r="G164" s="85">
        <v>0.17</v>
      </c>
      <c r="H164" s="85"/>
      <c r="I164" s="85">
        <f>+F164+G164+2*H164</f>
        <v>6.47</v>
      </c>
      <c r="J164" s="85">
        <v>30</v>
      </c>
      <c r="K164" s="85">
        <f>+I164*J164</f>
        <v>194.1</v>
      </c>
      <c r="L164" s="85">
        <f>+ROUND(VLOOKUP(D164,$P$172:$AC$183,8,FALSE)*K164,1)</f>
        <v>108.7</v>
      </c>
    </row>
    <row r="165" spans="3:37" x14ac:dyDescent="0.25">
      <c r="C165" s="85">
        <v>6</v>
      </c>
      <c r="D165" s="85">
        <v>4</v>
      </c>
      <c r="E165" s="85">
        <v>0.15</v>
      </c>
      <c r="F165" s="85">
        <v>2.2000000000000002</v>
      </c>
      <c r="G165" s="85">
        <v>2.2000000000000002</v>
      </c>
      <c r="H165" s="85">
        <v>0.21</v>
      </c>
      <c r="I165" s="85">
        <f>+F165*2+G165*2+2*H165</f>
        <v>9.2200000000000006</v>
      </c>
      <c r="J165" s="85">
        <v>13</v>
      </c>
      <c r="K165" s="85">
        <f>+I165*J165</f>
        <v>119.86000000000001</v>
      </c>
      <c r="L165" s="85">
        <f>+ROUND(VLOOKUP(D165,$P$172:$AC$183,8,FALSE)*K165,1)</f>
        <v>119.1</v>
      </c>
    </row>
    <row r="166" spans="3:37" x14ac:dyDescent="0.25">
      <c r="C166" s="85">
        <v>5</v>
      </c>
      <c r="D166" s="85">
        <v>3</v>
      </c>
      <c r="E166" s="85">
        <v>0.15</v>
      </c>
      <c r="F166" s="85">
        <v>2.2000000000000002</v>
      </c>
      <c r="G166" s="85"/>
      <c r="H166" s="85"/>
      <c r="I166" s="85">
        <f>+F166+G166+2*H166</f>
        <v>2.2000000000000002</v>
      </c>
      <c r="J166" s="85">
        <v>30</v>
      </c>
      <c r="K166" s="85">
        <f>+I166*J166</f>
        <v>66</v>
      </c>
      <c r="L166" s="85">
        <f>+ROUND(VLOOKUP(D166,$P$172:$AC$183,8,FALSE)*K166,1)</f>
        <v>37</v>
      </c>
    </row>
    <row r="167" spans="3:37" x14ac:dyDescent="0.25">
      <c r="C167" s="80"/>
      <c r="D167" s="80"/>
      <c r="E167" s="80"/>
      <c r="F167" s="80"/>
      <c r="G167" s="80"/>
      <c r="H167" s="80"/>
      <c r="I167" s="393" t="str">
        <f>+CONCATENATE("Total Acero para ",C162)</f>
        <v>Total Acero para CAJA DE INSPECCION 2.00 X 2.00m</v>
      </c>
      <c r="J167" s="393"/>
      <c r="K167" s="393"/>
      <c r="L167" s="146">
        <f>+SUM(L164:L166)</f>
        <v>264.8</v>
      </c>
    </row>
    <row r="168" spans="3:37" x14ac:dyDescent="0.25">
      <c r="C168" s="98"/>
      <c r="K168" s="138"/>
      <c r="L168" s="98"/>
    </row>
    <row r="169" spans="3:37" x14ac:dyDescent="0.25">
      <c r="C169" s="98"/>
    </row>
    <row r="170" spans="3:37" ht="51" x14ac:dyDescent="0.25">
      <c r="C170" s="98"/>
      <c r="P170" s="398" t="s">
        <v>452</v>
      </c>
      <c r="Q170" s="389" t="s">
        <v>435</v>
      </c>
      <c r="R170" s="389"/>
      <c r="S170" s="389" t="s">
        <v>453</v>
      </c>
      <c r="T170" s="389"/>
      <c r="U170" s="389" t="s">
        <v>454</v>
      </c>
      <c r="V170" s="389"/>
      <c r="W170" s="389" t="s">
        <v>455</v>
      </c>
      <c r="X170" s="389" t="s">
        <v>456</v>
      </c>
      <c r="Y170" s="389" t="s">
        <v>457</v>
      </c>
      <c r="Z170" s="105" t="s">
        <v>458</v>
      </c>
      <c r="AA170" s="105" t="s">
        <v>459</v>
      </c>
      <c r="AB170" s="105" t="s">
        <v>460</v>
      </c>
      <c r="AC170" s="389" t="s">
        <v>461</v>
      </c>
    </row>
    <row r="171" spans="3:37" x14ac:dyDescent="0.25">
      <c r="C171" s="98"/>
      <c r="P171" s="399"/>
      <c r="Q171" s="105" t="s">
        <v>462</v>
      </c>
      <c r="R171" s="105" t="s">
        <v>463</v>
      </c>
      <c r="S171" s="105" t="s">
        <v>464</v>
      </c>
      <c r="T171" s="105" t="s">
        <v>465</v>
      </c>
      <c r="U171" s="105" t="s">
        <v>462</v>
      </c>
      <c r="V171" s="105" t="s">
        <v>463</v>
      </c>
      <c r="W171" s="389"/>
      <c r="X171" s="389"/>
      <c r="Y171" s="389"/>
      <c r="Z171" s="105" t="s">
        <v>466</v>
      </c>
      <c r="AA171" s="105" t="s">
        <v>466</v>
      </c>
      <c r="AB171" s="105" t="s">
        <v>466</v>
      </c>
      <c r="AC171" s="389"/>
      <c r="AI171" s="106" t="s">
        <v>467</v>
      </c>
      <c r="AJ171" s="106">
        <v>420</v>
      </c>
      <c r="AK171" s="106" t="s">
        <v>468</v>
      </c>
    </row>
    <row r="172" spans="3:37" x14ac:dyDescent="0.25">
      <c r="C172" s="98"/>
      <c r="P172" s="107">
        <v>2</v>
      </c>
      <c r="Q172" s="107">
        <v>6.4</v>
      </c>
      <c r="R172" s="107">
        <f t="shared" ref="R172:R183" si="36">+Q172/10</f>
        <v>0.64</v>
      </c>
      <c r="S172" s="107">
        <v>32</v>
      </c>
      <c r="T172" s="107">
        <f t="shared" ref="T172:T183" si="37">+S172/100</f>
        <v>0.32</v>
      </c>
      <c r="U172" s="107">
        <v>20</v>
      </c>
      <c r="V172" s="107">
        <f t="shared" ref="V172:V183" si="38">+U172/10</f>
        <v>2</v>
      </c>
      <c r="W172" s="107">
        <v>0.25</v>
      </c>
      <c r="X172" s="107"/>
      <c r="Y172" s="107"/>
      <c r="Z172" s="107"/>
      <c r="AA172" s="107"/>
      <c r="AB172" s="107"/>
      <c r="AC172" s="107"/>
      <c r="AI172" s="106" t="s">
        <v>469</v>
      </c>
      <c r="AJ172" s="106">
        <v>1</v>
      </c>
      <c r="AK172" s="106"/>
    </row>
    <row r="173" spans="3:37" x14ac:dyDescent="0.25">
      <c r="C173" s="98"/>
      <c r="P173" s="107">
        <v>3</v>
      </c>
      <c r="Q173" s="107">
        <v>9.5</v>
      </c>
      <c r="R173" s="107">
        <f t="shared" si="36"/>
        <v>0.95</v>
      </c>
      <c r="S173" s="107">
        <v>71</v>
      </c>
      <c r="T173" s="107">
        <f t="shared" si="37"/>
        <v>0.71</v>
      </c>
      <c r="U173" s="107">
        <v>30</v>
      </c>
      <c r="V173" s="107">
        <f t="shared" si="38"/>
        <v>3</v>
      </c>
      <c r="W173" s="107">
        <v>0.56000000000000005</v>
      </c>
      <c r="X173" s="107">
        <f t="shared" ref="X173:X183" si="39">+ROUND($AJ$176*R173,0)</f>
        <v>54</v>
      </c>
      <c r="Y173" s="107">
        <f t="shared" ref="Y173:Y183" si="40">+X173*1.3</f>
        <v>70.2</v>
      </c>
      <c r="Z173" s="107">
        <f>6*R173</f>
        <v>5.6999999999999993</v>
      </c>
      <c r="AA173" s="107">
        <f t="shared" ref="AA173:AA183" si="41">6*R173</f>
        <v>5.6999999999999993</v>
      </c>
      <c r="AB173" s="108">
        <f t="shared" ref="AB173:AB183" si="42">+PI()*Z173*(3/8)</f>
        <v>6.7151542970481817</v>
      </c>
      <c r="AC173" s="109">
        <f t="shared" ref="AC173:AC183" si="43">+ROUNDUP(AB173+AA173,0)</f>
        <v>13</v>
      </c>
      <c r="AD173" s="99">
        <f>+R173*(4+6)</f>
        <v>9.5</v>
      </c>
      <c r="AI173" s="99" t="s">
        <v>470</v>
      </c>
      <c r="AJ173" s="99">
        <v>1.5</v>
      </c>
    </row>
    <row r="174" spans="3:37" x14ac:dyDescent="0.25">
      <c r="C174" s="98"/>
      <c r="P174" s="107">
        <v>4</v>
      </c>
      <c r="Q174" s="107">
        <v>12.7</v>
      </c>
      <c r="R174" s="107">
        <f t="shared" si="36"/>
        <v>1.27</v>
      </c>
      <c r="S174" s="107">
        <v>129</v>
      </c>
      <c r="T174" s="107">
        <f t="shared" si="37"/>
        <v>1.29</v>
      </c>
      <c r="U174" s="107">
        <v>40</v>
      </c>
      <c r="V174" s="107">
        <f t="shared" si="38"/>
        <v>4</v>
      </c>
      <c r="W174" s="107">
        <v>0.99399999999999999</v>
      </c>
      <c r="X174" s="107">
        <f t="shared" si="39"/>
        <v>72</v>
      </c>
      <c r="Y174" s="107">
        <f t="shared" si="40"/>
        <v>93.600000000000009</v>
      </c>
      <c r="Z174" s="107">
        <f t="shared" ref="Z174:Z178" si="44">6*R174</f>
        <v>7.62</v>
      </c>
      <c r="AA174" s="107">
        <f t="shared" si="41"/>
        <v>7.62</v>
      </c>
      <c r="AB174" s="108">
        <f t="shared" si="42"/>
        <v>8.9771010076328341</v>
      </c>
      <c r="AC174" s="109">
        <f t="shared" si="43"/>
        <v>17</v>
      </c>
      <c r="AD174" s="99">
        <f t="shared" ref="AD174:AD183" si="45">+R174*12</f>
        <v>15.24</v>
      </c>
      <c r="AI174" s="106" t="s">
        <v>471</v>
      </c>
      <c r="AJ174" s="106">
        <v>1</v>
      </c>
      <c r="AK174" s="106"/>
    </row>
    <row r="175" spans="3:37" x14ac:dyDescent="0.25">
      <c r="P175" s="107">
        <v>5</v>
      </c>
      <c r="Q175" s="107">
        <v>15.9</v>
      </c>
      <c r="R175" s="107">
        <f t="shared" si="36"/>
        <v>1.59</v>
      </c>
      <c r="S175" s="107">
        <v>199</v>
      </c>
      <c r="T175" s="107">
        <f t="shared" si="37"/>
        <v>1.99</v>
      </c>
      <c r="U175" s="107">
        <v>50</v>
      </c>
      <c r="V175" s="107">
        <f t="shared" si="38"/>
        <v>5</v>
      </c>
      <c r="W175" s="107">
        <v>1.552</v>
      </c>
      <c r="X175" s="107">
        <f t="shared" si="39"/>
        <v>90</v>
      </c>
      <c r="Y175" s="107">
        <f t="shared" si="40"/>
        <v>117</v>
      </c>
      <c r="Z175" s="107">
        <f t="shared" si="44"/>
        <v>9.5400000000000009</v>
      </c>
      <c r="AA175" s="107">
        <f t="shared" si="41"/>
        <v>9.5400000000000009</v>
      </c>
      <c r="AB175" s="108">
        <f t="shared" si="42"/>
        <v>11.239047718217487</v>
      </c>
      <c r="AC175" s="109">
        <f t="shared" si="43"/>
        <v>21</v>
      </c>
      <c r="AD175" s="99">
        <f t="shared" si="45"/>
        <v>19.080000000000002</v>
      </c>
      <c r="AI175" s="106" t="s">
        <v>472</v>
      </c>
      <c r="AJ175" s="106">
        <v>28</v>
      </c>
      <c r="AK175" s="106" t="s">
        <v>468</v>
      </c>
    </row>
    <row r="176" spans="3:37" x14ac:dyDescent="0.25">
      <c r="P176" s="107">
        <v>6</v>
      </c>
      <c r="Q176" s="107">
        <v>19.100000000000001</v>
      </c>
      <c r="R176" s="107">
        <f t="shared" si="36"/>
        <v>1.9100000000000001</v>
      </c>
      <c r="S176" s="107">
        <v>284</v>
      </c>
      <c r="T176" s="107">
        <f t="shared" si="37"/>
        <v>2.84</v>
      </c>
      <c r="U176" s="107">
        <v>60</v>
      </c>
      <c r="V176" s="107">
        <f t="shared" si="38"/>
        <v>6</v>
      </c>
      <c r="W176" s="107">
        <v>2.2349999999999999</v>
      </c>
      <c r="X176" s="107">
        <f t="shared" si="39"/>
        <v>108</v>
      </c>
      <c r="Y176" s="107">
        <f t="shared" si="40"/>
        <v>140.4</v>
      </c>
      <c r="Z176" s="107">
        <f t="shared" si="44"/>
        <v>11.46</v>
      </c>
      <c r="AA176" s="107">
        <f t="shared" si="41"/>
        <v>11.46</v>
      </c>
      <c r="AB176" s="108">
        <f t="shared" si="42"/>
        <v>13.500994428802137</v>
      </c>
      <c r="AC176" s="109">
        <f t="shared" si="43"/>
        <v>25</v>
      </c>
      <c r="AD176" s="99">
        <f t="shared" si="45"/>
        <v>22.92</v>
      </c>
      <c r="AI176" s="106"/>
      <c r="AJ176" s="106">
        <f>+((AJ171*AJ172*AJ173)/(2.1*AJ174*SQRT(AJ175)))</f>
        <v>56.694670951384076</v>
      </c>
      <c r="AK176" s="106"/>
    </row>
    <row r="177" spans="3:36" x14ac:dyDescent="0.25">
      <c r="P177" s="107">
        <v>7</v>
      </c>
      <c r="Q177" s="107">
        <v>22.2</v>
      </c>
      <c r="R177" s="107">
        <f t="shared" si="36"/>
        <v>2.2199999999999998</v>
      </c>
      <c r="S177" s="107">
        <v>387</v>
      </c>
      <c r="T177" s="107">
        <f t="shared" si="37"/>
        <v>3.87</v>
      </c>
      <c r="U177" s="107">
        <v>70</v>
      </c>
      <c r="V177" s="107">
        <f t="shared" si="38"/>
        <v>7</v>
      </c>
      <c r="W177" s="107">
        <v>3.0419999999999998</v>
      </c>
      <c r="X177" s="107">
        <f t="shared" si="39"/>
        <v>126</v>
      </c>
      <c r="Y177" s="107">
        <f t="shared" si="40"/>
        <v>163.80000000000001</v>
      </c>
      <c r="Z177" s="107">
        <f t="shared" si="44"/>
        <v>13.319999999999999</v>
      </c>
      <c r="AA177" s="107">
        <f t="shared" si="41"/>
        <v>13.319999999999999</v>
      </c>
      <c r="AB177" s="108">
        <f t="shared" si="42"/>
        <v>15.692255304681016</v>
      </c>
      <c r="AC177" s="109">
        <f t="shared" si="43"/>
        <v>30</v>
      </c>
      <c r="AD177" s="99">
        <f t="shared" si="45"/>
        <v>26.639999999999997</v>
      </c>
    </row>
    <row r="178" spans="3:36" x14ac:dyDescent="0.25">
      <c r="P178" s="107">
        <v>8</v>
      </c>
      <c r="Q178" s="107">
        <v>25.4</v>
      </c>
      <c r="R178" s="107">
        <f t="shared" si="36"/>
        <v>2.54</v>
      </c>
      <c r="S178" s="107">
        <v>510</v>
      </c>
      <c r="T178" s="107">
        <f t="shared" si="37"/>
        <v>5.0999999999999996</v>
      </c>
      <c r="U178" s="107">
        <v>80</v>
      </c>
      <c r="V178" s="107">
        <f t="shared" si="38"/>
        <v>8</v>
      </c>
      <c r="W178" s="107">
        <v>3.9729999999999999</v>
      </c>
      <c r="X178" s="107">
        <f t="shared" si="39"/>
        <v>144</v>
      </c>
      <c r="Y178" s="107">
        <f t="shared" si="40"/>
        <v>187.20000000000002</v>
      </c>
      <c r="Z178" s="107">
        <f t="shared" si="44"/>
        <v>15.24</v>
      </c>
      <c r="AA178" s="107">
        <f t="shared" si="41"/>
        <v>15.24</v>
      </c>
      <c r="AB178" s="108">
        <f t="shared" si="42"/>
        <v>17.954202015265668</v>
      </c>
      <c r="AC178" s="109">
        <f t="shared" si="43"/>
        <v>34</v>
      </c>
      <c r="AD178" s="99">
        <f t="shared" si="45"/>
        <v>30.48</v>
      </c>
    </row>
    <row r="179" spans="3:36" x14ac:dyDescent="0.25">
      <c r="P179" s="107">
        <v>9</v>
      </c>
      <c r="Q179" s="103">
        <v>28.7</v>
      </c>
      <c r="R179" s="103">
        <f t="shared" si="36"/>
        <v>2.87</v>
      </c>
      <c r="S179" s="103">
        <v>645</v>
      </c>
      <c r="T179" s="103">
        <f t="shared" si="37"/>
        <v>6.45</v>
      </c>
      <c r="U179" s="103">
        <v>90</v>
      </c>
      <c r="V179" s="103">
        <f t="shared" si="38"/>
        <v>9</v>
      </c>
      <c r="W179" s="103">
        <v>5.0599999999999996</v>
      </c>
      <c r="X179" s="107">
        <f t="shared" si="39"/>
        <v>163</v>
      </c>
      <c r="Y179" s="107">
        <f t="shared" si="40"/>
        <v>211.9</v>
      </c>
      <c r="Z179" s="107">
        <f>8*R179</f>
        <v>22.96</v>
      </c>
      <c r="AA179" s="107">
        <f t="shared" si="41"/>
        <v>17.22</v>
      </c>
      <c r="AB179" s="108">
        <f t="shared" si="42"/>
        <v>27.04911274740812</v>
      </c>
      <c r="AC179" s="109">
        <f t="shared" si="43"/>
        <v>45</v>
      </c>
      <c r="AD179" s="99">
        <f t="shared" si="45"/>
        <v>34.44</v>
      </c>
    </row>
    <row r="180" spans="3:36" x14ac:dyDescent="0.25">
      <c r="P180" s="107">
        <v>10</v>
      </c>
      <c r="Q180" s="103">
        <v>32.299999999999997</v>
      </c>
      <c r="R180" s="103">
        <f t="shared" si="36"/>
        <v>3.2299999999999995</v>
      </c>
      <c r="S180" s="103">
        <v>819</v>
      </c>
      <c r="T180" s="103">
        <f t="shared" si="37"/>
        <v>8.19</v>
      </c>
      <c r="U180" s="103">
        <v>101.3</v>
      </c>
      <c r="V180" s="103">
        <f t="shared" si="38"/>
        <v>10.129999999999999</v>
      </c>
      <c r="W180" s="103">
        <v>6.4039999999999999</v>
      </c>
      <c r="X180" s="107">
        <f t="shared" si="39"/>
        <v>183</v>
      </c>
      <c r="Y180" s="107">
        <f t="shared" si="40"/>
        <v>237.9</v>
      </c>
      <c r="Z180" s="107">
        <f t="shared" ref="Z180:Z181" si="46">8*R180</f>
        <v>25.839999999999996</v>
      </c>
      <c r="AA180" s="107">
        <f t="shared" si="41"/>
        <v>19.379999999999995</v>
      </c>
      <c r="AB180" s="108">
        <f t="shared" si="42"/>
        <v>30.442032813285088</v>
      </c>
      <c r="AC180" s="109">
        <f t="shared" si="43"/>
        <v>50</v>
      </c>
      <c r="AD180" s="99">
        <f t="shared" si="45"/>
        <v>38.759999999999991</v>
      </c>
    </row>
    <row r="181" spans="3:36" x14ac:dyDescent="0.25">
      <c r="P181" s="107">
        <v>11</v>
      </c>
      <c r="Q181" s="103">
        <v>35.799999999999997</v>
      </c>
      <c r="R181" s="103">
        <f t="shared" si="36"/>
        <v>3.5799999999999996</v>
      </c>
      <c r="S181" s="103">
        <v>1006</v>
      </c>
      <c r="T181" s="103">
        <f t="shared" si="37"/>
        <v>10.06</v>
      </c>
      <c r="U181" s="103">
        <v>112.5</v>
      </c>
      <c r="V181" s="103">
        <f t="shared" si="38"/>
        <v>11.25</v>
      </c>
      <c r="W181" s="103">
        <v>7.907</v>
      </c>
      <c r="X181" s="107">
        <f t="shared" si="39"/>
        <v>203</v>
      </c>
      <c r="Y181" s="107">
        <f t="shared" si="40"/>
        <v>263.90000000000003</v>
      </c>
      <c r="Z181" s="107">
        <f t="shared" si="46"/>
        <v>28.639999999999997</v>
      </c>
      <c r="AA181" s="107">
        <f t="shared" si="41"/>
        <v>21.479999999999997</v>
      </c>
      <c r="AB181" s="108">
        <f t="shared" si="42"/>
        <v>33.740705099554376</v>
      </c>
      <c r="AC181" s="109">
        <f t="shared" si="43"/>
        <v>56</v>
      </c>
      <c r="AD181" s="99">
        <f t="shared" si="45"/>
        <v>42.959999999999994</v>
      </c>
    </row>
    <row r="182" spans="3:36" x14ac:dyDescent="0.25">
      <c r="P182" s="107">
        <v>14</v>
      </c>
      <c r="Q182" s="103">
        <v>43</v>
      </c>
      <c r="R182" s="103">
        <f t="shared" si="36"/>
        <v>4.3</v>
      </c>
      <c r="S182" s="103">
        <v>1452</v>
      </c>
      <c r="T182" s="103">
        <f t="shared" si="37"/>
        <v>14.52</v>
      </c>
      <c r="U182" s="103">
        <v>135.1</v>
      </c>
      <c r="V182" s="103">
        <f t="shared" si="38"/>
        <v>13.51</v>
      </c>
      <c r="W182" s="103">
        <v>11.38</v>
      </c>
      <c r="X182" s="107">
        <f t="shared" si="39"/>
        <v>244</v>
      </c>
      <c r="Y182" s="107">
        <f t="shared" si="40"/>
        <v>317.2</v>
      </c>
      <c r="Z182" s="107">
        <f>10*R182</f>
        <v>43</v>
      </c>
      <c r="AA182" s="107">
        <f t="shared" si="41"/>
        <v>25.799999999999997</v>
      </c>
      <c r="AB182" s="108">
        <f t="shared" si="42"/>
        <v>50.658181539135413</v>
      </c>
      <c r="AC182" s="109">
        <f t="shared" si="43"/>
        <v>77</v>
      </c>
      <c r="AD182" s="99">
        <f t="shared" si="45"/>
        <v>51.599999999999994</v>
      </c>
      <c r="AJ182" s="99">
        <f>+((0.24*AJ173*AJ171)/(AJ174*SQRT(AJ175)))</f>
        <v>28.574114159497576</v>
      </c>
    </row>
    <row r="183" spans="3:36" x14ac:dyDescent="0.25">
      <c r="P183" s="107">
        <v>18</v>
      </c>
      <c r="Q183" s="103">
        <v>57.3</v>
      </c>
      <c r="R183" s="103">
        <f t="shared" si="36"/>
        <v>5.7299999999999995</v>
      </c>
      <c r="S183" s="103">
        <v>2581</v>
      </c>
      <c r="T183" s="103">
        <f t="shared" si="37"/>
        <v>25.81</v>
      </c>
      <c r="U183" s="103">
        <v>180.1</v>
      </c>
      <c r="V183" s="103">
        <f t="shared" si="38"/>
        <v>18.009999999999998</v>
      </c>
      <c r="W183" s="103">
        <v>20.239999999999998</v>
      </c>
      <c r="X183" s="107">
        <f t="shared" si="39"/>
        <v>325</v>
      </c>
      <c r="Y183" s="107">
        <f t="shared" si="40"/>
        <v>422.5</v>
      </c>
      <c r="Z183" s="107">
        <f>10*R183</f>
        <v>57.3</v>
      </c>
      <c r="AA183" s="107">
        <f t="shared" si="41"/>
        <v>34.379999999999995</v>
      </c>
      <c r="AB183" s="108">
        <f t="shared" si="42"/>
        <v>67.504972144010679</v>
      </c>
      <c r="AC183" s="109">
        <f t="shared" si="43"/>
        <v>102</v>
      </c>
      <c r="AD183" s="99">
        <f t="shared" si="45"/>
        <v>68.759999999999991</v>
      </c>
    </row>
    <row r="189" spans="3:36" x14ac:dyDescent="0.25">
      <c r="C189" s="100" t="s">
        <v>568</v>
      </c>
    </row>
    <row r="190" spans="3:36" ht="25.5" x14ac:dyDescent="0.25">
      <c r="C190" s="98" t="s">
        <v>570</v>
      </c>
      <c r="D190" s="98" t="s">
        <v>473</v>
      </c>
      <c r="E190" s="98">
        <f>+F51+F52</f>
        <v>36</v>
      </c>
      <c r="F190" s="98" t="s">
        <v>443</v>
      </c>
    </row>
    <row r="191" spans="3:36" ht="38.25" x14ac:dyDescent="0.25">
      <c r="C191" s="101" t="s">
        <v>445</v>
      </c>
      <c r="D191" s="101" t="s">
        <v>446</v>
      </c>
      <c r="E191" s="101" t="s">
        <v>447</v>
      </c>
      <c r="F191" s="101" t="s">
        <v>440</v>
      </c>
      <c r="G191" s="101" t="s">
        <v>441</v>
      </c>
      <c r="H191" s="101" t="s">
        <v>442</v>
      </c>
      <c r="I191" s="101" t="s">
        <v>448</v>
      </c>
      <c r="J191" s="101" t="s">
        <v>449</v>
      </c>
      <c r="K191" s="101" t="s">
        <v>450</v>
      </c>
      <c r="L191" s="101" t="s">
        <v>451</v>
      </c>
    </row>
    <row r="192" spans="3:36" x14ac:dyDescent="0.25">
      <c r="C192" s="103">
        <v>2</v>
      </c>
      <c r="D192" s="103">
        <v>10</v>
      </c>
      <c r="E192" s="103"/>
      <c r="F192" s="103">
        <f>+(5.54+6.33)/2</f>
        <v>5.9350000000000005</v>
      </c>
      <c r="G192" s="103">
        <v>0.64</v>
      </c>
      <c r="H192" s="103"/>
      <c r="I192" s="103">
        <f t="shared" ref="I192:I198" si="47">+F192+G192+2*H192</f>
        <v>6.5750000000000002</v>
      </c>
      <c r="J192" s="103">
        <v>20</v>
      </c>
      <c r="K192" s="103">
        <f>+I192*J192</f>
        <v>131.5</v>
      </c>
      <c r="L192" s="103">
        <f t="shared" ref="L192:L198" si="48">+ROUND(VLOOKUP(D192,$P$170:$AC$183,8,FALSE)*K192,1)</f>
        <v>842.1</v>
      </c>
    </row>
    <row r="193" spans="3:14" x14ac:dyDescent="0.25">
      <c r="C193" s="103">
        <v>2</v>
      </c>
      <c r="D193" s="103">
        <v>10</v>
      </c>
      <c r="E193" s="103"/>
      <c r="F193" s="103">
        <f>+(8.59+9.38)/2</f>
        <v>8.9849999999999994</v>
      </c>
      <c r="G193" s="103">
        <v>0.64</v>
      </c>
      <c r="H193" s="103"/>
      <c r="I193" s="103">
        <f t="shared" si="47"/>
        <v>9.625</v>
      </c>
      <c r="J193" s="103">
        <v>20</v>
      </c>
      <c r="K193" s="103">
        <f>+I193*J193</f>
        <v>192.5</v>
      </c>
      <c r="L193" s="103">
        <f t="shared" si="48"/>
        <v>1232.8</v>
      </c>
    </row>
    <row r="194" spans="3:14" x14ac:dyDescent="0.25">
      <c r="C194" s="103">
        <v>2</v>
      </c>
      <c r="D194" s="103">
        <v>10</v>
      </c>
      <c r="E194" s="103"/>
      <c r="F194" s="103">
        <f>+(9.61+10.4)/2</f>
        <v>10.004999999999999</v>
      </c>
      <c r="G194" s="103">
        <v>0.64</v>
      </c>
      <c r="H194" s="103"/>
      <c r="I194" s="103">
        <f t="shared" si="47"/>
        <v>10.645</v>
      </c>
      <c r="J194" s="103">
        <v>20</v>
      </c>
      <c r="K194" s="103">
        <f>+I194*J194</f>
        <v>212.89999999999998</v>
      </c>
      <c r="L194" s="103">
        <f t="shared" si="48"/>
        <v>1363.4</v>
      </c>
    </row>
    <row r="195" spans="3:14" x14ac:dyDescent="0.25">
      <c r="C195" s="103">
        <v>2</v>
      </c>
      <c r="D195" s="103">
        <v>10</v>
      </c>
      <c r="E195" s="103"/>
      <c r="F195" s="103">
        <f>+(4.52+5.31)/2</f>
        <v>4.9149999999999991</v>
      </c>
      <c r="G195" s="103">
        <v>0.64</v>
      </c>
      <c r="H195" s="103"/>
      <c r="I195" s="103">
        <f t="shared" si="47"/>
        <v>5.5549999999999988</v>
      </c>
      <c r="J195" s="103">
        <v>20</v>
      </c>
      <c r="K195" s="103">
        <f t="shared" ref="K195:K198" si="49">+I195*J195</f>
        <v>111.09999999999998</v>
      </c>
      <c r="L195" s="103">
        <f t="shared" si="48"/>
        <v>711.5</v>
      </c>
    </row>
    <row r="196" spans="3:14" x14ac:dyDescent="0.25">
      <c r="C196" s="103">
        <v>1</v>
      </c>
      <c r="D196" s="103">
        <v>4</v>
      </c>
      <c r="E196" s="103"/>
      <c r="F196" s="127">
        <f>+(PI()*1.1)+0.2+0.2</f>
        <v>3.8557519189487732</v>
      </c>
      <c r="G196" s="103"/>
      <c r="H196" s="103"/>
      <c r="I196" s="110">
        <f t="shared" si="47"/>
        <v>3.8557519189487732</v>
      </c>
      <c r="J196" s="103">
        <f>107+19</f>
        <v>126</v>
      </c>
      <c r="K196" s="110">
        <f t="shared" si="49"/>
        <v>485.82474178754541</v>
      </c>
      <c r="L196" s="103">
        <f t="shared" si="48"/>
        <v>482.9</v>
      </c>
    </row>
    <row r="197" spans="3:14" x14ac:dyDescent="0.25">
      <c r="C197" s="103">
        <v>1</v>
      </c>
      <c r="D197" s="103">
        <v>4</v>
      </c>
      <c r="E197" s="103"/>
      <c r="F197" s="103">
        <v>0.9</v>
      </c>
      <c r="G197" s="103"/>
      <c r="H197" s="103"/>
      <c r="I197" s="103">
        <f t="shared" si="47"/>
        <v>0.9</v>
      </c>
      <c r="J197" s="103">
        <f>+(ROUNDUP((PI()*1.2)/0.2,0))*13</f>
        <v>247</v>
      </c>
      <c r="K197" s="103">
        <f t="shared" si="49"/>
        <v>222.3</v>
      </c>
      <c r="L197" s="103">
        <f t="shared" si="48"/>
        <v>221</v>
      </c>
      <c r="N197" s="128"/>
    </row>
    <row r="198" spans="3:14" x14ac:dyDescent="0.25">
      <c r="C198" s="103">
        <v>1</v>
      </c>
      <c r="D198" s="103">
        <v>4</v>
      </c>
      <c r="E198" s="103"/>
      <c r="F198" s="110">
        <f>+PI()*1.35+2*(VLOOKUP(D198,$P$170:$AC$183,14,FALSE)/100)</f>
        <v>4.5811500823462206</v>
      </c>
      <c r="G198" s="103"/>
      <c r="H198" s="103"/>
      <c r="I198" s="110">
        <f t="shared" si="47"/>
        <v>4.5811500823462206</v>
      </c>
      <c r="J198" s="103">
        <f>5*13</f>
        <v>65</v>
      </c>
      <c r="K198" s="110">
        <f t="shared" si="49"/>
        <v>297.77475535250431</v>
      </c>
      <c r="L198" s="103">
        <f t="shared" si="48"/>
        <v>296</v>
      </c>
    </row>
    <row r="199" spans="3:14" x14ac:dyDescent="0.25">
      <c r="I199" s="391" t="str">
        <f>+CONCATENATE("Total Acero para ",C190)</f>
        <v>Total Acero para Caisson D=1.5m L=13m</v>
      </c>
      <c r="J199" s="391"/>
      <c r="K199" s="391"/>
      <c r="L199" s="102">
        <f>+SUM(L192:L198)</f>
        <v>5149.7</v>
      </c>
    </row>
    <row r="200" spans="3:14" x14ac:dyDescent="0.25">
      <c r="I200" s="391" t="str">
        <f>+CONCATENATE("Total acero para ",E190," ",F190," de ",C190)</f>
        <v>Total acero para 36 [und] de Caisson D=1.5m L=13m</v>
      </c>
      <c r="J200" s="391"/>
      <c r="K200" s="391"/>
      <c r="L200" s="102">
        <f>+ROUND(L199*E190,1)</f>
        <v>185389.2</v>
      </c>
    </row>
    <row r="201" spans="3:14" x14ac:dyDescent="0.25">
      <c r="C201" s="98"/>
    </row>
    <row r="202" spans="3:14" x14ac:dyDescent="0.25">
      <c r="C202" s="98"/>
    </row>
    <row r="203" spans="3:14" x14ac:dyDescent="0.25">
      <c r="C203" s="98"/>
    </row>
    <row r="204" spans="3:14" x14ac:dyDescent="0.25">
      <c r="C204" s="98"/>
    </row>
    <row r="205" spans="3:14" x14ac:dyDescent="0.25">
      <c r="C205" s="100" t="s">
        <v>569</v>
      </c>
    </row>
    <row r="206" spans="3:14" ht="25.5" x14ac:dyDescent="0.25">
      <c r="C206" s="98" t="s">
        <v>571</v>
      </c>
      <c r="D206" s="98" t="s">
        <v>473</v>
      </c>
      <c r="E206" s="98">
        <f>+F53</f>
        <v>9</v>
      </c>
      <c r="F206" s="98" t="s">
        <v>443</v>
      </c>
    </row>
    <row r="207" spans="3:14" ht="38.25" x14ac:dyDescent="0.25">
      <c r="C207" s="101" t="s">
        <v>445</v>
      </c>
      <c r="D207" s="101" t="s">
        <v>446</v>
      </c>
      <c r="E207" s="101" t="s">
        <v>447</v>
      </c>
      <c r="F207" s="101" t="s">
        <v>440</v>
      </c>
      <c r="G207" s="101" t="s">
        <v>441</v>
      </c>
      <c r="H207" s="101" t="s">
        <v>442</v>
      </c>
      <c r="I207" s="101" t="s">
        <v>448</v>
      </c>
      <c r="J207" s="101" t="s">
        <v>449</v>
      </c>
      <c r="K207" s="101" t="s">
        <v>450</v>
      </c>
      <c r="L207" s="101" t="s">
        <v>451</v>
      </c>
    </row>
    <row r="208" spans="3:14" x14ac:dyDescent="0.25">
      <c r="C208" s="103">
        <v>2</v>
      </c>
      <c r="D208" s="103">
        <v>10</v>
      </c>
      <c r="E208" s="103"/>
      <c r="F208" s="103">
        <f>+(5.54+6.33)/2</f>
        <v>5.9350000000000005</v>
      </c>
      <c r="G208" s="103">
        <v>0.64</v>
      </c>
      <c r="H208" s="103"/>
      <c r="I208" s="103">
        <f t="shared" ref="I208:I214" si="50">+F208+G208+2*H208</f>
        <v>6.5750000000000002</v>
      </c>
      <c r="J208" s="103">
        <v>20</v>
      </c>
      <c r="K208" s="103">
        <f>+I208*J208</f>
        <v>131.5</v>
      </c>
      <c r="L208" s="103">
        <f t="shared" ref="L208:L214" si="51">+ROUND(VLOOKUP(D208,$P$170:$AC$183,8,FALSE)*K208,1)</f>
        <v>842.1</v>
      </c>
    </row>
    <row r="209" spans="3:12" x14ac:dyDescent="0.25">
      <c r="C209" s="103">
        <v>2</v>
      </c>
      <c r="D209" s="103">
        <v>10</v>
      </c>
      <c r="E209" s="103"/>
      <c r="F209" s="103">
        <f>+(8.59+9.38)/2</f>
        <v>8.9849999999999994</v>
      </c>
      <c r="G209" s="103">
        <v>0.64</v>
      </c>
      <c r="H209" s="103"/>
      <c r="I209" s="103">
        <f t="shared" si="50"/>
        <v>9.625</v>
      </c>
      <c r="J209" s="103">
        <v>20</v>
      </c>
      <c r="K209" s="103">
        <f>+I209*J209</f>
        <v>192.5</v>
      </c>
      <c r="L209" s="103">
        <f t="shared" si="51"/>
        <v>1232.8</v>
      </c>
    </row>
    <row r="210" spans="3:12" x14ac:dyDescent="0.25">
      <c r="C210" s="103">
        <v>2</v>
      </c>
      <c r="D210" s="103">
        <v>10</v>
      </c>
      <c r="E210" s="103"/>
      <c r="F210" s="103">
        <f>+(9.61+10.4)/2</f>
        <v>10.004999999999999</v>
      </c>
      <c r="G210" s="103">
        <v>0.64</v>
      </c>
      <c r="H210" s="103"/>
      <c r="I210" s="103">
        <f t="shared" si="50"/>
        <v>10.645</v>
      </c>
      <c r="J210" s="103">
        <v>20</v>
      </c>
      <c r="K210" s="103">
        <f>+I210*J210</f>
        <v>212.89999999999998</v>
      </c>
      <c r="L210" s="103">
        <f t="shared" si="51"/>
        <v>1363.4</v>
      </c>
    </row>
    <row r="211" spans="3:12" x14ac:dyDescent="0.25">
      <c r="C211" s="103">
        <v>2</v>
      </c>
      <c r="D211" s="103">
        <v>10</v>
      </c>
      <c r="E211" s="103"/>
      <c r="F211" s="103">
        <f>+(4.52+5.31)/2</f>
        <v>4.9149999999999991</v>
      </c>
      <c r="G211" s="103">
        <v>0.64</v>
      </c>
      <c r="H211" s="103"/>
      <c r="I211" s="103">
        <f t="shared" si="50"/>
        <v>5.5549999999999988</v>
      </c>
      <c r="J211" s="103">
        <v>20</v>
      </c>
      <c r="K211" s="103">
        <f t="shared" ref="K211:K214" si="52">+I211*J211</f>
        <v>111.09999999999998</v>
      </c>
      <c r="L211" s="103">
        <f t="shared" si="51"/>
        <v>711.5</v>
      </c>
    </row>
    <row r="212" spans="3:12" x14ac:dyDescent="0.25">
      <c r="C212" s="103">
        <v>1</v>
      </c>
      <c r="D212" s="103">
        <v>4</v>
      </c>
      <c r="E212" s="103"/>
      <c r="F212" s="127">
        <f>+(PI()*1.1)+0.2+0.2</f>
        <v>3.8557519189487732</v>
      </c>
      <c r="G212" s="103"/>
      <c r="H212" s="103"/>
      <c r="I212" s="103">
        <f t="shared" si="50"/>
        <v>3.8557519189487732</v>
      </c>
      <c r="J212" s="103">
        <f>147+8</f>
        <v>155</v>
      </c>
      <c r="K212" s="110">
        <f t="shared" si="52"/>
        <v>597.6415474370599</v>
      </c>
      <c r="L212" s="103">
        <f t="shared" si="51"/>
        <v>594.1</v>
      </c>
    </row>
    <row r="213" spans="3:12" x14ac:dyDescent="0.25">
      <c r="C213" s="103">
        <v>1</v>
      </c>
      <c r="D213" s="103">
        <v>4</v>
      </c>
      <c r="E213" s="103"/>
      <c r="F213" s="103">
        <v>0.9</v>
      </c>
      <c r="G213" s="103"/>
      <c r="H213" s="103"/>
      <c r="I213" s="103">
        <f t="shared" si="50"/>
        <v>0.9</v>
      </c>
      <c r="J213" s="103">
        <f>+(ROUNDUP((PI()*1.5)/0.2,0))*15</f>
        <v>360</v>
      </c>
      <c r="K213" s="103">
        <f t="shared" si="52"/>
        <v>324</v>
      </c>
      <c r="L213" s="103">
        <f t="shared" si="51"/>
        <v>322.10000000000002</v>
      </c>
    </row>
    <row r="214" spans="3:12" x14ac:dyDescent="0.25">
      <c r="C214" s="103">
        <v>1</v>
      </c>
      <c r="D214" s="103">
        <v>4</v>
      </c>
      <c r="E214" s="103"/>
      <c r="F214" s="110">
        <f>+PI()*1.65+2*(VLOOKUP(D212,$P$170:$AC$183,14,FALSE)/100)</f>
        <v>5.5236278784231585</v>
      </c>
      <c r="G214" s="103"/>
      <c r="H214" s="103"/>
      <c r="I214" s="110">
        <f t="shared" si="50"/>
        <v>5.5236278784231585</v>
      </c>
      <c r="J214" s="103">
        <f>5*15</f>
        <v>75</v>
      </c>
      <c r="K214" s="129">
        <f t="shared" si="52"/>
        <v>414.27209088173691</v>
      </c>
      <c r="L214" s="103">
        <f t="shared" si="51"/>
        <v>411.8</v>
      </c>
    </row>
    <row r="215" spans="3:12" x14ac:dyDescent="0.25">
      <c r="I215" s="391" t="str">
        <f>+CONCATENATE("Total Acero para ",C206)</f>
        <v>Total Acero para Caisson D=1.5m L=15m</v>
      </c>
      <c r="J215" s="391"/>
      <c r="K215" s="391"/>
      <c r="L215" s="102">
        <f>+SUM(L208:L214)</f>
        <v>5477.8000000000011</v>
      </c>
    </row>
    <row r="216" spans="3:12" x14ac:dyDescent="0.25">
      <c r="I216" s="391" t="str">
        <f>+CONCATENATE("Total acero para ",E206," ",F206," de ",C206)</f>
        <v>Total acero para 9 [und] de Caisson D=1.5m L=15m</v>
      </c>
      <c r="J216" s="391"/>
      <c r="K216" s="391"/>
      <c r="L216" s="102">
        <f>+ROUND(L215*E206,1)</f>
        <v>49300.2</v>
      </c>
    </row>
    <row r="217" spans="3:12" x14ac:dyDescent="0.25">
      <c r="C217" s="98"/>
    </row>
    <row r="220" spans="3:12" x14ac:dyDescent="0.25">
      <c r="C220" s="100" t="s">
        <v>680</v>
      </c>
      <c r="K220" s="138"/>
      <c r="L220" s="98"/>
    </row>
    <row r="221" spans="3:12" x14ac:dyDescent="0.25">
      <c r="C221" s="158" t="s">
        <v>739</v>
      </c>
      <c r="D221" s="79"/>
      <c r="E221" s="79"/>
      <c r="F221" s="79"/>
      <c r="G221" s="80"/>
      <c r="H221" s="80"/>
      <c r="I221" s="80"/>
      <c r="J221" s="80"/>
      <c r="K221" s="80"/>
      <c r="L221" s="80"/>
    </row>
    <row r="222" spans="3:12" ht="25.5" x14ac:dyDescent="0.25">
      <c r="C222" s="84" t="s">
        <v>445</v>
      </c>
      <c r="D222" s="84" t="s">
        <v>446</v>
      </c>
      <c r="E222" s="84" t="s">
        <v>447</v>
      </c>
      <c r="F222" s="84" t="s">
        <v>440</v>
      </c>
      <c r="G222" s="84" t="s">
        <v>441</v>
      </c>
      <c r="H222" s="84" t="s">
        <v>442</v>
      </c>
      <c r="I222" s="84" t="s">
        <v>448</v>
      </c>
      <c r="J222" s="84" t="s">
        <v>449</v>
      </c>
      <c r="K222" s="84" t="s">
        <v>450</v>
      </c>
      <c r="L222" s="84" t="s">
        <v>451</v>
      </c>
    </row>
    <row r="223" spans="3:12" x14ac:dyDescent="0.25">
      <c r="C223" s="85">
        <v>3</v>
      </c>
      <c r="D223" s="85">
        <v>3</v>
      </c>
      <c r="E223" s="85">
        <v>0.15</v>
      </c>
      <c r="F223" s="85">
        <v>0.9</v>
      </c>
      <c r="G223" s="85">
        <v>0.9</v>
      </c>
      <c r="H223" s="85"/>
      <c r="I223" s="85">
        <f>+F223+(2*G223)</f>
        <v>2.7</v>
      </c>
      <c r="J223" s="142">
        <f>(1/0.15)*1.12</f>
        <v>7.4666666666666677</v>
      </c>
      <c r="K223" s="85">
        <f>+I223*J223</f>
        <v>20.160000000000004</v>
      </c>
      <c r="L223" s="143">
        <f>+ROUND(VLOOKUP(D223,$P$172:$AC$183,8,FALSE)*K223,1)</f>
        <v>11.3</v>
      </c>
    </row>
    <row r="224" spans="3:12" x14ac:dyDescent="0.25">
      <c r="C224" s="85">
        <v>1</v>
      </c>
      <c r="D224" s="85">
        <v>3</v>
      </c>
      <c r="E224" s="85">
        <v>0.15</v>
      </c>
      <c r="F224" s="85">
        <f>1+(VLOOKUP(D224,$P$172:$AC$183,9,FALSE)/100)/6</f>
        <v>1.0900000000000001</v>
      </c>
      <c r="G224" s="85"/>
      <c r="H224" s="85"/>
      <c r="I224" s="85">
        <f>+F224+G224+2*H224</f>
        <v>1.0900000000000001</v>
      </c>
      <c r="J224" s="85">
        <f>19*1.12</f>
        <v>21.28</v>
      </c>
      <c r="K224" s="85">
        <f>+I224*J224</f>
        <v>23.195200000000003</v>
      </c>
      <c r="L224" s="85">
        <f>+ROUND(VLOOKUP(D224,$P$172:$AC$183,8,FALSE)*K224,1)</f>
        <v>13</v>
      </c>
    </row>
    <row r="225" spans="3:12" ht="27.75" customHeight="1" x14ac:dyDescent="0.25">
      <c r="C225" s="80"/>
      <c r="D225" s="80"/>
      <c r="E225" s="80"/>
      <c r="F225" s="80"/>
      <c r="G225" s="80"/>
      <c r="H225" s="80"/>
      <c r="I225" s="393" t="str">
        <f>+CONCATENATE("Acero por ML para ",C221)</f>
        <v>Acero por ML para Cuneta disipadora en concreto de 4000 psi (Alto: 0.9m, Base: 0.8 m, E=0.1m)</v>
      </c>
      <c r="J225" s="393"/>
      <c r="K225" s="393"/>
      <c r="L225" s="144">
        <f>+SUM(L223:L224)</f>
        <v>24.3</v>
      </c>
    </row>
    <row r="230" spans="3:12" x14ac:dyDescent="0.25">
      <c r="C230" s="100" t="s">
        <v>680</v>
      </c>
      <c r="K230" s="138"/>
      <c r="L230" s="98"/>
    </row>
    <row r="231" spans="3:12" x14ac:dyDescent="0.25">
      <c r="C231" s="158" t="s">
        <v>740</v>
      </c>
      <c r="D231" s="79"/>
      <c r="E231" s="79"/>
      <c r="F231" s="79"/>
      <c r="G231" s="80"/>
      <c r="H231" s="80"/>
      <c r="I231" s="80"/>
      <c r="J231" s="80"/>
      <c r="K231" s="80"/>
      <c r="L231" s="80"/>
    </row>
    <row r="232" spans="3:12" ht="25.5" x14ac:dyDescent="0.25">
      <c r="C232" s="84" t="s">
        <v>445</v>
      </c>
      <c r="D232" s="84" t="s">
        <v>446</v>
      </c>
      <c r="E232" s="84" t="s">
        <v>447</v>
      </c>
      <c r="F232" s="84" t="s">
        <v>440</v>
      </c>
      <c r="G232" s="84" t="s">
        <v>441</v>
      </c>
      <c r="H232" s="84" t="s">
        <v>442</v>
      </c>
      <c r="I232" s="84" t="s">
        <v>448</v>
      </c>
      <c r="J232" s="84" t="s">
        <v>449</v>
      </c>
      <c r="K232" s="84" t="s">
        <v>450</v>
      </c>
      <c r="L232" s="84" t="s">
        <v>451</v>
      </c>
    </row>
    <row r="233" spans="3:12" x14ac:dyDescent="0.25">
      <c r="C233" s="85">
        <v>3</v>
      </c>
      <c r="D233" s="85">
        <v>3</v>
      </c>
      <c r="E233" s="85">
        <v>0.15</v>
      </c>
      <c r="F233" s="85">
        <v>0.9</v>
      </c>
      <c r="G233" s="85">
        <v>0.9</v>
      </c>
      <c r="H233" s="85"/>
      <c r="I233" s="85">
        <f>+F233+(2*G233)</f>
        <v>2.7</v>
      </c>
      <c r="J233" s="142">
        <f>(1/0.15)</f>
        <v>6.666666666666667</v>
      </c>
      <c r="K233" s="85">
        <f>+I233*J233</f>
        <v>18.000000000000004</v>
      </c>
      <c r="L233" s="143">
        <f>+ROUND(VLOOKUP(D233,$P$172:$AC$183,8,FALSE)*K233,1)</f>
        <v>10.1</v>
      </c>
    </row>
    <row r="234" spans="3:12" x14ac:dyDescent="0.25">
      <c r="C234" s="85">
        <v>1</v>
      </c>
      <c r="D234" s="85">
        <v>3</v>
      </c>
      <c r="E234" s="85">
        <v>0.15</v>
      </c>
      <c r="F234" s="85">
        <f>1+(VLOOKUP(D234,$P$172:$AC$183,9,FALSE)/100)/6</f>
        <v>1.0900000000000001</v>
      </c>
      <c r="G234" s="85"/>
      <c r="H234" s="85"/>
      <c r="I234" s="85">
        <f>+F234+G234+2*H234</f>
        <v>1.0900000000000001</v>
      </c>
      <c r="J234" s="85">
        <v>19</v>
      </c>
      <c r="K234" s="85">
        <f>+I234*J234</f>
        <v>20.71</v>
      </c>
      <c r="L234" s="85">
        <f>+ROUND(VLOOKUP(D234,$P$172:$AC$183,8,FALSE)*K234,1)</f>
        <v>11.6</v>
      </c>
    </row>
    <row r="235" spans="3:12" x14ac:dyDescent="0.25">
      <c r="C235" s="80"/>
      <c r="D235" s="80"/>
      <c r="E235" s="80"/>
      <c r="F235" s="80"/>
      <c r="G235" s="80"/>
      <c r="H235" s="80"/>
      <c r="I235" s="393" t="str">
        <f>+CONCATENATE("Acero por ML para ",C231)</f>
        <v>Acero por ML para Cuneta en concreto de 4000 psi (Alto: 0.9m, Base: 0.8 m, E=0.1m)</v>
      </c>
      <c r="J235" s="393"/>
      <c r="K235" s="393"/>
      <c r="L235" s="144">
        <f>+SUM(L233:L234)</f>
        <v>21.7</v>
      </c>
    </row>
  </sheetData>
  <mergeCells count="44">
    <mergeCell ref="I235:K235"/>
    <mergeCell ref="D46:G46"/>
    <mergeCell ref="H46:H50"/>
    <mergeCell ref="N61:O61"/>
    <mergeCell ref="N57:Q57"/>
    <mergeCell ref="N58:O58"/>
    <mergeCell ref="N59:O59"/>
    <mergeCell ref="N60:O60"/>
    <mergeCell ref="I225:K225"/>
    <mergeCell ref="P170:P171"/>
    <mergeCell ref="F141:K141"/>
    <mergeCell ref="F142:K142"/>
    <mergeCell ref="I199:K199"/>
    <mergeCell ref="I200:K200"/>
    <mergeCell ref="F143:K143"/>
    <mergeCell ref="F144:K144"/>
    <mergeCell ref="C33:E33"/>
    <mergeCell ref="I215:K215"/>
    <mergeCell ref="I216:K216"/>
    <mergeCell ref="I46:I50"/>
    <mergeCell ref="J46:J50"/>
    <mergeCell ref="K46:K50"/>
    <mergeCell ref="I167:K167"/>
    <mergeCell ref="C57:C61"/>
    <mergeCell ref="D57:F57"/>
    <mergeCell ref="D60:F60"/>
    <mergeCell ref="K24:N43"/>
    <mergeCell ref="I152:K152"/>
    <mergeCell ref="I159:K159"/>
    <mergeCell ref="C162:D162"/>
    <mergeCell ref="C45:D45"/>
    <mergeCell ref="C46:C50"/>
    <mergeCell ref="AC170:AC171"/>
    <mergeCell ref="S170:T170"/>
    <mergeCell ref="U170:V170"/>
    <mergeCell ref="W170:W171"/>
    <mergeCell ref="Q170:R170"/>
    <mergeCell ref="X170:X171"/>
    <mergeCell ref="Y170:Y171"/>
    <mergeCell ref="R61:S61"/>
    <mergeCell ref="R57:U57"/>
    <mergeCell ref="R58:S58"/>
    <mergeCell ref="R59:S59"/>
    <mergeCell ref="R60:S60"/>
  </mergeCells>
  <phoneticPr fontId="3" type="noConversion"/>
  <dataValidations disablePrompts="1" count="1">
    <dataValidation type="list" allowBlank="1" showInputMessage="1" showErrorMessage="1" sqref="D51:D53" xr:uid="{00000000-0002-0000-0700-000000000000}">
      <formula1>$E$47:$F$47</formula1>
    </dataValidation>
  </dataValidations>
  <pageMargins left="0.7" right="0.7" top="0.75" bottom="0.75" header="0.3" footer="0.3"/>
  <pageSetup scale="3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5">
    <pageSetUpPr fitToPage="1"/>
  </sheetPr>
  <dimension ref="A1:H28"/>
  <sheetViews>
    <sheetView view="pageBreakPreview" zoomScaleNormal="100" zoomScaleSheetLayoutView="100" workbookViewId="0">
      <selection activeCell="E18" sqref="E1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56" t="s">
        <v>290</v>
      </c>
    </row>
    <row r="5" spans="1:8" x14ac:dyDescent="0.25">
      <c r="A5" s="57" t="s">
        <v>479</v>
      </c>
      <c r="B5" s="376" t="str">
        <f>+VLOOKUP(F5,PPTO!$A$9:$F$52,2,FALSE)</f>
        <v>Campamento</v>
      </c>
      <c r="C5" s="376"/>
      <c r="D5" s="376"/>
      <c r="E5" s="10" t="s">
        <v>480</v>
      </c>
      <c r="F5" s="63" t="s">
        <v>291</v>
      </c>
    </row>
    <row r="6" spans="1:8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+F24</f>
        <v>5639155.9899999993</v>
      </c>
    </row>
    <row r="7" spans="1:8" x14ac:dyDescent="0.25">
      <c r="A7" s="59" t="s">
        <v>483</v>
      </c>
      <c r="B7" s="407">
        <f>+VLOOKUP(F5,PPTO!$A$9:$F$52,4,FALSE)</f>
        <v>1</v>
      </c>
      <c r="C7" s="407"/>
      <c r="D7" s="407"/>
      <c r="E7" s="60" t="s">
        <v>484</v>
      </c>
      <c r="F7" s="61">
        <f>+ROUND(F6*B7,2)</f>
        <v>5639155.9900000002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30</v>
      </c>
      <c r="B11" s="14" t="str">
        <f>+VLOOKUP($A11,INS!$A$2:$F$164,3,FALSE)</f>
        <v xml:space="preserve">Bateria de Baños </v>
      </c>
      <c r="C11" s="15" t="str">
        <f>+VLOOKUP($A11,INS!$A$2:$F$164,4,FALSE)</f>
        <v>Und</v>
      </c>
      <c r="D11" s="163">
        <v>2</v>
      </c>
      <c r="E11" s="16">
        <f>+VLOOKUP($A11,INS!$A$2:$F$164,6,FALSE)</f>
        <v>700000</v>
      </c>
      <c r="F11" s="16">
        <f>+ROUND($E11*$D11,2)</f>
        <v>1400000</v>
      </c>
    </row>
    <row r="12" spans="1:8" x14ac:dyDescent="0.25">
      <c r="A12" s="6" t="s">
        <v>164</v>
      </c>
      <c r="B12" s="9" t="str">
        <f>+VLOOKUP($A12,INS!$A$2:$F$164,3,FALSE)</f>
        <v>Teja de zinc 2.5m x 0.8m</v>
      </c>
      <c r="C12" s="6" t="str">
        <f>+VLOOKUP($A12,INS!$A$2:$F$164,4,FALSE)</f>
        <v>Und</v>
      </c>
      <c r="D12" s="114">
        <v>20</v>
      </c>
      <c r="E12" s="7">
        <f>+VLOOKUP($A12,INS!$A$2:$F$164,6,FALSE)</f>
        <v>26400</v>
      </c>
      <c r="F12" s="7">
        <f t="shared" ref="F12:F15" si="0">+ROUND($E12*$D12,2)</f>
        <v>528000</v>
      </c>
    </row>
    <row r="13" spans="1:8" x14ac:dyDescent="0.25">
      <c r="A13" s="6" t="s">
        <v>91</v>
      </c>
      <c r="B13" s="9" t="str">
        <f>+VLOOKUP($A13,INS!$A$2:$F$164,3,FALSE)</f>
        <v>Instalacion electrica</v>
      </c>
      <c r="C13" s="6" t="str">
        <f>+VLOOKUP($A13,INS!$A$2:$F$164,4,FALSE)</f>
        <v>Und</v>
      </c>
      <c r="D13" s="114">
        <v>4</v>
      </c>
      <c r="E13" s="7">
        <f>+VLOOKUP($A13,INS!$A$2:$F$164,6,FALSE)</f>
        <v>50000</v>
      </c>
      <c r="F13" s="7">
        <f t="shared" si="0"/>
        <v>200000</v>
      </c>
    </row>
    <row r="14" spans="1:8" x14ac:dyDescent="0.25">
      <c r="A14" s="6" t="s">
        <v>172</v>
      </c>
      <c r="B14" s="9" t="str">
        <f>+VLOOKUP($A14,INS!$A$2:$F$164,3,FALSE)</f>
        <v>Concreto 1:2:3</v>
      </c>
      <c r="C14" s="6" t="str">
        <f>+VLOOKUP($A14,INS!$A$2:$F$164,4,FALSE)</f>
        <v>m3</v>
      </c>
      <c r="D14" s="114">
        <v>1</v>
      </c>
      <c r="E14" s="7">
        <f>+VLOOKUP($A14,INS!$A$2:$F$164,6,FALSE)</f>
        <v>372328.83</v>
      </c>
      <c r="F14" s="7">
        <f t="shared" si="0"/>
        <v>372328.83</v>
      </c>
    </row>
    <row r="15" spans="1:8" x14ac:dyDescent="0.25">
      <c r="A15" s="22" t="s">
        <v>100</v>
      </c>
      <c r="B15" s="21" t="str">
        <f>+VLOOKUP($A15,INS!$A$2:$F$164,3,FALSE)</f>
        <v>M2 de campamento</v>
      </c>
      <c r="C15" s="22" t="str">
        <f>+VLOOKUP($A15,INS!$A$2:$F$164,4,FALSE)</f>
        <v>m2</v>
      </c>
      <c r="D15" s="164">
        <v>18</v>
      </c>
      <c r="E15" s="43">
        <f>+VLOOKUP($A15,INS!$A$2:$F$164,6,FALSE)</f>
        <v>100000</v>
      </c>
      <c r="F15" s="7">
        <f t="shared" si="0"/>
        <v>1800000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ROUND(+SUM(F11:F15),2)</f>
        <v>4300328.83</v>
      </c>
      <c r="H16" s="33">
        <f>+F16</f>
        <v>4300328.83</v>
      </c>
    </row>
    <row r="17" spans="1:8" s="5" customFormat="1" x14ac:dyDescent="0.25">
      <c r="A17" s="50" t="s">
        <v>189</v>
      </c>
      <c r="B17" s="52"/>
      <c r="C17" s="18"/>
      <c r="D17" s="18"/>
      <c r="E17" s="18"/>
      <c r="F17" s="24"/>
    </row>
    <row r="18" spans="1:8" x14ac:dyDescent="0.25">
      <c r="A18" s="38" t="s">
        <v>198</v>
      </c>
      <c r="B18" s="64" t="str">
        <f>+VLOOKUP($A18,INS!$A$2:$F$164,3,FALSE)</f>
        <v>Cuadrilla 1:3 (1Of+3 Ay)</v>
      </c>
      <c r="C18" s="38" t="str">
        <f>+VLOOKUP($A18,INS!$A$2:$F$164,4,FALSE)</f>
        <v>JOR</v>
      </c>
      <c r="D18" s="165">
        <v>3.363638021804916</v>
      </c>
      <c r="E18" s="44">
        <f>+VLOOKUP($A18,INS!$A$2:$F$164,6,FALSE)</f>
        <v>361845</v>
      </c>
      <c r="F18" s="16">
        <f>+ROUND($E18*$D18,2)</f>
        <v>1217115.6000000001</v>
      </c>
    </row>
    <row r="19" spans="1:8" s="5" customFormat="1" x14ac:dyDescent="0.25">
      <c r="A19" s="46"/>
      <c r="B19" s="53"/>
      <c r="C19" s="47"/>
      <c r="D19" s="48"/>
      <c r="E19" s="36" t="s">
        <v>305</v>
      </c>
      <c r="F19" s="25">
        <f>ROUND(+SUM(F18),2)</f>
        <v>1217115.6000000001</v>
      </c>
      <c r="H19" s="33">
        <f>+F19</f>
        <v>1217115.6000000001</v>
      </c>
    </row>
    <row r="20" spans="1:8" s="5" customFormat="1" x14ac:dyDescent="0.25">
      <c r="A20" s="50" t="s">
        <v>486</v>
      </c>
      <c r="B20" s="52"/>
      <c r="C20" s="18"/>
      <c r="D20" s="18"/>
      <c r="E20" s="18"/>
      <c r="F20" s="24"/>
    </row>
    <row r="21" spans="1:8" x14ac:dyDescent="0.25">
      <c r="A21" s="38" t="s">
        <v>244</v>
      </c>
      <c r="B21" s="64" t="str">
        <f>+VLOOKUP($A21,INS!$A$2:$F$164,3,FALSE)</f>
        <v>Herramienta menor</v>
      </c>
      <c r="C21" s="38" t="str">
        <f>+VLOOKUP($A21,INS!$A$2:$F$164,4,FALSE)</f>
        <v>(%)MO</v>
      </c>
      <c r="D21" s="165">
        <v>10</v>
      </c>
      <c r="E21" s="44">
        <f>+F19</f>
        <v>1217115.6000000001</v>
      </c>
      <c r="F21" s="16">
        <f>+ROUND($E21*$D21/100,2)</f>
        <v>121711.56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ROUND(+SUM(F21),2)</f>
        <v>121711.56</v>
      </c>
      <c r="H22" s="33">
        <f>+F22</f>
        <v>121711.56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str">
        <f>+CONCATENATE("COSTO DIRECTRO ITEM ",F5," ",B5)</f>
        <v>COSTO DIRECTRO ITEM 1.00 Campamento</v>
      </c>
      <c r="B24" s="403"/>
      <c r="C24" s="403"/>
      <c r="D24" s="403"/>
      <c r="E24" s="403"/>
      <c r="F24" s="62">
        <f>+SUM(H11:H22)</f>
        <v>5639155.9899999993</v>
      </c>
    </row>
    <row r="26" spans="1:8" x14ac:dyDescent="0.25">
      <c r="F26" s="2"/>
    </row>
    <row r="28" spans="1:8" x14ac:dyDescent="0.25">
      <c r="F28" s="32"/>
    </row>
  </sheetData>
  <mergeCells count="8">
    <mergeCell ref="A24:E24"/>
    <mergeCell ref="B3:E4"/>
    <mergeCell ref="A3:A4"/>
    <mergeCell ref="A1:F1"/>
    <mergeCell ref="B5:D5"/>
    <mergeCell ref="B7:D7"/>
    <mergeCell ref="B6:D6"/>
    <mergeCell ref="A2:F2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6">
    <pageSetUpPr fitToPage="1"/>
  </sheetPr>
  <dimension ref="A1:L25"/>
  <sheetViews>
    <sheetView view="pageBreakPreview" topLeftCell="A2" zoomScaleNormal="100" zoomScaleSheetLayoutView="100" workbookViewId="0">
      <selection activeCell="F15" sqref="F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10.42578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2" x14ac:dyDescent="0.25">
      <c r="A1" s="406" t="s">
        <v>475</v>
      </c>
      <c r="B1" s="406"/>
      <c r="C1" s="406"/>
      <c r="D1" s="406"/>
      <c r="E1" s="406"/>
      <c r="F1" s="406"/>
    </row>
    <row r="2" spans="1:12" x14ac:dyDescent="0.25">
      <c r="A2" s="406" t="s">
        <v>476</v>
      </c>
      <c r="B2" s="406"/>
      <c r="C2" s="406"/>
      <c r="D2" s="406"/>
      <c r="E2" s="406"/>
      <c r="F2" s="406"/>
    </row>
    <row r="3" spans="1:12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2" ht="39" customHeight="1" x14ac:dyDescent="0.25">
      <c r="A4" s="405"/>
      <c r="B4" s="404"/>
      <c r="C4" s="404"/>
      <c r="D4" s="404"/>
      <c r="E4" s="404"/>
      <c r="F4" s="56" t="s">
        <v>290</v>
      </c>
      <c r="I4" s="1">
        <f>5000/7/8</f>
        <v>89.285714285714292</v>
      </c>
    </row>
    <row r="5" spans="1:12" x14ac:dyDescent="0.25">
      <c r="A5" s="57" t="s">
        <v>479</v>
      </c>
      <c r="B5" s="376" t="str">
        <f>+VLOOKUP(F5,PPTO!$A$9:$F$52,2,FALSE)</f>
        <v>Localización y Replanteo (Incluye equipos de precisión y/o Topogafía)</v>
      </c>
      <c r="C5" s="376"/>
      <c r="D5" s="376"/>
      <c r="E5" s="10" t="s">
        <v>480</v>
      </c>
      <c r="F5" s="63" t="s">
        <v>293</v>
      </c>
    </row>
    <row r="6" spans="1:12" x14ac:dyDescent="0.25">
      <c r="A6" s="57" t="s">
        <v>481</v>
      </c>
      <c r="B6" s="408" t="str">
        <f>+VLOOKUP(F5,PPTO!$A$9:$F$52,3,FALSE)</f>
        <v>M2</v>
      </c>
      <c r="C6" s="408"/>
      <c r="D6" s="408"/>
      <c r="E6" s="10" t="s">
        <v>482</v>
      </c>
      <c r="F6" s="58">
        <f>+F21</f>
        <v>3981.0699999999997</v>
      </c>
      <c r="I6" s="1">
        <f>+D11*B7</f>
        <v>511740.57254214026</v>
      </c>
    </row>
    <row r="7" spans="1:12" x14ac:dyDescent="0.25">
      <c r="A7" s="59" t="s">
        <v>483</v>
      </c>
      <c r="B7" s="407">
        <f>+VLOOKUP(F5,PPTO!$A$9:$F$52,4,FALSE)</f>
        <v>4314.07</v>
      </c>
      <c r="C7" s="407"/>
      <c r="D7" s="407"/>
      <c r="E7" s="60" t="s">
        <v>484</v>
      </c>
      <c r="F7" s="61">
        <f>+ROUND(F6*B7,2)</f>
        <v>17174614.649999999</v>
      </c>
    </row>
    <row r="8" spans="1:12" ht="9" customHeight="1" x14ac:dyDescent="0.25">
      <c r="A8" s="28"/>
      <c r="B8" s="51"/>
      <c r="C8" s="30"/>
      <c r="D8" s="30"/>
      <c r="E8" s="30"/>
      <c r="F8" s="31"/>
    </row>
    <row r="9" spans="1:12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  <c r="K9" s="5"/>
      <c r="L9" s="5"/>
    </row>
    <row r="10" spans="1:12" s="5" customFormat="1" x14ac:dyDescent="0.25">
      <c r="A10" s="50" t="s">
        <v>189</v>
      </c>
      <c r="B10" s="52"/>
      <c r="C10" s="18"/>
      <c r="D10" s="18"/>
      <c r="E10" s="18"/>
      <c r="F10" s="24"/>
    </row>
    <row r="11" spans="1:12" x14ac:dyDescent="0.25">
      <c r="A11" s="6" t="s">
        <v>196</v>
      </c>
      <c r="B11" s="9" t="str">
        <f>+VLOOKUP($A11,INS!$A$2:$F$164,3,FALSE)</f>
        <v>Topógrafo</v>
      </c>
      <c r="C11" s="6" t="str">
        <f>+VLOOKUP($A11,INS!$A$2:$F$164,4,FALSE)</f>
        <v>JOR</v>
      </c>
      <c r="D11" s="114">
        <v>118.62129556130066</v>
      </c>
      <c r="E11" s="76">
        <f>+VLOOKUP($A11,INS!$A$2:$F$164,6,FALSE)</f>
        <v>112574</v>
      </c>
      <c r="F11" s="7">
        <f>+ROUND(E11/D11,2)</f>
        <v>949.02</v>
      </c>
    </row>
    <row r="12" spans="1:12" x14ac:dyDescent="0.25">
      <c r="A12" s="6" t="s">
        <v>192</v>
      </c>
      <c r="B12" s="9" t="str">
        <f>+VLOOKUP($A12,INS!$A$2:$F$164,3,FALSE)</f>
        <v>2 Cadeneros</v>
      </c>
      <c r="C12" s="6" t="str">
        <f>+VLOOKUP($A12,INS!$A$2:$F$164,4,FALSE)</f>
        <v>JOR</v>
      </c>
      <c r="D12" s="114">
        <f>+D11</f>
        <v>118.62129556130066</v>
      </c>
      <c r="E12" s="76">
        <f>+VLOOKUP($A12,INS!$A$2:$F$164,6,FALSE)</f>
        <v>192984</v>
      </c>
      <c r="F12" s="7">
        <f>+ROUND(E12/D12,2)</f>
        <v>1626.89</v>
      </c>
    </row>
    <row r="13" spans="1:12" s="5" customFormat="1" x14ac:dyDescent="0.25">
      <c r="A13" s="46"/>
      <c r="B13" s="53"/>
      <c r="C13" s="47"/>
      <c r="D13" s="48"/>
      <c r="E13" s="36" t="s">
        <v>305</v>
      </c>
      <c r="F13" s="25">
        <f>+SUM(F11:F12)</f>
        <v>2575.91</v>
      </c>
      <c r="H13" s="33">
        <f>+F13</f>
        <v>2575.91</v>
      </c>
    </row>
    <row r="14" spans="1:12" s="5" customFormat="1" x14ac:dyDescent="0.25">
      <c r="A14" s="50" t="s">
        <v>486</v>
      </c>
      <c r="B14" s="52"/>
      <c r="C14" s="18"/>
      <c r="D14" s="18"/>
      <c r="E14" s="18"/>
      <c r="F14" s="24"/>
    </row>
    <row r="15" spans="1:12" x14ac:dyDescent="0.25">
      <c r="A15" s="6" t="s">
        <v>238</v>
      </c>
      <c r="B15" s="9" t="str">
        <f>+VLOOKUP($A15,INS!$A$2:$F$164,3,FALSE)</f>
        <v>Estacion para topografia</v>
      </c>
      <c r="C15" s="6" t="str">
        <f>+VLOOKUP($A15,INS!$A$2:$F$164,4,FALSE)</f>
        <v>HORA</v>
      </c>
      <c r="D15" s="114">
        <v>16.629884650133697</v>
      </c>
      <c r="E15" s="7">
        <f>+VLOOKUP($A15,INS!$A$2:$F$164,6,FALSE)</f>
        <v>13751.45</v>
      </c>
      <c r="F15" s="7">
        <f>+ROUND(E15/D15,2)</f>
        <v>826.91</v>
      </c>
    </row>
    <row r="16" spans="1:12" x14ac:dyDescent="0.25">
      <c r="A16" s="6" t="s">
        <v>249</v>
      </c>
      <c r="B16" s="9" t="str">
        <f>+VLOOKUP($A16,INS!$A$2:$F$164,3,FALSE)</f>
        <v>Nivel de precisión</v>
      </c>
      <c r="C16" s="6" t="str">
        <f>+VLOOKUP($A16,INS!$A$2:$F$164,4,FALSE)</f>
        <v>HORA</v>
      </c>
      <c r="D16" s="114">
        <f>ROUND(+D15,2)</f>
        <v>16.63</v>
      </c>
      <c r="E16" s="7">
        <f>+VLOOKUP($A16,INS!$A$2:$F$164,6,FALSE)</f>
        <v>5000</v>
      </c>
      <c r="F16" s="7">
        <f t="shared" ref="F16:F17" si="0">+ROUND(E16/D16,2)</f>
        <v>300.66000000000003</v>
      </c>
    </row>
    <row r="17" spans="1:8" x14ac:dyDescent="0.25">
      <c r="A17" s="6" t="s">
        <v>214</v>
      </c>
      <c r="B17" s="9" t="str">
        <f>+VLOOKUP($A17,INS!$A$2:$F$164,3,FALSE)</f>
        <v>Cinta y jalones</v>
      </c>
      <c r="C17" s="6" t="str">
        <f>+VLOOKUP($A17,INS!$A$2:$F$164,4,FALSE)</f>
        <v>Glb</v>
      </c>
      <c r="D17" s="114">
        <v>150</v>
      </c>
      <c r="E17" s="7">
        <f>+VLOOKUP($A17,INS!$A$2:$F$164,6,FALSE)</f>
        <v>3000</v>
      </c>
      <c r="F17" s="7">
        <f t="shared" si="0"/>
        <v>20</v>
      </c>
    </row>
    <row r="18" spans="1:8" x14ac:dyDescent="0.25">
      <c r="A18" s="6" t="s">
        <v>244</v>
      </c>
      <c r="B18" s="9" t="str">
        <f>+VLOOKUP($A18,INS!$A$2:$F$164,3,FALSE)</f>
        <v>Herramienta menor</v>
      </c>
      <c r="C18" s="6" t="str">
        <f>+VLOOKUP($A18,INS!$A$2:$F$164,4,FALSE)</f>
        <v>(%)MO</v>
      </c>
      <c r="D18" s="114">
        <v>0.1</v>
      </c>
      <c r="E18" s="7">
        <f>+F13</f>
        <v>2575.91</v>
      </c>
      <c r="F18" s="7">
        <f>ROUND(+D18*E18,2)</f>
        <v>257.58999999999997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+SUM(F15:F18)</f>
        <v>1405.1599999999999</v>
      </c>
      <c r="H19" s="33">
        <f>+F19</f>
        <v>1405.1599999999999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1.01 Localización y Replanteo (Incluye equipos de precisión y/o Topogafía)</v>
      </c>
      <c r="B21" s="403"/>
      <c r="C21" s="403"/>
      <c r="D21" s="403"/>
      <c r="E21" s="403"/>
      <c r="F21" s="62">
        <f>+SUM(H10:H19)</f>
        <v>3981.0699999999997</v>
      </c>
    </row>
    <row r="23" spans="1:8" x14ac:dyDescent="0.25">
      <c r="F23" s="2"/>
    </row>
    <row r="24" spans="1:8" x14ac:dyDescent="0.25">
      <c r="D24" s="2">
        <f>80000*1.8</f>
        <v>144000</v>
      </c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4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7">
    <pageSetUpPr fitToPage="1"/>
  </sheetPr>
  <dimension ref="A1:J23"/>
  <sheetViews>
    <sheetView view="pageBreakPreview" zoomScaleNormal="100" zoomScaleSheetLayoutView="100" workbookViewId="0">
      <selection activeCell="D17" sqref="D17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0" x14ac:dyDescent="0.25">
      <c r="A1" s="406" t="s">
        <v>475</v>
      </c>
      <c r="B1" s="406"/>
      <c r="C1" s="406"/>
      <c r="D1" s="406"/>
      <c r="E1" s="406"/>
      <c r="F1" s="406"/>
    </row>
    <row r="2" spans="1:10" x14ac:dyDescent="0.25">
      <c r="A2" s="406" t="s">
        <v>476</v>
      </c>
      <c r="B2" s="406"/>
      <c r="C2" s="406"/>
      <c r="D2" s="406"/>
      <c r="E2" s="406"/>
      <c r="F2" s="406"/>
    </row>
    <row r="3" spans="1:10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0" ht="39" customHeight="1" x14ac:dyDescent="0.25">
      <c r="A4" s="405"/>
      <c r="B4" s="404"/>
      <c r="C4" s="404"/>
      <c r="D4" s="404"/>
      <c r="E4" s="404"/>
      <c r="F4" s="56" t="s">
        <v>290</v>
      </c>
    </row>
    <row r="5" spans="1:10" x14ac:dyDescent="0.25">
      <c r="A5" s="57" t="s">
        <v>479</v>
      </c>
      <c r="B5" s="376" t="str">
        <f>+VLOOKUP(F5,PPTO!$A$9:$F$52,2,FALSE)</f>
        <v>Desmonte y descapote</v>
      </c>
      <c r="C5" s="376"/>
      <c r="D5" s="376"/>
      <c r="E5" s="10" t="s">
        <v>480</v>
      </c>
      <c r="F5" s="63" t="s">
        <v>295</v>
      </c>
    </row>
    <row r="6" spans="1:10" x14ac:dyDescent="0.25">
      <c r="A6" s="57" t="s">
        <v>481</v>
      </c>
      <c r="B6" s="408" t="str">
        <f>+VLOOKUP(F5,PPTO!$A$9:$F$52,3,FALSE)</f>
        <v>M2</v>
      </c>
      <c r="C6" s="408"/>
      <c r="D6" s="408"/>
      <c r="E6" s="10" t="s">
        <v>482</v>
      </c>
      <c r="F6" s="58">
        <f>+F19</f>
        <v>6465.72</v>
      </c>
    </row>
    <row r="7" spans="1:10" x14ac:dyDescent="0.25">
      <c r="A7" s="59" t="s">
        <v>483</v>
      </c>
      <c r="B7" s="407">
        <f>+VLOOKUP(F5,PPTO!$A$9:$F$52,4,FALSE)</f>
        <v>4314.07</v>
      </c>
      <c r="C7" s="407"/>
      <c r="D7" s="407"/>
      <c r="E7" s="60" t="s">
        <v>484</v>
      </c>
      <c r="F7" s="61">
        <f>+ROUND(F6*B7,2)</f>
        <v>27893568.68</v>
      </c>
    </row>
    <row r="8" spans="1:10" ht="9" customHeight="1" x14ac:dyDescent="0.25">
      <c r="A8" s="28"/>
      <c r="B8" s="51"/>
      <c r="C8" s="30"/>
      <c r="D8" s="30"/>
      <c r="E8" s="30"/>
      <c r="F8" s="31"/>
      <c r="J8" s="1">
        <f>+D11*B7</f>
        <v>1308201.7724216145</v>
      </c>
    </row>
    <row r="9" spans="1:10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  <c r="J9" s="1">
        <f>+J8/2</f>
        <v>654100.88621080725</v>
      </c>
    </row>
    <row r="10" spans="1:10" s="5" customFormat="1" x14ac:dyDescent="0.25">
      <c r="A10" s="50" t="s">
        <v>189</v>
      </c>
      <c r="B10" s="52"/>
      <c r="C10" s="18"/>
      <c r="D10" s="18"/>
      <c r="E10" s="18"/>
      <c r="F10" s="24"/>
    </row>
    <row r="11" spans="1:10" x14ac:dyDescent="0.25">
      <c r="A11" s="6" t="s">
        <v>200</v>
      </c>
      <c r="B11" s="9" t="str">
        <f>+VLOOKUP($A11,INS!$A$2:$F$164,3,FALSE)</f>
        <v>Cuadrilla 1(1Ay)</v>
      </c>
      <c r="C11" s="6" t="str">
        <f>+VLOOKUP($A11,INS!$A$2:$F$164,4,FALSE)</f>
        <v>JOR</v>
      </c>
      <c r="D11" s="114">
        <v>303.24073842603724</v>
      </c>
      <c r="E11" s="7">
        <f>+VLOOKUP($A11,INS!$A$2:$F$164,6,FALSE)</f>
        <v>80410</v>
      </c>
      <c r="F11" s="7">
        <f>+ROUND(E11/D11,2)</f>
        <v>265.17</v>
      </c>
    </row>
    <row r="12" spans="1:10" x14ac:dyDescent="0.25">
      <c r="A12" s="6" t="s">
        <v>200</v>
      </c>
      <c r="B12" s="9" t="str">
        <f>+VLOOKUP($A12,INS!$A$2:$F$164,3,FALSE)</f>
        <v>Cuadrilla 1(1Ay)</v>
      </c>
      <c r="C12" s="6" t="str">
        <f>+VLOOKUP($A12,INS!$A$2:$F$164,4,FALSE)</f>
        <v>JOR</v>
      </c>
      <c r="D12" s="114">
        <f>+D11</f>
        <v>303.24073842603724</v>
      </c>
      <c r="E12" s="7">
        <f>+VLOOKUP($A12,INS!$A$2:$F$164,6,FALSE)</f>
        <v>80410</v>
      </c>
      <c r="F12" s="7">
        <f>+ROUND(E12/D12,2)</f>
        <v>265.17</v>
      </c>
    </row>
    <row r="13" spans="1:10" s="5" customFormat="1" x14ac:dyDescent="0.25">
      <c r="A13" s="46"/>
      <c r="B13" s="53"/>
      <c r="C13" s="47"/>
      <c r="D13" s="48"/>
      <c r="E13" s="36" t="s">
        <v>305</v>
      </c>
      <c r="F13" s="25">
        <f>+SUM(F11:F12)</f>
        <v>530.34</v>
      </c>
      <c r="H13" s="33">
        <f>+F13</f>
        <v>530.34</v>
      </c>
    </row>
    <row r="14" spans="1:10" s="5" customFormat="1" x14ac:dyDescent="0.25">
      <c r="A14" s="50" t="s">
        <v>486</v>
      </c>
      <c r="B14" s="52"/>
      <c r="C14" s="18"/>
      <c r="D14" s="18"/>
      <c r="E14" s="18"/>
      <c r="F14" s="24"/>
    </row>
    <row r="15" spans="1:10" x14ac:dyDescent="0.25">
      <c r="A15" s="6" t="s">
        <v>244</v>
      </c>
      <c r="B15" s="9" t="str">
        <f>+VLOOKUP($A15,INS!$A$2:$F$164,3,FALSE)</f>
        <v>Herramienta menor</v>
      </c>
      <c r="C15" s="6" t="str">
        <f>+VLOOKUP($A15,INS!$A$2:$F$164,4,FALSE)</f>
        <v>(%)MO</v>
      </c>
      <c r="D15" s="91">
        <v>0.1</v>
      </c>
      <c r="E15" s="7">
        <f>+$F$13</f>
        <v>530.34</v>
      </c>
      <c r="F15" s="7">
        <f>ROUND(+D15*E15,2)</f>
        <v>53.03</v>
      </c>
    </row>
    <row r="16" spans="1:10" x14ac:dyDescent="0.25">
      <c r="A16" s="6" t="s">
        <v>253</v>
      </c>
      <c r="B16" s="9" t="str">
        <f>+VLOOKUP($A16,INS!$A$2:$F$164,3,FALSE)</f>
        <v>Retroexcavadora Potencia 117KW</v>
      </c>
      <c r="C16" s="6" t="str">
        <f>+VLOOKUP($A16,INS!$A$2:$F$164,4,FALSE)</f>
        <v>HORA</v>
      </c>
      <c r="D16" s="162">
        <v>42.5</v>
      </c>
      <c r="E16" s="7">
        <f>+VLOOKUP($A16,INS!$A$2:$F$164,6,FALSE)</f>
        <v>250000</v>
      </c>
      <c r="F16" s="7">
        <f>+ROUND(E16/D16,2)</f>
        <v>5882.35</v>
      </c>
    </row>
    <row r="17" spans="1:8" s="5" customFormat="1" x14ac:dyDescent="0.25">
      <c r="A17" s="40"/>
      <c r="B17" s="54"/>
      <c r="C17" s="41"/>
      <c r="D17" s="45"/>
      <c r="E17" s="35" t="s">
        <v>305</v>
      </c>
      <c r="F17" s="25">
        <f>+SUM(F15:F16)</f>
        <v>5935.38</v>
      </c>
      <c r="H17" s="33">
        <f>+F17</f>
        <v>5935.38</v>
      </c>
    </row>
    <row r="18" spans="1:8" ht="9" customHeight="1" x14ac:dyDescent="0.25">
      <c r="A18" s="28"/>
      <c r="B18" s="51"/>
      <c r="C18" s="30"/>
      <c r="D18" s="65"/>
      <c r="E18" s="66"/>
      <c r="F18" s="42"/>
    </row>
    <row r="19" spans="1:8" s="5" customFormat="1" x14ac:dyDescent="0.25">
      <c r="A19" s="403" t="str">
        <f>+CONCATENATE("COSTO DIRECTRO ITEM ",F5," ",B5)</f>
        <v>COSTO DIRECTRO ITEM 1.02 Desmonte y descapote</v>
      </c>
      <c r="B19" s="403"/>
      <c r="C19" s="403"/>
      <c r="D19" s="403"/>
      <c r="E19" s="403"/>
      <c r="F19" s="62">
        <f>+SUM(H10:H17)</f>
        <v>6465.72</v>
      </c>
    </row>
    <row r="21" spans="1:8" x14ac:dyDescent="0.25">
      <c r="F21" s="2"/>
    </row>
    <row r="23" spans="1:8" x14ac:dyDescent="0.25">
      <c r="F23" s="32"/>
    </row>
  </sheetData>
  <mergeCells count="8">
    <mergeCell ref="B7:D7"/>
    <mergeCell ref="A19:E19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8"/>
  <dimension ref="A1:H22"/>
  <sheetViews>
    <sheetView view="pageBreakPreview" zoomScaleNormal="100" zoomScaleSheetLayoutView="100" workbookViewId="0">
      <selection activeCell="F9" sqref="F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56" t="s">
        <v>290</v>
      </c>
    </row>
    <row r="5" spans="1:8" x14ac:dyDescent="0.25">
      <c r="A5" s="57" t="s">
        <v>479</v>
      </c>
      <c r="B5" s="376" t="str">
        <f>+VLOOKUP(F5,PPTO!$A$9:$F$52,2,FALSE)</f>
        <v>Acarreo y retiro de escombros y sobrantes (al botadero y/o predio autorizado)</v>
      </c>
      <c r="C5" s="376"/>
      <c r="D5" s="376"/>
      <c r="E5" s="10" t="s">
        <v>480</v>
      </c>
      <c r="F5" s="63" t="s">
        <v>297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+F18</f>
        <v>134611.07</v>
      </c>
    </row>
    <row r="7" spans="1:8" x14ac:dyDescent="0.25">
      <c r="A7" s="59" t="s">
        <v>483</v>
      </c>
      <c r="B7" s="407">
        <f>+VLOOKUP(F5,PPTO!$A$9:$F$52,4,FALSE)</f>
        <v>457.4</v>
      </c>
      <c r="C7" s="407"/>
      <c r="D7" s="407"/>
      <c r="E7" s="60" t="s">
        <v>484</v>
      </c>
      <c r="F7" s="61">
        <f>+ROUND(F6*B7,2)</f>
        <v>61571103.420000002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198</v>
      </c>
      <c r="B11" s="14" t="str">
        <f>+VLOOKUP($A11,INS!$A$2:$F$164,3,FALSE)</f>
        <v>Cuadrilla 1:3 (1Of+3 Ay)</v>
      </c>
      <c r="C11" s="15" t="str">
        <f>+VLOOKUP($A11,INS!$A$2:$F$164,4,FALSE)</f>
        <v>JOR</v>
      </c>
      <c r="D11" s="15">
        <f>+ROUND(1/3,5)</f>
        <v>0.33333000000000002</v>
      </c>
      <c r="E11" s="16">
        <f>+VLOOKUP($A11,INS!$A$2:$F$164,6,FALSE)</f>
        <v>361845</v>
      </c>
      <c r="F11" s="16">
        <f>+ROUND($E11*$D11,2)</f>
        <v>120613.79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120613.79</v>
      </c>
      <c r="H12" s="33">
        <f>+F12</f>
        <v>120613.79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39">
        <v>5</v>
      </c>
      <c r="E14" s="44">
        <f>+$F$12</f>
        <v>120613.79</v>
      </c>
      <c r="F14" s="16">
        <f>+ROUND($E14*$D14/100,2)</f>
        <v>6030.69</v>
      </c>
    </row>
    <row r="15" spans="1:8" x14ac:dyDescent="0.25">
      <c r="A15" s="6" t="s">
        <v>259</v>
      </c>
      <c r="B15" s="9" t="str">
        <f>+VLOOKUP($A15,INS!$A$2:$F$164,3,FALSE)</f>
        <v>Andamio Colgante</v>
      </c>
      <c r="C15" s="6" t="str">
        <f>+VLOOKUP($A15,INS!$A$2:$F$164,4,FALSE)</f>
        <v>DIA</v>
      </c>
      <c r="D15" s="6">
        <f>+ROUND(1/3,5)</f>
        <v>0.33333000000000002</v>
      </c>
      <c r="E15" s="7">
        <f>+VLOOKUP($A15,INS!$A$2:$F$164,6,FALSE)</f>
        <v>23900</v>
      </c>
      <c r="F15" s="7">
        <f t="shared" ref="F15" si="0">+ROUND($E15*$D15,2)</f>
        <v>7966.59</v>
      </c>
    </row>
    <row r="16" spans="1:8" s="5" customFormat="1" x14ac:dyDescent="0.25">
      <c r="A16" s="40"/>
      <c r="B16" s="54"/>
      <c r="C16" s="41"/>
      <c r="D16" s="45"/>
      <c r="E16" s="35" t="s">
        <v>305</v>
      </c>
      <c r="F16" s="25">
        <f>+SUM(F14:F15)</f>
        <v>13997.279999999999</v>
      </c>
      <c r="H16" s="33">
        <f>+F16</f>
        <v>13997.279999999999</v>
      </c>
    </row>
    <row r="17" spans="1:6" ht="9" customHeight="1" x14ac:dyDescent="0.25">
      <c r="A17" s="28"/>
      <c r="B17" s="51"/>
      <c r="C17" s="30"/>
      <c r="D17" s="65"/>
      <c r="E17" s="66"/>
      <c r="F17" s="42"/>
    </row>
    <row r="18" spans="1:6" s="5" customFormat="1" ht="26.25" customHeight="1" x14ac:dyDescent="0.25">
      <c r="A18" s="403" t="str">
        <f>+CONCATENATE("COSTO DIRECTRO ITEM ",F5," ",B5)</f>
        <v>COSTO DIRECTRO ITEM 1.03 Acarreo y retiro de escombros y sobrantes (al botadero y/o predio autorizado)</v>
      </c>
      <c r="B18" s="403"/>
      <c r="C18" s="403"/>
      <c r="D18" s="403"/>
      <c r="E18" s="403"/>
      <c r="F18" s="62">
        <f>+SUM(H10:H16)</f>
        <v>134611.07</v>
      </c>
    </row>
    <row r="20" spans="1:6" x14ac:dyDescent="0.25">
      <c r="F20" s="2"/>
    </row>
    <row r="22" spans="1:6" x14ac:dyDescent="0.25">
      <c r="F22" s="32"/>
    </row>
  </sheetData>
  <mergeCells count="8">
    <mergeCell ref="B7:D7"/>
    <mergeCell ref="A18:E18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9">
    <pageSetUpPr fitToPage="1"/>
  </sheetPr>
  <dimension ref="A1:K27"/>
  <sheetViews>
    <sheetView view="pageBreakPreview" topLeftCell="A4" zoomScaleNormal="100" zoomScaleSheetLayoutView="100" workbookViewId="0">
      <selection activeCell="D16" sqref="D1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1" x14ac:dyDescent="0.25">
      <c r="A1" s="406" t="s">
        <v>475</v>
      </c>
      <c r="B1" s="406"/>
      <c r="C1" s="406"/>
      <c r="D1" s="406"/>
      <c r="E1" s="406"/>
      <c r="F1" s="406"/>
    </row>
    <row r="2" spans="1:11" x14ac:dyDescent="0.25">
      <c r="A2" s="406" t="s">
        <v>476</v>
      </c>
      <c r="B2" s="406"/>
      <c r="C2" s="406"/>
      <c r="D2" s="406"/>
      <c r="E2" s="406"/>
      <c r="F2" s="406"/>
    </row>
    <row r="3" spans="1:11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1" ht="39" customHeight="1" x14ac:dyDescent="0.25">
      <c r="A4" s="405"/>
      <c r="B4" s="404"/>
      <c r="C4" s="404"/>
      <c r="D4" s="404"/>
      <c r="E4" s="404"/>
      <c r="F4" s="56" t="s">
        <v>290</v>
      </c>
    </row>
    <row r="5" spans="1:11" ht="26.25" customHeight="1" x14ac:dyDescent="0.25">
      <c r="A5" s="57" t="s">
        <v>479</v>
      </c>
      <c r="B5" s="376" t="str">
        <f>+VLOOKUP(F5,PPTO!$A$9:$F$52,2,FALSE)</f>
        <v>Acarreo y retiro de escombros y sobrantes (al botadero y/o predio autorizado)</v>
      </c>
      <c r="C5" s="376"/>
      <c r="D5" s="376"/>
      <c r="E5" s="10" t="s">
        <v>480</v>
      </c>
      <c r="F5" s="63" t="s">
        <v>297</v>
      </c>
    </row>
    <row r="6" spans="1:11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+F23</f>
        <v>46751.85</v>
      </c>
    </row>
    <row r="7" spans="1:11" x14ac:dyDescent="0.25">
      <c r="A7" s="59" t="s">
        <v>483</v>
      </c>
      <c r="B7" s="407">
        <f>+VLOOKUP(F5,PPTO!$A$9:$F$52,4,FALSE)</f>
        <v>457.4</v>
      </c>
      <c r="C7" s="407"/>
      <c r="D7" s="407"/>
      <c r="E7" s="60" t="s">
        <v>484</v>
      </c>
      <c r="F7" s="61">
        <f>+ROUND(F6*B7,2)</f>
        <v>21384296.190000001</v>
      </c>
    </row>
    <row r="8" spans="1:11" ht="9" customHeight="1" x14ac:dyDescent="0.25">
      <c r="A8" s="28"/>
      <c r="B8" s="51"/>
      <c r="C8" s="30"/>
      <c r="D8" s="30"/>
      <c r="E8" s="30"/>
      <c r="F8" s="31"/>
    </row>
    <row r="9" spans="1:1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1" s="5" customFormat="1" x14ac:dyDescent="0.25">
      <c r="A10" s="50" t="s">
        <v>189</v>
      </c>
      <c r="B10" s="52"/>
      <c r="C10" s="18"/>
      <c r="D10" s="18"/>
      <c r="E10" s="18"/>
      <c r="F10" s="24"/>
    </row>
    <row r="11" spans="1:11" x14ac:dyDescent="0.25">
      <c r="A11" s="15" t="s">
        <v>200</v>
      </c>
      <c r="B11" s="14" t="str">
        <f>+VLOOKUP($A11,INS!$A$2:$F$164,3,FALSE)</f>
        <v>Cuadrilla 1(1Ay)</v>
      </c>
      <c r="C11" s="15" t="str">
        <f>+VLOOKUP($A11,INS!$A$2:$F$164,4,FALSE)</f>
        <v>JOR</v>
      </c>
      <c r="D11" s="163">
        <v>64.2162466352422</v>
      </c>
      <c r="E11" s="16">
        <f>+VLOOKUP($A11,INS!$A$2:$F$164,6,FALSE)</f>
        <v>80410</v>
      </c>
      <c r="F11" s="16">
        <f>+ROUND(E11/D11,2)</f>
        <v>1252.18</v>
      </c>
      <c r="K11" s="1">
        <f>118.5+125.6+2+1.1</f>
        <v>247.2</v>
      </c>
    </row>
    <row r="12" spans="1:11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1252.18</v>
      </c>
      <c r="H12" s="33">
        <f>+F12</f>
        <v>1252.18</v>
      </c>
    </row>
    <row r="13" spans="1:11" s="5" customFormat="1" x14ac:dyDescent="0.25">
      <c r="A13" s="50" t="s">
        <v>486</v>
      </c>
      <c r="B13" s="52"/>
      <c r="C13" s="18"/>
      <c r="D13" s="18"/>
      <c r="E13" s="18"/>
      <c r="F13" s="24"/>
    </row>
    <row r="14" spans="1:11" x14ac:dyDescent="0.25">
      <c r="A14" s="6" t="s">
        <v>244</v>
      </c>
      <c r="B14" s="9" t="str">
        <f>+VLOOKUP($A14,INS!$A$2:$F$164,3,FALSE)</f>
        <v>Herramienta menor</v>
      </c>
      <c r="C14" s="6" t="str">
        <f>+VLOOKUP($A14,INS!$A$2:$F$164,4,FALSE)</f>
        <v>(%)MO</v>
      </c>
      <c r="D14" s="114">
        <v>0.1</v>
      </c>
      <c r="E14" s="7">
        <f>+$F$12</f>
        <v>1252.18</v>
      </c>
      <c r="F14" s="7">
        <f>+ROUND(D14*E14,2)</f>
        <v>125.22</v>
      </c>
    </row>
    <row r="15" spans="1:11" x14ac:dyDescent="0.25">
      <c r="A15" s="6" t="s">
        <v>258</v>
      </c>
      <c r="B15" s="9" t="str">
        <f>+VLOOKUP($A15,INS!$A$2:$F$164,3,FALSE)</f>
        <v>Volqueta 6 M3 o Similar</v>
      </c>
      <c r="C15" s="6" t="str">
        <f>+VLOOKUP($A15,INS!$A$2:$F$164,4,FALSE)</f>
        <v>HORA</v>
      </c>
      <c r="D15" s="114">
        <v>9</v>
      </c>
      <c r="E15" s="7">
        <f>+VLOOKUP($A15,INS!$A$2:$F$164,6,FALSE)</f>
        <v>66480</v>
      </c>
      <c r="F15" s="16">
        <f t="shared" ref="F15:F16" si="0">+ROUND(E15/D15,2)</f>
        <v>7386.67</v>
      </c>
    </row>
    <row r="16" spans="1:11" x14ac:dyDescent="0.25">
      <c r="A16" s="6" t="s">
        <v>253</v>
      </c>
      <c r="B16" s="9" t="str">
        <f>+VLOOKUP($A16,INS!$A$2:$F$164,3,FALSE)</f>
        <v>Retroexcavadora Potencia 117KW</v>
      </c>
      <c r="C16" s="6" t="str">
        <f>+VLOOKUP($A16,INS!$A$2:$F$164,4,FALSE)</f>
        <v>HORA</v>
      </c>
      <c r="D16" s="114">
        <f>+D15</f>
        <v>9</v>
      </c>
      <c r="E16" s="7">
        <f>+VLOOKUP($A16,INS!$A$2:$F$164,6,FALSE)</f>
        <v>250000</v>
      </c>
      <c r="F16" s="16">
        <f t="shared" si="0"/>
        <v>27777.78</v>
      </c>
    </row>
    <row r="17" spans="1:9" s="5" customFormat="1" x14ac:dyDescent="0.25">
      <c r="A17" s="40"/>
      <c r="B17" s="54"/>
      <c r="C17" s="41"/>
      <c r="D17" s="45"/>
      <c r="E17" s="35" t="s">
        <v>305</v>
      </c>
      <c r="F17" s="25">
        <f>+SUM(F14:F16)</f>
        <v>35289.67</v>
      </c>
      <c r="H17" s="33">
        <f>+F17</f>
        <v>35289.67</v>
      </c>
    </row>
    <row r="18" spans="1:9" s="5" customFormat="1" x14ac:dyDescent="0.25">
      <c r="A18" s="50" t="s">
        <v>279</v>
      </c>
      <c r="B18" s="52"/>
      <c r="C18" s="18"/>
      <c r="D18" s="18"/>
      <c r="E18" s="18"/>
      <c r="F18" s="24"/>
      <c r="H18" s="33"/>
    </row>
    <row r="19" spans="1:9" s="5" customFormat="1" x14ac:dyDescent="0.25">
      <c r="A19" s="15" t="s">
        <v>283</v>
      </c>
      <c r="B19" s="14" t="str">
        <f>+VLOOKUP($A19,INS!$A$2:$F$192,3,FALSE)</f>
        <v>Transporte de Material sobrante</v>
      </c>
      <c r="C19" s="15" t="str">
        <f>+VLOOKUP($A19,INS!$A$2:$F$192,4,FALSE)</f>
        <v>m3-Km</v>
      </c>
      <c r="D19" s="163">
        <f>1*1.3</f>
        <v>1.3</v>
      </c>
      <c r="E19" s="16">
        <v>1700</v>
      </c>
      <c r="F19" s="16">
        <f>+ROUND($E19*$D19,2)</f>
        <v>2210</v>
      </c>
      <c r="H19" s="33"/>
    </row>
    <row r="20" spans="1:9" s="5" customFormat="1" x14ac:dyDescent="0.25">
      <c r="A20" s="15" t="s">
        <v>529</v>
      </c>
      <c r="B20" s="14" t="str">
        <f>+VLOOKUP($A20,INS!$A$2:$F$192,3,FALSE)</f>
        <v>Costo de Derechos Botadero</v>
      </c>
      <c r="C20" s="15" t="str">
        <f>+VLOOKUP($A20,INS!$A$2:$F$192,4,FALSE)</f>
        <v>m3</v>
      </c>
      <c r="D20" s="163">
        <f>1*1</f>
        <v>1</v>
      </c>
      <c r="E20" s="16">
        <f>+VLOOKUP($A20,INS!$A$2:$F$192,6,FALSE)</f>
        <v>8000</v>
      </c>
      <c r="F20" s="16">
        <f>+ROUND($E20*$D20,2)</f>
        <v>8000</v>
      </c>
      <c r="H20" s="33"/>
    </row>
    <row r="21" spans="1:9" s="5" customFormat="1" x14ac:dyDescent="0.25">
      <c r="A21" s="46"/>
      <c r="B21" s="53"/>
      <c r="C21" s="47"/>
      <c r="D21" s="48"/>
      <c r="E21" s="36" t="s">
        <v>305</v>
      </c>
      <c r="F21" s="25">
        <f>+SUM(F19:F20)</f>
        <v>10210</v>
      </c>
      <c r="H21" s="33">
        <f>+F21</f>
        <v>10210</v>
      </c>
    </row>
    <row r="22" spans="1:9" ht="9" customHeight="1" x14ac:dyDescent="0.25">
      <c r="A22" s="28"/>
      <c r="B22" s="51"/>
      <c r="C22" s="30"/>
      <c r="D22" s="65"/>
      <c r="E22" s="66"/>
      <c r="F22" s="42"/>
    </row>
    <row r="23" spans="1:9" s="5" customFormat="1" ht="26.25" customHeight="1" x14ac:dyDescent="0.25">
      <c r="A23" s="403" t="str">
        <f>+CONCATENATE("COSTO DIRECTRO ITEM ",F5," ",B5)</f>
        <v>COSTO DIRECTRO ITEM 1.03 Acarreo y retiro de escombros y sobrantes (al botadero y/o predio autorizado)</v>
      </c>
      <c r="B23" s="403"/>
      <c r="C23" s="403"/>
      <c r="D23" s="403"/>
      <c r="E23" s="403"/>
      <c r="F23" s="62">
        <f>+SUM(H10:H21)</f>
        <v>46751.85</v>
      </c>
    </row>
    <row r="25" spans="1:9" x14ac:dyDescent="0.25">
      <c r="F25" s="2"/>
      <c r="H25" s="1">
        <f>8*8</f>
        <v>64</v>
      </c>
      <c r="I25" s="1">
        <f>8/H25</f>
        <v>0.125</v>
      </c>
    </row>
    <row r="27" spans="1:9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0">
    <pageSetUpPr fitToPage="1"/>
  </sheetPr>
  <dimension ref="A1:J26"/>
  <sheetViews>
    <sheetView view="pageBreakPreview" zoomScaleNormal="100" zoomScaleSheetLayoutView="100" workbookViewId="0">
      <selection activeCell="D16" sqref="D1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0" x14ac:dyDescent="0.25">
      <c r="A1" s="406" t="s">
        <v>475</v>
      </c>
      <c r="B1" s="406"/>
      <c r="C1" s="406"/>
      <c r="D1" s="406"/>
      <c r="E1" s="406"/>
      <c r="F1" s="406"/>
    </row>
    <row r="2" spans="1:10" x14ac:dyDescent="0.25">
      <c r="A2" s="406" t="s">
        <v>476</v>
      </c>
      <c r="B2" s="406"/>
      <c r="C2" s="406"/>
      <c r="D2" s="406"/>
      <c r="E2" s="406"/>
      <c r="F2" s="406"/>
    </row>
    <row r="3" spans="1:10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0" ht="39" customHeight="1" x14ac:dyDescent="0.25">
      <c r="A4" s="405"/>
      <c r="B4" s="404"/>
      <c r="C4" s="404"/>
      <c r="D4" s="404"/>
      <c r="E4" s="404"/>
      <c r="F4" s="56" t="s">
        <v>290</v>
      </c>
    </row>
    <row r="5" spans="1:10" x14ac:dyDescent="0.25">
      <c r="A5" s="57" t="s">
        <v>479</v>
      </c>
      <c r="B5" s="376" t="str">
        <f>+VLOOKUP(F5,PPTO!$A$9:$F$52,2,FALSE)</f>
        <v>Valla Informativa (dim. 5.00 x 2.8 mts.)</v>
      </c>
      <c r="C5" s="376"/>
      <c r="D5" s="376"/>
      <c r="E5" s="10" t="s">
        <v>480</v>
      </c>
      <c r="F5" s="63" t="s">
        <v>298</v>
      </c>
    </row>
    <row r="6" spans="1:10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+F22</f>
        <v>8000840.0300000003</v>
      </c>
    </row>
    <row r="7" spans="1:10" x14ac:dyDescent="0.25">
      <c r="A7" s="59" t="s">
        <v>483</v>
      </c>
      <c r="B7" s="407">
        <f>+VLOOKUP(F5,PPTO!$A$9:$F$52,4,FALSE)</f>
        <v>1</v>
      </c>
      <c r="C7" s="407"/>
      <c r="D7" s="407"/>
      <c r="E7" s="60" t="s">
        <v>484</v>
      </c>
      <c r="F7" s="61">
        <f>+ROUND(F6*B7,2)</f>
        <v>8000840.0300000003</v>
      </c>
    </row>
    <row r="8" spans="1:10" ht="9" customHeight="1" x14ac:dyDescent="0.25">
      <c r="A8" s="28"/>
      <c r="B8" s="51"/>
      <c r="C8" s="30"/>
      <c r="D8" s="30"/>
      <c r="E8" s="30"/>
      <c r="F8" s="31"/>
    </row>
    <row r="9" spans="1:10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0" s="5" customFormat="1" x14ac:dyDescent="0.25">
      <c r="A10" s="50" t="s">
        <v>8</v>
      </c>
      <c r="B10" s="52"/>
      <c r="C10" s="18"/>
      <c r="D10" s="18"/>
      <c r="E10" s="18"/>
      <c r="F10" s="24"/>
    </row>
    <row r="11" spans="1:10" x14ac:dyDescent="0.25">
      <c r="A11" s="15" t="s">
        <v>172</v>
      </c>
      <c r="B11" s="14" t="str">
        <f>+VLOOKUP($A11,INS!$A$2:$F$164,3,FALSE)</f>
        <v>Concreto 1:2:3</v>
      </c>
      <c r="C11" s="15" t="str">
        <f>+VLOOKUP($A11,INS!$A$2:$F$164,4,FALSE)</f>
        <v>m3</v>
      </c>
      <c r="D11" s="163">
        <v>0.3</v>
      </c>
      <c r="E11" s="16">
        <f>+VLOOKUP($A11,INS!$A$2:$F$164,6,FALSE)</f>
        <v>372328.83</v>
      </c>
      <c r="F11" s="16">
        <f>+ROUND($E11*$D11,2)</f>
        <v>111698.65</v>
      </c>
    </row>
    <row r="12" spans="1:10" x14ac:dyDescent="0.25">
      <c r="A12" s="6" t="s">
        <v>168</v>
      </c>
      <c r="B12" s="9" t="str">
        <f>+VLOOKUP($A12,INS!$A$2:$F$164,3,FALSE)</f>
        <v>Valla de obra en lamina galvanizada</v>
      </c>
      <c r="C12" s="6" t="str">
        <f>+VLOOKUP($A12,INS!$A$2:$F$164,4,FALSE)</f>
        <v>m2</v>
      </c>
      <c r="D12" s="114">
        <v>14</v>
      </c>
      <c r="E12" s="7">
        <f>+VLOOKUP($A12,INS!$A$2:$F$164,6,FALSE)</f>
        <v>169000</v>
      </c>
      <c r="F12" s="7">
        <f t="shared" ref="F12:F13" si="0">+ROUND($E12*$D12,2)</f>
        <v>2366000</v>
      </c>
    </row>
    <row r="13" spans="1:10" x14ac:dyDescent="0.25">
      <c r="A13" s="6" t="s">
        <v>762</v>
      </c>
      <c r="B13" s="9" t="str">
        <f>+VLOOKUP($A13,INS!$A$2:$F$164,3,FALSE)</f>
        <v>Estructura Metalica  para valla</v>
      </c>
      <c r="C13" s="6" t="str">
        <f>+VLOOKUP($A13,INS!$A$2:$F$164,4,FALSE)</f>
        <v>Und</v>
      </c>
      <c r="D13" s="114">
        <v>1</v>
      </c>
      <c r="E13" s="7">
        <f>+VLOOKUP($A13,INS!$A$2:$F$164,6,FALSE)</f>
        <v>5500000</v>
      </c>
      <c r="F13" s="7">
        <f t="shared" si="0"/>
        <v>5500000</v>
      </c>
    </row>
    <row r="14" spans="1:10" s="5" customFormat="1" x14ac:dyDescent="0.25">
      <c r="A14" s="46"/>
      <c r="B14" s="53"/>
      <c r="C14" s="47"/>
      <c r="D14" s="48"/>
      <c r="E14" s="36" t="s">
        <v>305</v>
      </c>
      <c r="F14" s="25">
        <f>+SUM(F11:F13)</f>
        <v>7977698.6500000004</v>
      </c>
      <c r="H14" s="33">
        <f>+F14</f>
        <v>7977698.6500000004</v>
      </c>
    </row>
    <row r="15" spans="1:10" s="5" customFormat="1" x14ac:dyDescent="0.25">
      <c r="A15" s="50" t="s">
        <v>189</v>
      </c>
      <c r="B15" s="52"/>
      <c r="C15" s="18"/>
      <c r="D15" s="18"/>
      <c r="E15" s="18"/>
      <c r="F15" s="24"/>
    </row>
    <row r="16" spans="1:10" x14ac:dyDescent="0.25">
      <c r="A16" s="15" t="s">
        <v>204</v>
      </c>
      <c r="B16" s="14" t="str">
        <f>+VLOOKUP($A16,INS!$A$2:$F$164,3,FALSE)</f>
        <v>Cuadrilla 1:2 (1Of+2 Ay)</v>
      </c>
      <c r="C16" s="15" t="str">
        <f>+VLOOKUP($A16,INS!$A$2:$F$164,4,FALSE)</f>
        <v>JOR</v>
      </c>
      <c r="D16" s="163">
        <v>7.4751260466442482E-2</v>
      </c>
      <c r="E16" s="16">
        <f>+VLOOKUP($A16,INS!$A$2:$F$164,6,FALSE)</f>
        <v>281435</v>
      </c>
      <c r="F16" s="16">
        <f>+ROUND($E16*$D16,2)</f>
        <v>21037.62</v>
      </c>
      <c r="J16" s="2">
        <f>1000000/14</f>
        <v>71428.571428571435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21037.62</v>
      </c>
      <c r="H17" s="33">
        <f>+F17</f>
        <v>21037.62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39">
        <v>10</v>
      </c>
      <c r="E19" s="44">
        <f>+$F$17</f>
        <v>21037.62</v>
      </c>
      <c r="F19" s="16">
        <f>+ROUND($E19*$D19/100,2)</f>
        <v>2103.7600000000002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+SUM(F19:F19)</f>
        <v>2103.7600000000002</v>
      </c>
      <c r="H20" s="33">
        <f>+F20</f>
        <v>2103.7600000000002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str">
        <f>+CONCATENATE("COSTO DIRECTRO ITEM ",F5," ",B5)</f>
        <v>COSTO DIRECTRO ITEM 1.04 Valla Informativa (dim. 5.00 x 2.8 mts.)</v>
      </c>
      <c r="B22" s="403"/>
      <c r="C22" s="403"/>
      <c r="D22" s="403"/>
      <c r="E22" s="403"/>
      <c r="F22" s="62">
        <f>+SUM(H11:H20)</f>
        <v>8000840.0300000003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1">
    <pageSetUpPr fitToPage="1"/>
  </sheetPr>
  <dimension ref="A1:H29"/>
  <sheetViews>
    <sheetView view="pageBreakPreview" topLeftCell="A4" zoomScaleNormal="100" zoomScaleSheetLayoutView="100" workbookViewId="0">
      <selection activeCell="J14" sqref="J1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56" t="s">
        <v>290</v>
      </c>
    </row>
    <row r="5" spans="1:6" x14ac:dyDescent="0.25">
      <c r="A5" s="57" t="s">
        <v>479</v>
      </c>
      <c r="B5" s="376" t="str">
        <f>+VLOOKUP(F5,PPTO!$A$9:$F$52,2,FALSE)</f>
        <v>Cerramiento con tela de polipropileno</v>
      </c>
      <c r="C5" s="376"/>
      <c r="D5" s="376"/>
      <c r="E5" s="10" t="s">
        <v>480</v>
      </c>
      <c r="F5" s="63" t="s">
        <v>300</v>
      </c>
    </row>
    <row r="6" spans="1:6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+F25</f>
        <v>28671.02</v>
      </c>
    </row>
    <row r="7" spans="1:6" x14ac:dyDescent="0.25">
      <c r="A7" s="59" t="s">
        <v>483</v>
      </c>
      <c r="B7" s="407">
        <f>+VLOOKUP(F5,PPTO!$A$9:$F$52,4,FALSE)</f>
        <v>585.16</v>
      </c>
      <c r="C7" s="407"/>
      <c r="D7" s="407"/>
      <c r="E7" s="60" t="s">
        <v>484</v>
      </c>
      <c r="F7" s="61">
        <f>+ROUND(F6*B7,2)</f>
        <v>16777134.060000001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104</v>
      </c>
      <c r="B11" s="14" t="str">
        <f>+VLOOKUP($A11,INS!$A$2:$F$164,3,FALSE)</f>
        <v>Madera Rolliza de 3 mts x 12 cms</v>
      </c>
      <c r="C11" s="15" t="str">
        <f>+VLOOKUP($A11,INS!$A$2:$F$164,4,FALSE)</f>
        <v>Und</v>
      </c>
      <c r="D11" s="37">
        <v>0.34</v>
      </c>
      <c r="E11" s="16">
        <f>+VLOOKUP($A11,INS!$A$2:$F$164,6,FALSE)</f>
        <v>13500</v>
      </c>
      <c r="F11" s="16">
        <f>+ROUND($E11*$D11,2)</f>
        <v>4590</v>
      </c>
    </row>
    <row r="12" spans="1:6" x14ac:dyDescent="0.25">
      <c r="A12" s="6" t="s">
        <v>174</v>
      </c>
      <c r="B12" s="9" t="str">
        <f>+VLOOKUP($A12,INS!$A$2:$F$164,3,FALSE)</f>
        <v>Desperdicio materiales</v>
      </c>
      <c r="C12" s="6" t="str">
        <f>+VLOOKUP($A12,INS!$A$2:$F$164,4,FALSE)</f>
        <v>(%)MAT</v>
      </c>
      <c r="D12" s="34">
        <v>4</v>
      </c>
      <c r="E12" s="7">
        <f>+F11+F13+F14+F15+F16</f>
        <v>13266.01</v>
      </c>
      <c r="F12" s="16">
        <f>+ROUND($E12*$D12/100,2)</f>
        <v>530.64</v>
      </c>
    </row>
    <row r="13" spans="1:6" x14ac:dyDescent="0.25">
      <c r="A13" s="6" t="s">
        <v>98</v>
      </c>
      <c r="B13" s="9" t="str">
        <f>+VLOOKUP($A13,INS!$A$2:$F$164,3,FALSE)</f>
        <v>Lona Verde para Cerramiento</v>
      </c>
      <c r="C13" s="6" t="str">
        <f>+VLOOKUP($A13,INS!$A$2:$F$164,4,FALSE)</f>
        <v>m</v>
      </c>
      <c r="D13" s="34">
        <v>1</v>
      </c>
      <c r="E13" s="7">
        <f>+VLOOKUP($A13,INS!$A$2:$F$164,6,FALSE)</f>
        <v>3700</v>
      </c>
      <c r="F13" s="7">
        <f t="shared" ref="F13:F16" si="0">+ROUND($E13*$D13,2)</f>
        <v>3700</v>
      </c>
    </row>
    <row r="14" spans="1:6" x14ac:dyDescent="0.25">
      <c r="A14" s="6" t="s">
        <v>132</v>
      </c>
      <c r="B14" s="9" t="str">
        <f>+VLOOKUP($A14,INS!$A$2:$F$164,3,FALSE)</f>
        <v>Puntilla Corriente de 2 1/2"</v>
      </c>
      <c r="C14" s="6" t="str">
        <f>+VLOOKUP($A14,INS!$A$2:$F$164,4,FALSE)</f>
        <v>lb</v>
      </c>
      <c r="D14" s="34">
        <v>0.1</v>
      </c>
      <c r="E14" s="7">
        <f>+VLOOKUP($A14,INS!$A$2:$F$164,6,FALSE)</f>
        <v>2600</v>
      </c>
      <c r="F14" s="7">
        <f t="shared" si="0"/>
        <v>260</v>
      </c>
    </row>
    <row r="15" spans="1:6" x14ac:dyDescent="0.25">
      <c r="A15" s="6" t="s">
        <v>96</v>
      </c>
      <c r="B15" s="9" t="str">
        <f>+VLOOKUP($A15,INS!$A$2:$F$164,3,FALSE)</f>
        <v>Listón madera ordinaria 3x3x2.4 mts</v>
      </c>
      <c r="C15" s="6" t="str">
        <f>+VLOOKUP($A15,INS!$A$2:$F$164,4,FALSE)</f>
        <v>Und</v>
      </c>
      <c r="D15" s="34">
        <v>0.34</v>
      </c>
      <c r="E15" s="7">
        <f>+VLOOKUP($A15,INS!$A$2:$F$164,6,FALSE)</f>
        <v>4500</v>
      </c>
      <c r="F15" s="7">
        <f t="shared" si="0"/>
        <v>1530</v>
      </c>
    </row>
    <row r="16" spans="1:6" x14ac:dyDescent="0.25">
      <c r="A16" s="6" t="s">
        <v>177</v>
      </c>
      <c r="B16" s="9" t="str">
        <f>+VLOOKUP($A16,INS!$A$2:$F$164,3,FALSE)</f>
        <v>Concreto de 2500 psi de planta</v>
      </c>
      <c r="C16" s="6" t="str">
        <f>+VLOOKUP($A16,INS!$A$2:$F$164,4,FALSE)</f>
        <v>m3</v>
      </c>
      <c r="D16" s="34">
        <v>0.01</v>
      </c>
      <c r="E16" s="7">
        <f>+VLOOKUP($A16,INS!$A$2:$F$164,6,FALSE)</f>
        <v>318601</v>
      </c>
      <c r="F16" s="7">
        <f t="shared" si="0"/>
        <v>3186.01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+SUM(F11:F16)</f>
        <v>13796.65</v>
      </c>
      <c r="H17" s="33">
        <f>+F17</f>
        <v>13796.65</v>
      </c>
    </row>
    <row r="18" spans="1:8" s="5" customFormat="1" x14ac:dyDescent="0.25">
      <c r="A18" s="50" t="s">
        <v>189</v>
      </c>
      <c r="B18" s="52"/>
      <c r="C18" s="18"/>
      <c r="D18" s="18"/>
      <c r="E18" s="18"/>
      <c r="F18" s="24"/>
    </row>
    <row r="19" spans="1:8" x14ac:dyDescent="0.25">
      <c r="A19" s="15" t="s">
        <v>198</v>
      </c>
      <c r="B19" s="14" t="str">
        <f>+VLOOKUP($A19,INS!$A$2:$F$164,3,FALSE)</f>
        <v>Cuadrilla 1:3 (1Of+3 Ay)</v>
      </c>
      <c r="C19" s="15" t="str">
        <f>+VLOOKUP($A19,INS!$A$2:$F$164,4,FALSE)</f>
        <v>JOR</v>
      </c>
      <c r="D19" s="174">
        <v>3.7370011025485581E-2</v>
      </c>
      <c r="E19" s="16">
        <f>+VLOOKUP($A19,INS!$A$2:$F$164,6,FALSE)</f>
        <v>361845</v>
      </c>
      <c r="F19" s="16">
        <f>+ROUND($E19*$D19,2)</f>
        <v>13522.15</v>
      </c>
    </row>
    <row r="20" spans="1:8" s="5" customFormat="1" x14ac:dyDescent="0.25">
      <c r="A20" s="46"/>
      <c r="B20" s="53"/>
      <c r="C20" s="47"/>
      <c r="D20" s="48"/>
      <c r="E20" s="36" t="s">
        <v>305</v>
      </c>
      <c r="F20" s="25">
        <f>+SUM(F19:F19)</f>
        <v>13522.15</v>
      </c>
      <c r="H20" s="33">
        <f>+F20</f>
        <v>13522.15</v>
      </c>
    </row>
    <row r="21" spans="1:8" s="5" customFormat="1" x14ac:dyDescent="0.25">
      <c r="A21" s="50" t="s">
        <v>486</v>
      </c>
      <c r="B21" s="52"/>
      <c r="C21" s="18"/>
      <c r="D21" s="18"/>
      <c r="E21" s="18"/>
      <c r="F21" s="24"/>
    </row>
    <row r="22" spans="1:8" x14ac:dyDescent="0.25">
      <c r="A22" s="38" t="s">
        <v>244</v>
      </c>
      <c r="B22" s="64" t="str">
        <f>+VLOOKUP($A22,INS!$A$2:$F$164,3,FALSE)</f>
        <v>Herramienta menor</v>
      </c>
      <c r="C22" s="38" t="str">
        <f>+VLOOKUP($A22,INS!$A$2:$F$164,4,FALSE)</f>
        <v>(%)MO</v>
      </c>
      <c r="D22" s="39">
        <v>10</v>
      </c>
      <c r="E22" s="44">
        <f>+$F$20</f>
        <v>13522.15</v>
      </c>
      <c r="F22" s="16">
        <f>+ROUND($E22*$D22/100,2)</f>
        <v>1352.22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+SUM(F22:F22)</f>
        <v>1352.22</v>
      </c>
      <c r="H23" s="33">
        <f>+F23</f>
        <v>1352.22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str">
        <f>+CONCATENATE("COSTO DIRECTRO ITEM ",F5," ",B5)</f>
        <v>COSTO DIRECTRO ITEM 1.05 Cerramiento con tela de polipropileno</v>
      </c>
      <c r="B25" s="403"/>
      <c r="C25" s="403"/>
      <c r="D25" s="403"/>
      <c r="E25" s="403"/>
      <c r="F25" s="62">
        <f>+SUM(H11:H23)</f>
        <v>28671.02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2">
    <pageSetUpPr fitToPage="1"/>
  </sheetPr>
  <dimension ref="A1:K22"/>
  <sheetViews>
    <sheetView view="pageBreakPreview" topLeftCell="A3" zoomScaleNormal="100" zoomScaleSheetLayoutView="100" workbookViewId="0">
      <selection activeCell="H6" sqref="H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1" x14ac:dyDescent="0.25">
      <c r="A1" s="406" t="s">
        <v>475</v>
      </c>
      <c r="B1" s="406"/>
      <c r="C1" s="406"/>
      <c r="D1" s="406"/>
      <c r="E1" s="406"/>
      <c r="F1" s="406"/>
    </row>
    <row r="2" spans="1:11" x14ac:dyDescent="0.25">
      <c r="A2" s="406" t="s">
        <v>476</v>
      </c>
      <c r="B2" s="406"/>
      <c r="C2" s="406"/>
      <c r="D2" s="406"/>
      <c r="E2" s="406"/>
      <c r="F2" s="406"/>
    </row>
    <row r="3" spans="1:11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1" ht="39" customHeight="1" x14ac:dyDescent="0.25">
      <c r="A4" s="405"/>
      <c r="B4" s="404"/>
      <c r="C4" s="404"/>
      <c r="D4" s="404"/>
      <c r="E4" s="404"/>
      <c r="F4" s="56" t="s">
        <v>290</v>
      </c>
      <c r="I4" s="2">
        <v>99172.38</v>
      </c>
      <c r="J4" s="32">
        <v>495861.9</v>
      </c>
      <c r="K4" s="1">
        <v>4.9999999958718284</v>
      </c>
    </row>
    <row r="5" spans="1:11" x14ac:dyDescent="0.25">
      <c r="A5" s="57" t="s">
        <v>479</v>
      </c>
      <c r="B5" s="376" t="str">
        <f>+VLOOKUP(F5,PPTO!$A$9:$F$52,2,FALSE)</f>
        <v>Demolición de estructuras existente</v>
      </c>
      <c r="C5" s="376"/>
      <c r="D5" s="376"/>
      <c r="E5" s="10" t="s">
        <v>480</v>
      </c>
      <c r="F5" s="63" t="s">
        <v>302</v>
      </c>
      <c r="J5" s="1">
        <f>+J4/K4</f>
        <v>99172.380081880125</v>
      </c>
    </row>
    <row r="6" spans="1:11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+F18</f>
        <v>155410.49</v>
      </c>
    </row>
    <row r="7" spans="1:11" x14ac:dyDescent="0.25">
      <c r="A7" s="59" t="s">
        <v>483</v>
      </c>
      <c r="B7" s="407">
        <f>+VLOOKUP(F5,PPTO!$A$9:$F$52,4,FALSE)</f>
        <v>32.700000000000003</v>
      </c>
      <c r="C7" s="407"/>
      <c r="D7" s="407"/>
      <c r="E7" s="60" t="s">
        <v>484</v>
      </c>
      <c r="F7" s="61">
        <f>+ROUND(F6*B7,2)</f>
        <v>5081923.0199999996</v>
      </c>
    </row>
    <row r="8" spans="1:11" ht="9" customHeight="1" x14ac:dyDescent="0.25">
      <c r="A8" s="28"/>
      <c r="B8" s="51"/>
      <c r="C8" s="30"/>
      <c r="D8" s="30"/>
      <c r="E8" s="30"/>
      <c r="F8" s="31"/>
    </row>
    <row r="9" spans="1:1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1" s="5" customFormat="1" x14ac:dyDescent="0.25">
      <c r="A10" s="50" t="s">
        <v>189</v>
      </c>
      <c r="B10" s="52"/>
      <c r="C10" s="18"/>
      <c r="D10" s="18"/>
      <c r="E10" s="18"/>
      <c r="F10" s="24"/>
    </row>
    <row r="11" spans="1:11" x14ac:dyDescent="0.25">
      <c r="A11" s="15" t="s">
        <v>208</v>
      </c>
      <c r="B11" s="14" t="str">
        <f>+VLOOKUP($A11,INS!$A$2:$F$164,3,FALSE)</f>
        <v>Cuadrilla 1:4 (1Of+4 Ay)</v>
      </c>
      <c r="C11" s="15" t="str">
        <f>+VLOOKUP($A11,INS!$A$2:$F$164,4,FALSE)</f>
        <v>JOR</v>
      </c>
      <c r="D11" s="163">
        <v>7.4918883346322245</v>
      </c>
      <c r="E11" s="16">
        <f>+VLOOKUP($A11,INS!$A$2:$F$164,6,FALSE)</f>
        <v>442255</v>
      </c>
      <c r="F11" s="16">
        <f>+ROUND($E11/$D11,2)</f>
        <v>59031.18</v>
      </c>
    </row>
    <row r="12" spans="1:11" s="5" customFormat="1" x14ac:dyDescent="0.25">
      <c r="A12" s="46"/>
      <c r="B12" s="53"/>
      <c r="C12" s="47"/>
      <c r="D12" s="48"/>
      <c r="E12" s="36" t="s">
        <v>305</v>
      </c>
      <c r="F12" s="25">
        <f>+SUM(F11:F11)</f>
        <v>59031.18</v>
      </c>
      <c r="H12" s="33">
        <f>+F12</f>
        <v>59031.18</v>
      </c>
    </row>
    <row r="13" spans="1:11" s="5" customFormat="1" x14ac:dyDescent="0.25">
      <c r="A13" s="50" t="s">
        <v>486</v>
      </c>
      <c r="B13" s="52"/>
      <c r="C13" s="18"/>
      <c r="D13" s="18"/>
      <c r="E13" s="18"/>
      <c r="F13" s="24"/>
    </row>
    <row r="14" spans="1:11" x14ac:dyDescent="0.25">
      <c r="A14" s="6" t="s">
        <v>244</v>
      </c>
      <c r="B14" s="9" t="str">
        <f>+VLOOKUP($A14,INS!$A$2:$F$164,3,FALSE)</f>
        <v>Herramienta menor</v>
      </c>
      <c r="C14" s="6" t="str">
        <f>+VLOOKUP($A14,INS!$A$2:$F$164,4,FALSE)</f>
        <v>(%)MO</v>
      </c>
      <c r="D14" s="114">
        <v>0.1</v>
      </c>
      <c r="E14" s="7">
        <f>+$F$12</f>
        <v>59031.18</v>
      </c>
      <c r="F14" s="7">
        <f>+E14*D14</f>
        <v>5903.1180000000004</v>
      </c>
    </row>
    <row r="15" spans="1:11" x14ac:dyDescent="0.25">
      <c r="A15" s="6" t="s">
        <v>526</v>
      </c>
      <c r="B15" s="9" t="str">
        <f>+VLOOKUP($A15,INS!$A$2:$F$164,3,FALSE)</f>
        <v>Compresor 120HP con Martillo</v>
      </c>
      <c r="C15" s="6" t="str">
        <f>+VLOOKUP($A15,INS!$A$2:$F$164,4,FALSE)</f>
        <v>HORA</v>
      </c>
      <c r="D15" s="114">
        <v>1.05</v>
      </c>
      <c r="E15" s="16">
        <f>+VLOOKUP($A15,INS!$A$2:$F$164,6,FALSE)</f>
        <v>95000</v>
      </c>
      <c r="F15" s="7">
        <f>+ROUND($E15/$D15,2)</f>
        <v>90476.19</v>
      </c>
    </row>
    <row r="16" spans="1:11" s="5" customFormat="1" x14ac:dyDescent="0.25">
      <c r="A16" s="40"/>
      <c r="B16" s="54"/>
      <c r="C16" s="41"/>
      <c r="D16" s="45"/>
      <c r="E16" s="35" t="s">
        <v>305</v>
      </c>
      <c r="F16" s="25">
        <f>ROUND(+SUM(F14:F15),2)</f>
        <v>96379.31</v>
      </c>
      <c r="H16" s="33">
        <f>+F16</f>
        <v>96379.31</v>
      </c>
    </row>
    <row r="17" spans="1:6" ht="9" customHeight="1" x14ac:dyDescent="0.25">
      <c r="A17" s="28"/>
      <c r="B17" s="51"/>
      <c r="C17" s="30"/>
      <c r="D17" s="65"/>
      <c r="E17" s="66"/>
      <c r="F17" s="42"/>
    </row>
    <row r="18" spans="1:6" s="5" customFormat="1" ht="26.25" customHeight="1" x14ac:dyDescent="0.25">
      <c r="A18" s="403" t="str">
        <f>+CONCATENATE("COSTO DIRECTRO ITEM ",F5," ",B5)</f>
        <v>COSTO DIRECTRO ITEM 1.06 Demolición de estructuras existente</v>
      </c>
      <c r="B18" s="403"/>
      <c r="C18" s="403"/>
      <c r="D18" s="403"/>
      <c r="E18" s="403"/>
      <c r="F18" s="62">
        <f>ROUND(+SUM(H10:H16),2)</f>
        <v>155410.49</v>
      </c>
    </row>
    <row r="20" spans="1:6" x14ac:dyDescent="0.25">
      <c r="F20" s="2"/>
    </row>
    <row r="22" spans="1:6" x14ac:dyDescent="0.25">
      <c r="F22" s="32"/>
    </row>
  </sheetData>
  <mergeCells count="8">
    <mergeCell ref="B7:D7"/>
    <mergeCell ref="A18:E18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02">
    <tabColor rgb="FF92D050"/>
  </sheetPr>
  <dimension ref="A1:H18"/>
  <sheetViews>
    <sheetView view="pageBreakPreview" zoomScaleNormal="100" zoomScaleSheetLayoutView="100" workbookViewId="0">
      <selection activeCell="G17" sqref="G17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4" style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56" t="s">
        <v>290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151" t="s">
        <v>711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116">
        <f>+F14</f>
        <v>259166.67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117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285</v>
      </c>
      <c r="B10" s="52"/>
      <c r="C10" s="18"/>
      <c r="D10" s="18"/>
      <c r="E10" s="18"/>
      <c r="F10" s="24"/>
    </row>
    <row r="11" spans="1:8" x14ac:dyDescent="0.25">
      <c r="A11" s="6" t="s">
        <v>712</v>
      </c>
      <c r="B11" s="9" t="str">
        <f>+VLOOKUP($A11,INS!$A$2:$F$192,3,FALSE)</f>
        <v>Valor de Adquisición de Predios C10-11</v>
      </c>
      <c r="C11" s="6" t="str">
        <f>+VLOOKUP($A11,INS!$A$2:$F$192,4,FALSE)</f>
        <v>m2</v>
      </c>
      <c r="D11" s="34">
        <v>1</v>
      </c>
      <c r="E11" s="16">
        <f>+VLOOKUP($A11,INS!$A$2:$F$192,6,FALSE)</f>
        <v>259166.67</v>
      </c>
      <c r="F11" s="7">
        <f>+ROUND($E11*$D11,2)</f>
        <v>259166.67</v>
      </c>
    </row>
    <row r="12" spans="1:8" s="5" customFormat="1" x14ac:dyDescent="0.25">
      <c r="A12" s="40"/>
      <c r="B12" s="54"/>
      <c r="C12" s="41"/>
      <c r="D12" s="45"/>
      <c r="E12" s="35" t="s">
        <v>305</v>
      </c>
      <c r="F12" s="25">
        <f>+SUM(F11:F11)</f>
        <v>259166.67</v>
      </c>
      <c r="H12" s="33">
        <f>+F12</f>
        <v>259166.67</v>
      </c>
    </row>
    <row r="13" spans="1:8" ht="9" customHeight="1" x14ac:dyDescent="0.25">
      <c r="A13" s="28"/>
      <c r="B13" s="51"/>
      <c r="C13" s="30"/>
      <c r="D13" s="65"/>
      <c r="E13" s="66"/>
      <c r="F13" s="42"/>
    </row>
    <row r="14" spans="1:8" s="5" customFormat="1" ht="26.25" customHeight="1" x14ac:dyDescent="0.25">
      <c r="A14" s="403" t="e">
        <f>+CONCATENATE("COSTO DIRECTRO ITEM ",F5," ",B5)</f>
        <v>#N/A</v>
      </c>
      <c r="B14" s="403"/>
      <c r="C14" s="403"/>
      <c r="D14" s="403"/>
      <c r="E14" s="403"/>
      <c r="F14" s="62">
        <f>+SUM(H10:H12)</f>
        <v>259166.67</v>
      </c>
    </row>
    <row r="16" spans="1:8" x14ac:dyDescent="0.25">
      <c r="F16" s="2"/>
    </row>
    <row r="18" spans="6:6" x14ac:dyDescent="0.25">
      <c r="F18" s="32"/>
    </row>
  </sheetData>
  <mergeCells count="8">
    <mergeCell ref="B7:D7"/>
    <mergeCell ref="A14:E1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4"/>
  <dimension ref="A1:K21"/>
  <sheetViews>
    <sheetView view="pageBreakPreview" topLeftCell="A4" zoomScaleNormal="100" zoomScaleSheetLayoutView="100" workbookViewId="0">
      <selection activeCell="D14" sqref="D1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9" width="11.42578125" style="1"/>
    <col min="10" max="10" width="15.42578125" style="1" bestFit="1" customWidth="1"/>
    <col min="11" max="16384" width="11.42578125" style="1"/>
  </cols>
  <sheetData>
    <row r="1" spans="1:11" x14ac:dyDescent="0.25">
      <c r="A1" s="406" t="s">
        <v>475</v>
      </c>
      <c r="B1" s="406"/>
      <c r="C1" s="406"/>
      <c r="D1" s="406"/>
      <c r="E1" s="406"/>
      <c r="F1" s="406"/>
    </row>
    <row r="2" spans="1:11" x14ac:dyDescent="0.25">
      <c r="A2" s="406" t="s">
        <v>476</v>
      </c>
      <c r="B2" s="406"/>
      <c r="C2" s="406"/>
      <c r="D2" s="406"/>
      <c r="E2" s="406"/>
      <c r="F2" s="406"/>
    </row>
    <row r="3" spans="1:11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1" ht="39" customHeight="1" x14ac:dyDescent="0.25">
      <c r="A4" s="405"/>
      <c r="B4" s="404"/>
      <c r="C4" s="404"/>
      <c r="D4" s="404"/>
      <c r="E4" s="404"/>
      <c r="F4" s="67" t="s">
        <v>307</v>
      </c>
    </row>
    <row r="5" spans="1:11" x14ac:dyDescent="0.25">
      <c r="A5" s="57" t="s">
        <v>479</v>
      </c>
      <c r="B5" s="376" t="str">
        <f>+VLOOKUP(F5,PPTO!$A$9:$F$52,2,FALSE)</f>
        <v>Retiro de Sobrantes (al botadero autorizado)</v>
      </c>
      <c r="C5" s="376"/>
      <c r="D5" s="376"/>
      <c r="E5" s="10" t="s">
        <v>480</v>
      </c>
      <c r="F5" s="63" t="s">
        <v>308</v>
      </c>
      <c r="I5" s="1">
        <v>75132.55</v>
      </c>
      <c r="J5" s="167">
        <f>+I5/E11</f>
        <v>0.20763738617363789</v>
      </c>
    </row>
    <row r="6" spans="1:11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+F17</f>
        <v>73709.16</v>
      </c>
    </row>
    <row r="7" spans="1:11" x14ac:dyDescent="0.25">
      <c r="A7" s="59" t="s">
        <v>483</v>
      </c>
      <c r="B7" s="407">
        <f>+VLOOKUP(F5,PPTO!$A$9:$F$52,4,FALSE)</f>
        <v>9401</v>
      </c>
      <c r="C7" s="407"/>
      <c r="D7" s="407"/>
      <c r="E7" s="60" t="s">
        <v>484</v>
      </c>
      <c r="F7" s="61">
        <f>+ROUND(F6*B7,2)</f>
        <v>692939813.15999997</v>
      </c>
    </row>
    <row r="8" spans="1:11" ht="9" customHeight="1" x14ac:dyDescent="0.25">
      <c r="A8" s="28"/>
      <c r="B8" s="51"/>
      <c r="C8" s="30"/>
      <c r="D8" s="30"/>
      <c r="E8" s="30"/>
      <c r="F8" s="31"/>
    </row>
    <row r="9" spans="1:1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1" s="5" customFormat="1" x14ac:dyDescent="0.25">
      <c r="A10" s="50" t="s">
        <v>189</v>
      </c>
      <c r="B10" s="52"/>
      <c r="C10" s="18"/>
      <c r="D10" s="18"/>
      <c r="E10" s="18"/>
      <c r="F10" s="24"/>
      <c r="K10" s="5">
        <f>+PPTO!I8</f>
        <v>0</v>
      </c>
    </row>
    <row r="11" spans="1:11" x14ac:dyDescent="0.25">
      <c r="A11" s="15" t="s">
        <v>198</v>
      </c>
      <c r="B11" s="14" t="str">
        <f>+VLOOKUP($A11,INS!$A$2:$F$164,3,FALSE)</f>
        <v>Cuadrilla 1:3 (1Of+3 Ay)</v>
      </c>
      <c r="C11" s="15" t="str">
        <f>+VLOOKUP($A11,INS!$A$2:$F$164,4,FALSE)</f>
        <v>JOR</v>
      </c>
      <c r="D11" s="15">
        <v>5.4</v>
      </c>
      <c r="E11" s="16">
        <f>+VLOOKUP($A11,INS!$A$2:$F$164,6,FALSE)</f>
        <v>361845</v>
      </c>
      <c r="F11" s="16">
        <f>+ROUND(E11/D11,2)</f>
        <v>67008.33</v>
      </c>
    </row>
    <row r="12" spans="1:11" s="5" customFormat="1" x14ac:dyDescent="0.25">
      <c r="A12" s="46"/>
      <c r="B12" s="53"/>
      <c r="C12" s="47"/>
      <c r="D12" s="48"/>
      <c r="E12" s="36" t="s">
        <v>305</v>
      </c>
      <c r="F12" s="25">
        <f>+SUM(F11:F11)</f>
        <v>67008.33</v>
      </c>
      <c r="H12" s="33">
        <f>+F12</f>
        <v>67008.33</v>
      </c>
    </row>
    <row r="13" spans="1:11" s="5" customFormat="1" x14ac:dyDescent="0.25">
      <c r="A13" s="50" t="s">
        <v>486</v>
      </c>
      <c r="B13" s="52"/>
      <c r="C13" s="18"/>
      <c r="D13" s="18"/>
      <c r="E13" s="18"/>
      <c r="F13" s="24"/>
    </row>
    <row r="14" spans="1:11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39">
        <v>0.1</v>
      </c>
      <c r="E14" s="44">
        <f>+$F$12</f>
        <v>67008.33</v>
      </c>
      <c r="F14" s="16">
        <f>+ROUND($E14*$D14,2)</f>
        <v>6700.83</v>
      </c>
    </row>
    <row r="15" spans="1:11" s="5" customFormat="1" x14ac:dyDescent="0.25">
      <c r="A15" s="40"/>
      <c r="B15" s="54"/>
      <c r="C15" s="41"/>
      <c r="D15" s="45"/>
      <c r="E15" s="35" t="s">
        <v>305</v>
      </c>
      <c r="F15" s="25">
        <f>+SUM(F14:F14)</f>
        <v>6700.83</v>
      </c>
      <c r="H15" s="33">
        <f>+F15</f>
        <v>6700.83</v>
      </c>
    </row>
    <row r="16" spans="1:11" ht="9" customHeight="1" x14ac:dyDescent="0.25">
      <c r="A16" s="28"/>
      <c r="B16" s="51"/>
      <c r="C16" s="30"/>
      <c r="D16" s="65"/>
      <c r="E16" s="66"/>
      <c r="F16" s="42"/>
    </row>
    <row r="17" spans="1:6" s="5" customFormat="1" ht="26.25" customHeight="1" x14ac:dyDescent="0.25">
      <c r="A17" s="403" t="str">
        <f>+CONCATENATE("COSTO DIRECTRO ITEM ",F5," ",B5)</f>
        <v>COSTO DIRECTRO ITEM 2.01 Retiro de Sobrantes (al botadero autorizado)</v>
      </c>
      <c r="B17" s="403"/>
      <c r="C17" s="403"/>
      <c r="D17" s="403"/>
      <c r="E17" s="403"/>
      <c r="F17" s="62">
        <f>+SUM(H10:H15)</f>
        <v>73709.16</v>
      </c>
    </row>
    <row r="19" spans="1:6" x14ac:dyDescent="0.25">
      <c r="F19" s="2"/>
    </row>
    <row r="21" spans="1:6" x14ac:dyDescent="0.25">
      <c r="F21" s="32"/>
    </row>
  </sheetData>
  <mergeCells count="8">
    <mergeCell ref="B7:D7"/>
    <mergeCell ref="A17:E17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5"/>
  <dimension ref="A1:H26"/>
  <sheetViews>
    <sheetView view="pageBreakPreview" zoomScaleNormal="100" zoomScaleSheetLayoutView="100" workbookViewId="0">
      <selection activeCell="D8" sqref="D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ht="30.75" customHeight="1" x14ac:dyDescent="0.25">
      <c r="A5" s="57" t="s">
        <v>479</v>
      </c>
      <c r="B5" s="376" t="str">
        <f>+VLOOKUP(F5,PPTO!$A$9:$F$52,2,FALSE)</f>
        <v>Sobreacarreos Internos entre 0 y 200 mts.</v>
      </c>
      <c r="C5" s="376"/>
      <c r="D5" s="376"/>
      <c r="E5" s="10" t="s">
        <v>480</v>
      </c>
      <c r="F5" s="63" t="s">
        <v>309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+F22</f>
        <v>46870.11</v>
      </c>
    </row>
    <row r="7" spans="1:8" x14ac:dyDescent="0.25">
      <c r="A7" s="59" t="s">
        <v>483</v>
      </c>
      <c r="B7" s="407">
        <f>+VLOOKUP(F5,PPTO!$A$9:$F$52,4,FALSE)</f>
        <v>940.1</v>
      </c>
      <c r="C7" s="407"/>
      <c r="D7" s="407"/>
      <c r="E7" s="60" t="s">
        <v>484</v>
      </c>
      <c r="F7" s="61">
        <f>+ROUND(F6*B7,2)</f>
        <v>44062590.409999996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37">
        <v>4</v>
      </c>
      <c r="E11" s="16">
        <f>+F12</f>
        <v>22100</v>
      </c>
      <c r="F11" s="16">
        <f>+ROUND($E11*$D11/100,2)</f>
        <v>884</v>
      </c>
    </row>
    <row r="12" spans="1:8" ht="25.5" x14ac:dyDescent="0.25">
      <c r="A12" s="6" t="s">
        <v>488</v>
      </c>
      <c r="B12" s="9" t="str">
        <f>+VLOOKUP($A12,INS!$A$2:$F$164,3,FALSE)</f>
        <v>Material de prestamo para Relleno (puesto en obra)</v>
      </c>
      <c r="C12" s="6" t="str">
        <f>+VLOOKUP($A12,INS!$A$2:$F$164,4,FALSE)</f>
        <v>m3</v>
      </c>
      <c r="D12" s="34">
        <v>1.3</v>
      </c>
      <c r="E12" s="7">
        <f>+VLOOKUP($A12,INS!$A$2:$F$164,6,FALSE)</f>
        <v>17000</v>
      </c>
      <c r="F12" s="7">
        <f t="shared" ref="F12" si="0">+ROUND($E12*$D12,2)</f>
        <v>22100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22984</v>
      </c>
      <c r="H13" s="33">
        <f>+F13</f>
        <v>22984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200</v>
      </c>
      <c r="B15" s="14" t="str">
        <f>+VLOOKUP($A15,INS!$A$2:$F$164,3,FALSE)</f>
        <v>Cuadrilla 1(1Ay)</v>
      </c>
      <c r="C15" s="15" t="str">
        <f>+VLOOKUP($A15,INS!$A$2:$F$164,4,FALSE)</f>
        <v>JOR</v>
      </c>
      <c r="D15" s="37">
        <v>0.14285999999999999</v>
      </c>
      <c r="E15" s="16">
        <f>+VLOOKUP($A15,INS!$A$2:$F$164,6,FALSE)</f>
        <v>80410</v>
      </c>
      <c r="F15" s="16">
        <f>+ROUND($E15*$D15,2)</f>
        <v>11487.37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11487.37</v>
      </c>
      <c r="H16" s="33">
        <f>+F16</f>
        <v>11487.37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39">
        <v>10</v>
      </c>
      <c r="E18" s="44">
        <f>+$F$16</f>
        <v>11487.37</v>
      </c>
      <c r="F18" s="16">
        <f>+ROUND($E18*$D18/100,2)</f>
        <v>1148.74</v>
      </c>
    </row>
    <row r="19" spans="1:8" x14ac:dyDescent="0.25">
      <c r="A19" s="6" t="s">
        <v>256</v>
      </c>
      <c r="B19" s="9" t="str">
        <f>+VLOOKUP($A19,INS!$A$2:$F$164,3,FALSE)</f>
        <v>Vibrocompactador Rana</v>
      </c>
      <c r="C19" s="6" t="str">
        <f>+VLOOKUP($A19,INS!$A$2:$F$164,4,FALSE)</f>
        <v>DIA</v>
      </c>
      <c r="D19" s="34">
        <v>0.125</v>
      </c>
      <c r="E19" s="7">
        <f>+VLOOKUP($A19,INS!$A$2:$F$164,6,FALSE)</f>
        <v>90000</v>
      </c>
      <c r="F19" s="7">
        <f t="shared" ref="F19" si="1">+ROUND($E19*$D19,2)</f>
        <v>11250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+SUM(F18:F19)</f>
        <v>12398.74</v>
      </c>
      <c r="H20" s="33">
        <f>+F20</f>
        <v>12398.74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str">
        <f>+CONCATENATE("COSTO DIRECTRO ITEM ",F5," ",B5)</f>
        <v>COSTO DIRECTRO ITEM 2.02 Sobreacarreos Internos entre 0 y 200 mts.</v>
      </c>
      <c r="B22" s="403"/>
      <c r="C22" s="403"/>
      <c r="D22" s="403"/>
      <c r="E22" s="403"/>
      <c r="F22" s="62">
        <f>+SUM(H11:H20)</f>
        <v>46870.11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16">
    <pageSetUpPr fitToPage="1"/>
  </sheetPr>
  <dimension ref="A1:H27"/>
  <sheetViews>
    <sheetView view="pageBreakPreview" topLeftCell="A3" zoomScaleNormal="100" zoomScaleSheetLayoutView="100" workbookViewId="0">
      <selection activeCell="D15" sqref="D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56" t="s">
        <v>290</v>
      </c>
    </row>
    <row r="5" spans="1:8" x14ac:dyDescent="0.25">
      <c r="A5" s="57" t="s">
        <v>479</v>
      </c>
      <c r="B5" s="376" t="str">
        <f>+VLOOKUP(F5,PPTO!$A$9:$F$52,2,FALSE)</f>
        <v>Retiro de Sobrantes (al botadero autorizado)</v>
      </c>
      <c r="C5" s="376"/>
      <c r="D5" s="376"/>
      <c r="E5" s="10" t="s">
        <v>480</v>
      </c>
      <c r="F5" s="63" t="s">
        <v>308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+F23</f>
        <v>44810.13</v>
      </c>
    </row>
    <row r="7" spans="1:8" x14ac:dyDescent="0.25">
      <c r="A7" s="59" t="s">
        <v>483</v>
      </c>
      <c r="B7" s="407">
        <f>+VLOOKUP(F5,PPTO!$A$9:$F$52,4,FALSE)</f>
        <v>9401</v>
      </c>
      <c r="C7" s="407"/>
      <c r="D7" s="407"/>
      <c r="E7" s="60" t="s">
        <v>484</v>
      </c>
      <c r="F7" s="61">
        <f>+ROUND(F6*B7,2)</f>
        <v>421260032.13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200</v>
      </c>
      <c r="B11" s="14" t="str">
        <f>+VLOOKUP($A11,INS!$A$2:$F$164,3,FALSE)</f>
        <v>Cuadrilla 1(1Ay)</v>
      </c>
      <c r="C11" s="15" t="str">
        <f>+VLOOKUP($A11,INS!$A$2:$F$164,4,FALSE)</f>
        <v>JOR</v>
      </c>
      <c r="D11" s="163">
        <v>89.188560364540038</v>
      </c>
      <c r="E11" s="16">
        <f>+VLOOKUP($A11,INS!$A$2:$F$164,6,FALSE)</f>
        <v>80410</v>
      </c>
      <c r="F11" s="16">
        <f>+ROUND($E11/$D11,2)</f>
        <v>901.57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901.57</v>
      </c>
      <c r="H12" s="33">
        <f>+F12</f>
        <v>901.57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6" t="s">
        <v>244</v>
      </c>
      <c r="B14" s="9" t="str">
        <f>+VLOOKUP($A14,INS!$A$2:$F$164,3,FALSE)</f>
        <v>Herramienta menor</v>
      </c>
      <c r="C14" s="6" t="str">
        <f>+VLOOKUP($A14,INS!$A$2:$F$164,4,FALSE)</f>
        <v>(%)MO</v>
      </c>
      <c r="D14" s="162">
        <v>0.1</v>
      </c>
      <c r="E14" s="7">
        <f>+$F$12</f>
        <v>901.57</v>
      </c>
      <c r="F14" s="7">
        <f>+ROUND($E14*$D14,2)</f>
        <v>90.16</v>
      </c>
    </row>
    <row r="15" spans="1:8" x14ac:dyDescent="0.25">
      <c r="A15" s="6" t="s">
        <v>258</v>
      </c>
      <c r="B15" s="9" t="str">
        <f>+VLOOKUP($A15,INS!$A$2:$F$164,3,FALSE)</f>
        <v>Volqueta 6 M3 o Similar</v>
      </c>
      <c r="C15" s="6" t="str">
        <f>+VLOOKUP($A15,INS!$A$2:$F$164,4,FALSE)</f>
        <v>HORA</v>
      </c>
      <c r="D15" s="114">
        <v>12.5</v>
      </c>
      <c r="E15" s="7">
        <f>+VLOOKUP($A15,INS!$A$2:$F$164,6,FALSE)</f>
        <v>66480</v>
      </c>
      <c r="F15" s="7">
        <f>+ROUND($E15/$D15,2)</f>
        <v>5318.4</v>
      </c>
    </row>
    <row r="16" spans="1:8" x14ac:dyDescent="0.25">
      <c r="A16" s="6" t="s">
        <v>253</v>
      </c>
      <c r="B16" s="9" t="str">
        <f>+VLOOKUP($A16,INS!$A$2:$F$164,3,FALSE)</f>
        <v>Retroexcavadora Potencia 117KW</v>
      </c>
      <c r="C16" s="6" t="str">
        <f>+VLOOKUP($A16,INS!$A$2:$F$164,4,FALSE)</f>
        <v>HORA</v>
      </c>
      <c r="D16" s="114">
        <f>D15</f>
        <v>12.5</v>
      </c>
      <c r="E16" s="7">
        <f>+VLOOKUP($A16,INS!$A$2:$F$164,6,FALSE)</f>
        <v>250000</v>
      </c>
      <c r="F16" s="7">
        <f>+ROUND($E16/$D16,2)</f>
        <v>20000</v>
      </c>
    </row>
    <row r="17" spans="1:8" s="5" customFormat="1" x14ac:dyDescent="0.25">
      <c r="A17" s="40"/>
      <c r="B17" s="54"/>
      <c r="C17" s="41"/>
      <c r="D17" s="45"/>
      <c r="E17" s="35" t="s">
        <v>305</v>
      </c>
      <c r="F17" s="25">
        <f>ROUND(+SUM(F14:F16),2)</f>
        <v>25408.560000000001</v>
      </c>
      <c r="H17" s="33">
        <f>+F17</f>
        <v>25408.560000000001</v>
      </c>
    </row>
    <row r="18" spans="1:8" s="5" customFormat="1" x14ac:dyDescent="0.25">
      <c r="A18" s="50" t="s">
        <v>279</v>
      </c>
      <c r="B18" s="52"/>
      <c r="C18" s="18"/>
      <c r="D18" s="18"/>
      <c r="E18" s="18"/>
      <c r="F18" s="24"/>
      <c r="H18" s="33"/>
    </row>
    <row r="19" spans="1:8" s="5" customFormat="1" x14ac:dyDescent="0.25">
      <c r="A19" s="15" t="s">
        <v>283</v>
      </c>
      <c r="B19" s="14" t="str">
        <f>+VLOOKUP($A19,INS!$A$2:$F$192,3,FALSE)</f>
        <v>Transporte de Material sobrante</v>
      </c>
      <c r="C19" s="15" t="str">
        <f>+VLOOKUP($A19,INS!$A$2:$F$192,4,FALSE)</f>
        <v>m3-Km</v>
      </c>
      <c r="D19" s="163">
        <v>7</v>
      </c>
      <c r="E19" s="16">
        <f>+VLOOKUP($A19,INS!$A$2:$F$192,6,FALSE)</f>
        <v>1500</v>
      </c>
      <c r="F19" s="16">
        <f>+ROUND($E19*$D19,2)</f>
        <v>10500</v>
      </c>
      <c r="H19" s="33"/>
    </row>
    <row r="20" spans="1:8" s="5" customFormat="1" x14ac:dyDescent="0.25">
      <c r="A20" s="15" t="s">
        <v>529</v>
      </c>
      <c r="B20" s="14" t="str">
        <f>+VLOOKUP($A20,INS!$A$2:$F$192,3,FALSE)</f>
        <v>Costo de Derechos Botadero</v>
      </c>
      <c r="C20" s="15" t="str">
        <f>+VLOOKUP($A20,INS!$A$2:$F$192,4,FALSE)</f>
        <v>m3</v>
      </c>
      <c r="D20" s="163">
        <f>1*1</f>
        <v>1</v>
      </c>
      <c r="E20" s="16">
        <f>+VLOOKUP($A20,INS!$A$2:$F$192,6,FALSE)</f>
        <v>8000</v>
      </c>
      <c r="F20" s="16">
        <f>+ROUND($E20*$D20,2)</f>
        <v>8000</v>
      </c>
      <c r="H20" s="33"/>
    </row>
    <row r="21" spans="1:8" s="5" customFormat="1" x14ac:dyDescent="0.25">
      <c r="A21" s="46"/>
      <c r="B21" s="53"/>
      <c r="C21" s="47"/>
      <c r="D21" s="48"/>
      <c r="E21" s="36" t="s">
        <v>305</v>
      </c>
      <c r="F21" s="25">
        <f>ROUND(+SUM(F19:F20),2)</f>
        <v>18500</v>
      </c>
      <c r="H21" s="33">
        <f>+F21</f>
        <v>18500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str">
        <f>+CONCATENATE("COSTO DIRECTRO ITEM ",F5," ",B5)</f>
        <v>COSTO DIRECTRO ITEM 2.01 Retiro de Sobrantes (al botadero autorizado)</v>
      </c>
      <c r="B23" s="403"/>
      <c r="C23" s="403"/>
      <c r="D23" s="403"/>
      <c r="E23" s="403"/>
      <c r="F23" s="62">
        <f>ROUND(+SUM(H10:H21),2)</f>
        <v>44810.13</v>
      </c>
    </row>
    <row r="25" spans="1:8" x14ac:dyDescent="0.25">
      <c r="F25" s="2"/>
    </row>
    <row r="27" spans="1:8" x14ac:dyDescent="0.25">
      <c r="F27" s="32"/>
    </row>
  </sheetData>
  <mergeCells count="8">
    <mergeCell ref="A23:E23"/>
    <mergeCell ref="B7:D7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17"/>
  <dimension ref="A1:H22"/>
  <sheetViews>
    <sheetView view="pageBreakPreview" topLeftCell="A4" zoomScaleNormal="100" zoomScaleSheetLayoutView="100" workbookViewId="0">
      <selection activeCell="E8" sqref="E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ht="26.25" customHeight="1" x14ac:dyDescent="0.25">
      <c r="A5" s="57" t="s">
        <v>479</v>
      </c>
      <c r="B5" s="376" t="str">
        <f>+VLOOKUP(F5,PPTO!$A$9:$F$52,2,FALSE)</f>
        <v>Excavación a tajo abierto en taludes-Excavación con acarreo libre-En material granular a cualquier profundidad</v>
      </c>
      <c r="C5" s="376"/>
      <c r="D5" s="376"/>
      <c r="E5" s="10" t="s">
        <v>480</v>
      </c>
      <c r="F5" s="63" t="s">
        <v>312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+F18</f>
        <v>24741.72</v>
      </c>
    </row>
    <row r="7" spans="1:8" x14ac:dyDescent="0.25">
      <c r="A7" s="59" t="s">
        <v>483</v>
      </c>
      <c r="B7" s="407">
        <f>+VLOOKUP(F5,PPTO!$A$9:$F$52,4,FALSE)</f>
        <v>7520.8</v>
      </c>
      <c r="C7" s="407"/>
      <c r="D7" s="407"/>
      <c r="E7" s="60" t="s">
        <v>484</v>
      </c>
      <c r="F7" s="61">
        <f>+ROUND(F6*B7,2)</f>
        <v>186077527.78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200</v>
      </c>
      <c r="B11" s="14" t="str">
        <f>+VLOOKUP($A11,INS!$A$2:$F$164,3,FALSE)</f>
        <v>Cuadrilla 1(1Ay)</v>
      </c>
      <c r="C11" s="15" t="str">
        <f>+VLOOKUP($A11,INS!$A$2:$F$164,4,FALSE)</f>
        <v>JOR</v>
      </c>
      <c r="D11" s="37">
        <v>0.16667000000000001</v>
      </c>
      <c r="E11" s="16">
        <f>+VLOOKUP($A11,INS!$A$2:$F$164,6,FALSE)</f>
        <v>80410</v>
      </c>
      <c r="F11" s="16">
        <f>+ROUND($E11*$D11,2)</f>
        <v>13401.93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13401.93</v>
      </c>
      <c r="H12" s="33">
        <f>+F12</f>
        <v>13401.93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39">
        <v>10</v>
      </c>
      <c r="E14" s="44">
        <f>+$F$12</f>
        <v>13401.93</v>
      </c>
      <c r="F14" s="16">
        <f>+ROUND($E14*$D14/100,2)</f>
        <v>1340.19</v>
      </c>
    </row>
    <row r="15" spans="1:8" x14ac:dyDescent="0.25">
      <c r="A15" s="6" t="s">
        <v>251</v>
      </c>
      <c r="B15" s="9" t="str">
        <f>+VLOOKUP($A15,INS!$A$2:$F$164,3,FALSE)</f>
        <v>Retroexcavadora</v>
      </c>
      <c r="C15" s="6" t="str">
        <f>+VLOOKUP($A15,INS!$A$2:$F$164,4,FALSE)</f>
        <v>HORA</v>
      </c>
      <c r="D15" s="34">
        <v>7.6920000000000002E-2</v>
      </c>
      <c r="E15" s="7">
        <f>+VLOOKUP($A15,INS!$A$2:$F$164,6,FALSE)</f>
        <v>130000</v>
      </c>
      <c r="F15" s="7">
        <f t="shared" ref="F15" si="0">+ROUND($E15*$D15,2)</f>
        <v>9999.6</v>
      </c>
    </row>
    <row r="16" spans="1:8" s="5" customFormat="1" x14ac:dyDescent="0.25">
      <c r="A16" s="40"/>
      <c r="B16" s="54"/>
      <c r="C16" s="41"/>
      <c r="D16" s="45"/>
      <c r="E16" s="35" t="s">
        <v>305</v>
      </c>
      <c r="F16" s="25">
        <f>+SUM(F14:F15)</f>
        <v>11339.79</v>
      </c>
      <c r="H16" s="33">
        <f>+F16</f>
        <v>11339.79</v>
      </c>
    </row>
    <row r="17" spans="1:6" ht="9" customHeight="1" x14ac:dyDescent="0.25">
      <c r="A17" s="28"/>
      <c r="B17" s="51"/>
      <c r="C17" s="30"/>
      <c r="D17" s="65"/>
      <c r="E17" s="66"/>
      <c r="F17" s="42"/>
    </row>
    <row r="18" spans="1:6" s="5" customFormat="1" ht="26.25" customHeight="1" x14ac:dyDescent="0.25">
      <c r="A18" s="403" t="str">
        <f>+CONCATENATE("COSTO DIRECTRO ITEM ",F5," ",B5)</f>
        <v>COSTO DIRECTRO ITEM 2.04 Excavación a tajo abierto en taludes-Excavación con acarreo libre-En material granular a cualquier profundidad</v>
      </c>
      <c r="B18" s="403"/>
      <c r="C18" s="403"/>
      <c r="D18" s="403"/>
      <c r="E18" s="403"/>
      <c r="F18" s="62">
        <f>+SUM(H10:H16)</f>
        <v>24741.72</v>
      </c>
    </row>
    <row r="20" spans="1:6" x14ac:dyDescent="0.25">
      <c r="F20" s="2"/>
    </row>
    <row r="22" spans="1:6" x14ac:dyDescent="0.25">
      <c r="F22" s="32"/>
    </row>
  </sheetData>
  <mergeCells count="8">
    <mergeCell ref="B7:D7"/>
    <mergeCell ref="A18:E18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8"/>
  <dimension ref="A1:H25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313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+F21</f>
        <v>46597.179999999993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37">
        <v>4</v>
      </c>
      <c r="E11" s="16">
        <f>+F12</f>
        <v>20000</v>
      </c>
      <c r="F11" s="16">
        <f>+ROUND($E11*$D11/100,2)</f>
        <v>800</v>
      </c>
    </row>
    <row r="12" spans="1:8" ht="28.5" customHeight="1" x14ac:dyDescent="0.25">
      <c r="A12" s="6" t="s">
        <v>116</v>
      </c>
      <c r="B12" s="9" t="str">
        <f>+VLOOKUP($A12,INS!$A$2:$F$164,3,FALSE)</f>
        <v>Materiales para entibados (Incluye madera rolliza, tablas, tablon, puntillas)</v>
      </c>
      <c r="C12" s="6" t="str">
        <f>+VLOOKUP($A12,INS!$A$2:$F$164,4,FALSE)</f>
        <v>Glb</v>
      </c>
      <c r="D12" s="34">
        <v>1</v>
      </c>
      <c r="E12" s="7">
        <f>+VLOOKUP($A12,INS!$A$2:$F$164,6,FALSE)</f>
        <v>20000</v>
      </c>
      <c r="F12" s="7">
        <f t="shared" ref="F12" si="0">+ROUND($E12*$D12,2)</f>
        <v>20000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20800</v>
      </c>
      <c r="H13" s="33">
        <f>+F13</f>
        <v>20800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204</v>
      </c>
      <c r="B15" s="14" t="str">
        <f>+VLOOKUP($A15,INS!$A$2:$F$164,3,FALSE)</f>
        <v>Cuadrilla 1:2 (1Of+2 Ay)</v>
      </c>
      <c r="C15" s="15" t="str">
        <f>+VLOOKUP($A15,INS!$A$2:$F$164,4,FALSE)</f>
        <v>JOR</v>
      </c>
      <c r="D15" s="37">
        <v>8.3330000000000001E-2</v>
      </c>
      <c r="E15" s="16">
        <f>+VLOOKUP($A15,INS!$A$2:$F$164,6,FALSE)</f>
        <v>281435</v>
      </c>
      <c r="F15" s="16">
        <f>+ROUND($E15*$D15,2)</f>
        <v>23451.98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23451.98</v>
      </c>
      <c r="H16" s="33">
        <f>+F16</f>
        <v>23451.98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39">
        <v>10</v>
      </c>
      <c r="E18" s="44">
        <f>+$F$16</f>
        <v>23451.98</v>
      </c>
      <c r="F18" s="16">
        <f>+ROUND($E18*$D18/100,2)</f>
        <v>2345.1999999999998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+SUM(F18:F18)</f>
        <v>2345.1999999999998</v>
      </c>
      <c r="H19" s="33">
        <f>+F19</f>
        <v>2345.1999999999998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e">
        <f>+CONCATENATE("COSTO DIRECTRO ITEM ",F5," ",B5)</f>
        <v>#N/A</v>
      </c>
      <c r="B21" s="403"/>
      <c r="C21" s="403"/>
      <c r="D21" s="403"/>
      <c r="E21" s="403"/>
      <c r="F21" s="62">
        <f>+SUM(H11:H19)</f>
        <v>46597.179999999993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9">
    <pageSetUpPr fitToPage="1"/>
  </sheetPr>
  <dimension ref="A1:H21"/>
  <sheetViews>
    <sheetView view="pageBreakPreview" zoomScaleNormal="100" zoomScaleSheetLayoutView="100" workbookViewId="0">
      <selection activeCell="D11" sqref="D11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str">
        <f>+VLOOKUP(F5,PPTO!$A$9:$F$52,2,FALSE)</f>
        <v>Sobreacarreos Internos entre 0 y 200 mts.</v>
      </c>
      <c r="C5" s="376"/>
      <c r="D5" s="376"/>
      <c r="E5" s="10" t="s">
        <v>480</v>
      </c>
      <c r="F5" s="63" t="s">
        <v>309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+F17</f>
        <v>13773.95</v>
      </c>
    </row>
    <row r="7" spans="1:8" x14ac:dyDescent="0.25">
      <c r="A7" s="59" t="s">
        <v>483</v>
      </c>
      <c r="B7" s="407">
        <f>+VLOOKUP(F5,PPTO!$A$9:$F$52,4,FALSE)</f>
        <v>940.1</v>
      </c>
      <c r="C7" s="407"/>
      <c r="D7" s="407"/>
      <c r="E7" s="60" t="s">
        <v>484</v>
      </c>
      <c r="F7" s="61">
        <f>+ROUND(F6*B7,2)</f>
        <v>12948890.4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202</v>
      </c>
      <c r="B11" s="14" t="str">
        <f>+VLOOKUP($A11,INS!$A$2:$F$164,3,FALSE)</f>
        <v>Cuadrilla 1:1 (1Of+1 Ay)</v>
      </c>
      <c r="C11" s="15" t="str">
        <f>+VLOOKUP($A11,INS!$A$2:$F$164,4,FALSE)</f>
        <v>JOR</v>
      </c>
      <c r="D11" s="163">
        <v>16.054039266067267</v>
      </c>
      <c r="E11" s="16">
        <f>+VLOOKUP($A11,INS!$A$2:$F$164,6,FALSE)</f>
        <v>201025</v>
      </c>
      <c r="F11" s="16">
        <f>+ROUND($E11/$D11,2)</f>
        <v>12521.77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ROUND(+SUM(F11:F11),2)</f>
        <v>12521.77</v>
      </c>
      <c r="H12" s="33">
        <f>+F12</f>
        <v>12521.77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68">
        <v>0.1</v>
      </c>
      <c r="E14" s="44">
        <f>+$F$12</f>
        <v>12521.77</v>
      </c>
      <c r="F14" s="16">
        <f>+ROUND($E14*$D14,2)</f>
        <v>1252.18</v>
      </c>
    </row>
    <row r="15" spans="1:8" s="5" customFormat="1" x14ac:dyDescent="0.25">
      <c r="A15" s="40"/>
      <c r="B15" s="54"/>
      <c r="C15" s="41"/>
      <c r="D15" s="45"/>
      <c r="E15" s="35" t="s">
        <v>305</v>
      </c>
      <c r="F15" s="25">
        <f>ROUND(+SUM(F14:F14),2)</f>
        <v>1252.18</v>
      </c>
      <c r="H15" s="33">
        <f>+F15</f>
        <v>1252.18</v>
      </c>
    </row>
    <row r="16" spans="1:8" ht="9" customHeight="1" x14ac:dyDescent="0.25">
      <c r="A16" s="28"/>
      <c r="B16" s="51"/>
      <c r="C16" s="30"/>
      <c r="D16" s="65"/>
      <c r="E16" s="66"/>
      <c r="F16" s="42"/>
    </row>
    <row r="17" spans="1:6" s="5" customFormat="1" ht="26.25" customHeight="1" x14ac:dyDescent="0.25">
      <c r="A17" s="403" t="str">
        <f>+CONCATENATE("COSTO DIRECTRO ITEM ",F5," ",B5)</f>
        <v>COSTO DIRECTRO ITEM 2.02 Sobreacarreos Internos entre 0 y 200 mts.</v>
      </c>
      <c r="B17" s="403"/>
      <c r="C17" s="403"/>
      <c r="D17" s="403"/>
      <c r="E17" s="403"/>
      <c r="F17" s="62">
        <f>ROUND(+SUM(H10:H15),2)</f>
        <v>13773.95</v>
      </c>
    </row>
    <row r="19" spans="1:6" x14ac:dyDescent="0.25">
      <c r="F19" s="2"/>
    </row>
    <row r="21" spans="1:6" x14ac:dyDescent="0.25">
      <c r="F21" s="32"/>
    </row>
  </sheetData>
  <mergeCells count="8">
    <mergeCell ref="B7:D7"/>
    <mergeCell ref="A17:E17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0"/>
  <dimension ref="A1:H23"/>
  <sheetViews>
    <sheetView view="pageBreakPreview" zoomScaleNormal="100" zoomScaleSheetLayoutView="100" workbookViewId="0">
      <selection activeCell="B5" sqref="B5:D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ht="29.2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315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+F19</f>
        <v>142934.28999999998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204</v>
      </c>
      <c r="B11" s="14" t="str">
        <f>+VLOOKUP($A11,INS!$A$2:$F$164,3,FALSE)</f>
        <v>Cuadrilla 1:2 (1Of+2 Ay)</v>
      </c>
      <c r="C11" s="15" t="str">
        <f>+VLOOKUP($A11,INS!$A$2:$F$164,4,FALSE)</f>
        <v>JOR</v>
      </c>
      <c r="D11" s="37">
        <v>0.34483000000000003</v>
      </c>
      <c r="E11" s="16">
        <f>+VLOOKUP($A11,INS!$A$2:$F$164,6,FALSE)</f>
        <v>281435</v>
      </c>
      <c r="F11" s="16">
        <f>+ROUND($E11*$D11,2)</f>
        <v>97047.23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97047.23</v>
      </c>
      <c r="H12" s="33">
        <f>+F12</f>
        <v>97047.23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39">
        <v>5</v>
      </c>
      <c r="E14" s="44">
        <f>+$F$12</f>
        <v>97047.23</v>
      </c>
      <c r="F14" s="16">
        <f>+ROUND($E14*$D14/100,2)</f>
        <v>4852.3599999999997</v>
      </c>
    </row>
    <row r="15" spans="1:8" x14ac:dyDescent="0.25">
      <c r="A15" s="6" t="s">
        <v>256</v>
      </c>
      <c r="B15" s="9" t="str">
        <f>+VLOOKUP($A15,INS!$A$2:$F$164,3,FALSE)</f>
        <v>Vibrocompactador Rana</v>
      </c>
      <c r="C15" s="6" t="str">
        <f>+VLOOKUP($A15,INS!$A$2:$F$164,4,FALSE)</f>
        <v>DIA</v>
      </c>
      <c r="D15" s="34">
        <v>0.34483000000000003</v>
      </c>
      <c r="E15" s="7">
        <f>+VLOOKUP($A15,INS!$A$2:$F$164,6,FALSE)</f>
        <v>90000</v>
      </c>
      <c r="F15" s="7">
        <f t="shared" ref="F15:F16" si="0">+ROUND($E15*$D15,2)</f>
        <v>31034.7</v>
      </c>
    </row>
    <row r="16" spans="1:8" x14ac:dyDescent="0.25">
      <c r="A16" s="6" t="s">
        <v>253</v>
      </c>
      <c r="B16" s="9" t="str">
        <f>+VLOOKUP($A16,INS!$A$2:$F$164,3,FALSE)</f>
        <v>Retroexcavadora Potencia 117KW</v>
      </c>
      <c r="C16" s="6" t="str">
        <f>+VLOOKUP($A16,INS!$A$2:$F$164,4,FALSE)</f>
        <v>HORA</v>
      </c>
      <c r="D16" s="34">
        <v>0.04</v>
      </c>
      <c r="E16" s="7">
        <f>+VLOOKUP($A16,INS!$A$2:$F$164,6,FALSE)</f>
        <v>250000</v>
      </c>
      <c r="F16" s="7">
        <f t="shared" si="0"/>
        <v>10000</v>
      </c>
    </row>
    <row r="17" spans="1:8" s="5" customFormat="1" x14ac:dyDescent="0.25">
      <c r="A17" s="40"/>
      <c r="B17" s="54"/>
      <c r="C17" s="41"/>
      <c r="D17" s="45"/>
      <c r="E17" s="35" t="s">
        <v>305</v>
      </c>
      <c r="F17" s="25">
        <f>+SUM(F14:F16)</f>
        <v>45887.06</v>
      </c>
      <c r="H17" s="33">
        <f>+F17</f>
        <v>45887.06</v>
      </c>
    </row>
    <row r="18" spans="1:8" ht="9" customHeight="1" x14ac:dyDescent="0.25">
      <c r="A18" s="28"/>
      <c r="B18" s="51"/>
      <c r="C18" s="30"/>
      <c r="D18" s="65"/>
      <c r="E18" s="66"/>
      <c r="F18" s="42"/>
    </row>
    <row r="19" spans="1:8" s="5" customFormat="1" ht="26.25" customHeight="1" x14ac:dyDescent="0.25">
      <c r="A19" s="403" t="e">
        <f>+CONCATENATE("COSTO DIRECTRO ITEM ",F5," ",B5)</f>
        <v>#N/A</v>
      </c>
      <c r="B19" s="403"/>
      <c r="C19" s="403"/>
      <c r="D19" s="403"/>
      <c r="E19" s="403"/>
      <c r="F19" s="62">
        <f>+SUM(H10:H17)</f>
        <v>142934.28999999998</v>
      </c>
    </row>
    <row r="21" spans="1:8" x14ac:dyDescent="0.25">
      <c r="F21" s="2"/>
    </row>
    <row r="23" spans="1:8" x14ac:dyDescent="0.25">
      <c r="F23" s="32"/>
    </row>
  </sheetData>
  <mergeCells count="8">
    <mergeCell ref="B7:D7"/>
    <mergeCell ref="A19:E19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1">
    <pageSetUpPr fitToPage="1"/>
  </sheetPr>
  <dimension ref="A1:H22"/>
  <sheetViews>
    <sheetView view="pageBreakPreview" zoomScaleNormal="100" zoomScaleSheetLayoutView="100" workbookViewId="0">
      <selection activeCell="J11" sqref="J11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str">
        <f>+VLOOKUP(F5,PPTO!$A$9:$F$52,2,FALSE)</f>
        <v>Excavacion a mano en descolgado del talud para zapatas</v>
      </c>
      <c r="C5" s="376"/>
      <c r="D5" s="376"/>
      <c r="E5" s="10" t="s">
        <v>480</v>
      </c>
      <c r="F5" s="63" t="s">
        <v>310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+F18</f>
        <v>263920.99</v>
      </c>
    </row>
    <row r="7" spans="1:8" x14ac:dyDescent="0.25">
      <c r="A7" s="59" t="s">
        <v>483</v>
      </c>
      <c r="B7" s="407">
        <f>+VLOOKUP(F5,PPTO!$A$9:$F$52,4,FALSE)</f>
        <v>148.47</v>
      </c>
      <c r="C7" s="407"/>
      <c r="D7" s="407"/>
      <c r="E7" s="60" t="s">
        <v>484</v>
      </c>
      <c r="F7" s="61">
        <f>+ROUND(F6*B7,2)</f>
        <v>39184349.390000001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198</v>
      </c>
      <c r="B11" s="14" t="str">
        <f>+VLOOKUP($A11,INS!$A$2:$F$164,3,FALSE)</f>
        <v>Cuadrilla 1:3 (1Of+3 Ay)</v>
      </c>
      <c r="C11" s="15" t="str">
        <f>+VLOOKUP($A11,INS!$A$2:$F$164,4,FALSE)</f>
        <v>JOR</v>
      </c>
      <c r="D11" s="163">
        <v>15.162154516340951</v>
      </c>
      <c r="E11" s="16">
        <f>+VLOOKUP($A11,INS!$A$2:$F$164,6,FALSE)</f>
        <v>361845</v>
      </c>
      <c r="F11" s="16">
        <f>+ROUND($E11/$D11,2)</f>
        <v>23865.01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ROUND(+SUM(F11:F11),2)</f>
        <v>23865.01</v>
      </c>
      <c r="H12" s="33">
        <f>+F12</f>
        <v>23865.01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68">
        <v>0.1</v>
      </c>
      <c r="E14" s="44">
        <f>+$F$12</f>
        <v>23865.01</v>
      </c>
      <c r="F14" s="16">
        <f>+ROUND($E14/$D14,2)</f>
        <v>238650.1</v>
      </c>
    </row>
    <row r="15" spans="1:8" x14ac:dyDescent="0.25">
      <c r="A15" s="6" t="s">
        <v>259</v>
      </c>
      <c r="B15" s="9" t="str">
        <f>+VLOOKUP($A15,INS!$A$2:$F$164,3,FALSE)</f>
        <v>Andamio Colgante</v>
      </c>
      <c r="C15" s="6" t="str">
        <f>+VLOOKUP($A15,INS!$A$2:$F$164,4,FALSE)</f>
        <v>DIA</v>
      </c>
      <c r="D15" s="114">
        <v>17</v>
      </c>
      <c r="E15" s="7">
        <f>+VLOOKUP($A15,INS!$A$2:$F$164,6,FALSE)</f>
        <v>23900</v>
      </c>
      <c r="F15" s="7">
        <f>+ROUND($E15/$D15,2)</f>
        <v>1405.88</v>
      </c>
    </row>
    <row r="16" spans="1:8" s="5" customFormat="1" x14ac:dyDescent="0.25">
      <c r="A16" s="40"/>
      <c r="B16" s="54"/>
      <c r="C16" s="41"/>
      <c r="D16" s="45"/>
      <c r="E16" s="35" t="s">
        <v>305</v>
      </c>
      <c r="F16" s="25">
        <f>ROUND(+SUM(F14:F15),2)</f>
        <v>240055.98</v>
      </c>
      <c r="H16" s="33">
        <f>+F16</f>
        <v>240055.98</v>
      </c>
    </row>
    <row r="17" spans="1:8" ht="9" customHeight="1" x14ac:dyDescent="0.25">
      <c r="A17" s="28"/>
      <c r="B17" s="51"/>
      <c r="C17" s="30"/>
      <c r="D17" s="65"/>
      <c r="E17" s="66"/>
      <c r="F17" s="42"/>
    </row>
    <row r="18" spans="1:8" s="5" customFormat="1" ht="26.25" customHeight="1" x14ac:dyDescent="0.25">
      <c r="A18" s="403" t="str">
        <f>+CONCATENATE("COSTO DIRECTRO ITEM ",F5," ",B5)</f>
        <v>COSTO DIRECTRO ITEM 2.03 Excavacion a mano en descolgado del talud para zapatas</v>
      </c>
      <c r="B18" s="403"/>
      <c r="C18" s="403"/>
      <c r="D18" s="403"/>
      <c r="E18" s="403"/>
      <c r="F18" s="62">
        <f>ROUND(+SUM(H10:H16),2)</f>
        <v>263920.99</v>
      </c>
      <c r="H18" s="169">
        <f>50*0.1</f>
        <v>5</v>
      </c>
    </row>
    <row r="20" spans="1:8" x14ac:dyDescent="0.25">
      <c r="F20" s="2"/>
    </row>
    <row r="22" spans="1:8" x14ac:dyDescent="0.25">
      <c r="F22" s="32"/>
    </row>
  </sheetData>
  <mergeCells count="8">
    <mergeCell ref="B7:D7"/>
    <mergeCell ref="A18:E18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2">
    <pageSetUpPr fitToPage="1"/>
  </sheetPr>
  <dimension ref="A1:H22"/>
  <sheetViews>
    <sheetView view="pageBreakPreview" zoomScaleNormal="100" zoomScaleSheetLayoutView="100" workbookViewId="0">
      <selection activeCell="I8" sqref="I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ht="30" customHeight="1" x14ac:dyDescent="0.25">
      <c r="A5" s="57" t="s">
        <v>479</v>
      </c>
      <c r="B5" s="376" t="str">
        <f>+VLOOKUP(F5,PPTO!$A$9:$F$52,2,FALSE)</f>
        <v>Excavación a tajo abierto en taludes-Excavación con acarreo libre-En material granular a cualquier profundidad</v>
      </c>
      <c r="C5" s="376"/>
      <c r="D5" s="376"/>
      <c r="E5" s="10" t="s">
        <v>480</v>
      </c>
      <c r="F5" s="63" t="s">
        <v>312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+F18</f>
        <v>52157.850000000006</v>
      </c>
    </row>
    <row r="7" spans="1:8" x14ac:dyDescent="0.25">
      <c r="A7" s="59" t="s">
        <v>483</v>
      </c>
      <c r="B7" s="407">
        <f>+VLOOKUP(F5,PPTO!$A$9:$F$52,4,FALSE)</f>
        <v>7520.8</v>
      </c>
      <c r="C7" s="407"/>
      <c r="D7" s="407"/>
      <c r="E7" s="60" t="s">
        <v>484</v>
      </c>
      <c r="F7" s="61">
        <f>+ROUND(F6*B7,2)</f>
        <v>392268758.27999997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204</v>
      </c>
      <c r="B11" s="14" t="str">
        <f>+VLOOKUP($A11,INS!$A$2:$F$164,3,FALSE)</f>
        <v>Cuadrilla 1:2 (1Of+2 Ay)</v>
      </c>
      <c r="C11" s="15" t="str">
        <f>+VLOOKUP($A11,INS!$A$2:$F$164,4,FALSE)</f>
        <v>JOR</v>
      </c>
      <c r="D11" s="163">
        <v>40.135089645131742</v>
      </c>
      <c r="E11" s="16">
        <f>+VLOOKUP($A11,INS!$A$2:$F$164,6,FALSE)</f>
        <v>281435</v>
      </c>
      <c r="F11" s="16">
        <f>+ROUND($E11/$D11,2)</f>
        <v>7012.19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7012.19</v>
      </c>
      <c r="H12" s="33">
        <f>+F12</f>
        <v>7012.19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68">
        <v>0.1</v>
      </c>
      <c r="E14" s="44">
        <f>+$F$12</f>
        <v>7012.19</v>
      </c>
      <c r="F14" s="16">
        <f>+ROUND($E14*$D14,2)</f>
        <v>701.22</v>
      </c>
    </row>
    <row r="15" spans="1:8" x14ac:dyDescent="0.25">
      <c r="A15" s="6" t="s">
        <v>253</v>
      </c>
      <c r="B15" s="9" t="str">
        <f>+VLOOKUP($A15,INS!$A$2:$F$164,3,FALSE)</f>
        <v>Retroexcavadora Potencia 117KW</v>
      </c>
      <c r="C15" s="6" t="str">
        <f>+VLOOKUP($A15,INS!$A$2:$F$164,4,FALSE)</f>
        <v>HORA</v>
      </c>
      <c r="D15" s="162">
        <v>5.625</v>
      </c>
      <c r="E15" s="7">
        <f>+VLOOKUP($A15,INS!$A$2:$F$164,6,FALSE)</f>
        <v>250000</v>
      </c>
      <c r="F15" s="7">
        <f>+ROUND($E15/$D15,2)</f>
        <v>44444.44</v>
      </c>
    </row>
    <row r="16" spans="1:8" s="5" customFormat="1" x14ac:dyDescent="0.25">
      <c r="A16" s="40"/>
      <c r="B16" s="54"/>
      <c r="C16" s="41"/>
      <c r="D16" s="45"/>
      <c r="E16" s="35" t="s">
        <v>305</v>
      </c>
      <c r="F16" s="25">
        <f>+SUM(F14:F15)</f>
        <v>45145.66</v>
      </c>
      <c r="H16" s="33">
        <f>+F16</f>
        <v>45145.66</v>
      </c>
    </row>
    <row r="17" spans="1:6" ht="9" customHeight="1" x14ac:dyDescent="0.25">
      <c r="A17" s="28"/>
      <c r="B17" s="51"/>
      <c r="C17" s="30"/>
      <c r="D17" s="65"/>
      <c r="E17" s="66"/>
      <c r="F17" s="42"/>
    </row>
    <row r="18" spans="1:6" s="5" customFormat="1" ht="26.25" customHeight="1" x14ac:dyDescent="0.25">
      <c r="A18" s="403" t="str">
        <f>+CONCATENATE("COSTO DIRECTRO ITEM ",F5," ",B5)</f>
        <v>COSTO DIRECTRO ITEM 2.04 Excavación a tajo abierto en taludes-Excavación con acarreo libre-En material granular a cualquier profundidad</v>
      </c>
      <c r="B18" s="403"/>
      <c r="C18" s="403"/>
      <c r="D18" s="403"/>
      <c r="E18" s="403"/>
      <c r="F18" s="62">
        <f>+SUM(H10:H16)</f>
        <v>52157.850000000006</v>
      </c>
    </row>
    <row r="20" spans="1:6" x14ac:dyDescent="0.25">
      <c r="F20" s="2"/>
    </row>
    <row r="22" spans="1:6" x14ac:dyDescent="0.25">
      <c r="F22" s="32"/>
    </row>
  </sheetData>
  <mergeCells count="8">
    <mergeCell ref="B7:D7"/>
    <mergeCell ref="A18:E18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3"/>
  <dimension ref="A1:H28"/>
  <sheetViews>
    <sheetView view="pageBreakPreview" topLeftCell="A4" zoomScaleNormal="100" zoomScaleSheetLayoutView="100" workbookViewId="0">
      <selection activeCell="F21" sqref="F21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318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5285.07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53</v>
      </c>
      <c r="B11" s="14" t="str">
        <f>+VLOOKUP($A11,INS!$A$2:$F$164,3,FALSE)</f>
        <v>Disposicion del material</v>
      </c>
      <c r="C11" s="15" t="str">
        <f>+VLOOKUP($A11,INS!$A$2:$F$164,4,FALSE)</f>
        <v>m3</v>
      </c>
      <c r="D11" s="37">
        <v>0.05</v>
      </c>
      <c r="E11" s="16">
        <f>+VLOOKUP($A11,INS!$A$2:$F$164,6,FALSE)</f>
        <v>5600</v>
      </c>
      <c r="F11" s="16">
        <f>+ROUND($E11*$D11,2)</f>
        <v>280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280</v>
      </c>
      <c r="H12" s="33">
        <f>+F12</f>
        <v>280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+VLOOKUP($A14,INS!$A$2:$F$164,3,FALSE)</f>
        <v>Cuadrilla 1:2 (1Of+2 Ay)</v>
      </c>
      <c r="C14" s="15" t="str">
        <f>+VLOOKUP($A14,INS!$A$2:$F$164,4,FALSE)</f>
        <v>JOR</v>
      </c>
      <c r="D14" s="37">
        <v>0.01</v>
      </c>
      <c r="E14" s="16">
        <f>+VLOOKUP($A14,INS!$A$2:$F$164,6,FALSE)</f>
        <v>281435</v>
      </c>
      <c r="F14" s="16">
        <f>+ROUND($E14*$D14,2)</f>
        <v>2814.35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2814.35</v>
      </c>
      <c r="H15" s="33">
        <f>+F15</f>
        <v>2814.35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39">
        <v>5</v>
      </c>
      <c r="E17" s="44">
        <f>+$F$15</f>
        <v>2814.35</v>
      </c>
      <c r="F17" s="16">
        <f>+ROUND($E17*$D17/100,2)</f>
        <v>140.72</v>
      </c>
    </row>
    <row r="18" spans="1:8" x14ac:dyDescent="0.25">
      <c r="A18" s="6" t="s">
        <v>258</v>
      </c>
      <c r="B18" s="9" t="str">
        <f>+VLOOKUP($A18,INS!$A$2:$F$164,3,FALSE)</f>
        <v>Volqueta 6 M3 o Similar</v>
      </c>
      <c r="C18" s="6" t="str">
        <f>+VLOOKUP($A18,INS!$A$2:$F$164,4,FALSE)</f>
        <v>HORA</v>
      </c>
      <c r="D18" s="34">
        <v>1.4290000000000001E-2</v>
      </c>
      <c r="E18" s="7">
        <f>+VLOOKUP($A18,INS!$A$2:$F$164,6,FALSE)</f>
        <v>66480</v>
      </c>
      <c r="F18" s="7">
        <f t="shared" ref="F18" si="0">+ROUND($E18*$D18,2)</f>
        <v>950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+SUM(F17:F18)</f>
        <v>1090.72</v>
      </c>
      <c r="H19" s="33">
        <f>+F19</f>
        <v>1090.72</v>
      </c>
    </row>
    <row r="20" spans="1:8" s="5" customFormat="1" x14ac:dyDescent="0.25">
      <c r="A20" s="50" t="s">
        <v>487</v>
      </c>
      <c r="B20" s="52"/>
      <c r="C20" s="18"/>
      <c r="D20" s="18"/>
      <c r="E20" s="18"/>
      <c r="F20" s="24"/>
      <c r="H20" s="33"/>
    </row>
    <row r="21" spans="1:8" s="5" customFormat="1" x14ac:dyDescent="0.25">
      <c r="A21" s="15" t="s">
        <v>278</v>
      </c>
      <c r="B21" s="14" t="str">
        <f>+VLOOKUP($A21,INS!$A$2:$F$192,3,FALSE)</f>
        <v>Transporte de Material de Excavación</v>
      </c>
      <c r="C21" s="15" t="str">
        <f>+VLOOKUP($A21,INS!$A$2:$F$192,4,FALSE)</f>
        <v>m3-Km</v>
      </c>
      <c r="D21" s="37">
        <v>1</v>
      </c>
      <c r="E21" s="16">
        <f>+VLOOKUP($A21,INS!$A$2:$F$192,6,FALSE)</f>
        <v>1100</v>
      </c>
      <c r="F21" s="16">
        <f>+ROUND($E21*$D21,2)</f>
        <v>1100</v>
      </c>
      <c r="H21" s="33"/>
    </row>
    <row r="22" spans="1:8" s="5" customFormat="1" x14ac:dyDescent="0.25">
      <c r="A22" s="46"/>
      <c r="B22" s="53"/>
      <c r="C22" s="47"/>
      <c r="D22" s="48"/>
      <c r="E22" s="36" t="s">
        <v>305</v>
      </c>
      <c r="F22" s="25">
        <f>+SUM(F21:F21)</f>
        <v>1100</v>
      </c>
      <c r="H22" s="33">
        <f>+F22</f>
        <v>1100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5285.07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4"/>
  <dimension ref="A1:H22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319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+F18</f>
        <v>28478.93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202</v>
      </c>
      <c r="B11" s="14" t="str">
        <f>+VLOOKUP($A11,INS!$A$2:$F$164,3,FALSE)</f>
        <v>Cuadrilla 1:1 (1Of+1 Ay)</v>
      </c>
      <c r="C11" s="15" t="str">
        <f>+VLOOKUP($A11,INS!$A$2:$F$164,4,FALSE)</f>
        <v>JOR</v>
      </c>
      <c r="D11" s="37">
        <v>7.0000000000000007E-2</v>
      </c>
      <c r="E11" s="16">
        <f>+VLOOKUP($A11,INS!$A$2:$F$164,6,FALSE)</f>
        <v>201025</v>
      </c>
      <c r="F11" s="16">
        <f>+ROUND($E11*$D11,2)</f>
        <v>14071.75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14071.75</v>
      </c>
      <c r="H12" s="33">
        <f>+F12</f>
        <v>14071.75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39">
        <v>10</v>
      </c>
      <c r="E14" s="44">
        <f>+$F$12</f>
        <v>14071.75</v>
      </c>
      <c r="F14" s="16">
        <f>+ROUND($E14*$D14/100,2)</f>
        <v>1407.18</v>
      </c>
    </row>
    <row r="15" spans="1:8" x14ac:dyDescent="0.25">
      <c r="A15" s="6" t="s">
        <v>251</v>
      </c>
      <c r="B15" s="9" t="str">
        <f>+VLOOKUP($A15,INS!$A$2:$F$164,3,FALSE)</f>
        <v>Retroexcavadora</v>
      </c>
      <c r="C15" s="6" t="str">
        <f>+VLOOKUP($A15,INS!$A$2:$F$164,4,FALSE)</f>
        <v>HORA</v>
      </c>
      <c r="D15" s="34">
        <v>0.1</v>
      </c>
      <c r="E15" s="7">
        <f>+VLOOKUP($A15,INS!$A$2:$F$164,6,FALSE)</f>
        <v>130000</v>
      </c>
      <c r="F15" s="7">
        <f t="shared" ref="F15" si="0">+ROUND($E15*$D15,2)</f>
        <v>13000</v>
      </c>
    </row>
    <row r="16" spans="1:8" s="5" customFormat="1" x14ac:dyDescent="0.25">
      <c r="A16" s="40"/>
      <c r="B16" s="54"/>
      <c r="C16" s="41"/>
      <c r="D16" s="45"/>
      <c r="E16" s="35" t="s">
        <v>305</v>
      </c>
      <c r="F16" s="25">
        <f>+SUM(F14:F15)</f>
        <v>14407.18</v>
      </c>
      <c r="H16" s="33">
        <f>+F16</f>
        <v>14407.18</v>
      </c>
    </row>
    <row r="17" spans="1:6" ht="9" customHeight="1" x14ac:dyDescent="0.25">
      <c r="A17" s="28"/>
      <c r="B17" s="51"/>
      <c r="C17" s="30"/>
      <c r="D17" s="65"/>
      <c r="E17" s="66"/>
      <c r="F17" s="42"/>
    </row>
    <row r="18" spans="1:6" s="5" customFormat="1" ht="26.25" customHeight="1" x14ac:dyDescent="0.25">
      <c r="A18" s="403" t="e">
        <f>+CONCATENATE("COSTO DIRECTRO ITEM ",F5," ",B5)</f>
        <v>#N/A</v>
      </c>
      <c r="B18" s="403"/>
      <c r="C18" s="403"/>
      <c r="D18" s="403"/>
      <c r="E18" s="403"/>
      <c r="F18" s="62">
        <f>+SUM(H10:H16)</f>
        <v>28478.93</v>
      </c>
    </row>
    <row r="20" spans="1:6" x14ac:dyDescent="0.25">
      <c r="F20" s="2"/>
    </row>
    <row r="22" spans="1:6" x14ac:dyDescent="0.25">
      <c r="F22" s="32"/>
    </row>
  </sheetData>
  <mergeCells count="8">
    <mergeCell ref="B7:D7"/>
    <mergeCell ref="A18:E18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5"/>
  <dimension ref="A1:H30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320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+F26</f>
        <v>198623.84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37">
        <v>10</v>
      </c>
      <c r="E11" s="16">
        <f>+F12</f>
        <v>67600</v>
      </c>
      <c r="F11" s="16">
        <f>+ROUND($E11*$D11/100,2)</f>
        <v>6760</v>
      </c>
    </row>
    <row r="12" spans="1:8" x14ac:dyDescent="0.25">
      <c r="A12" s="6" t="s">
        <v>109</v>
      </c>
      <c r="B12" s="9" t="str">
        <f>+VLOOKUP($A12,INS!$A$2:$F$164,3,FALSE)</f>
        <v>Material Sub base CBR=30%</v>
      </c>
      <c r="C12" s="6" t="str">
        <f>+VLOOKUP($A12,INS!$A$2:$F$164,4,FALSE)</f>
        <v>m3</v>
      </c>
      <c r="D12" s="34">
        <v>1.3</v>
      </c>
      <c r="E12" s="7">
        <f>+VLOOKUP($A12,INS!$A$2:$F$164,6,FALSE)</f>
        <v>52000</v>
      </c>
      <c r="F12" s="7">
        <f t="shared" ref="F12" si="0">+ROUND($E12*$D12,2)</f>
        <v>67600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74360</v>
      </c>
      <c r="H13" s="33">
        <f>+F13</f>
        <v>74360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204</v>
      </c>
      <c r="B15" s="14" t="str">
        <f>+VLOOKUP($A15,INS!$A$2:$F$164,3,FALSE)</f>
        <v>Cuadrilla 1:2 (1Of+2 Ay)</v>
      </c>
      <c r="C15" s="15" t="str">
        <f>+VLOOKUP($A15,INS!$A$2:$F$164,4,FALSE)</f>
        <v>JOR</v>
      </c>
      <c r="D15" s="37">
        <f>+ROUND(1/80,5)</f>
        <v>1.2500000000000001E-2</v>
      </c>
      <c r="E15" s="16">
        <f>+VLOOKUP($A15,INS!$A$2:$F$164,6,FALSE)</f>
        <v>281435</v>
      </c>
      <c r="F15" s="16">
        <f>+ROUND($E15*$D15,2)</f>
        <v>3517.94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3517.94</v>
      </c>
      <c r="H16" s="33">
        <f>+F16</f>
        <v>3517.94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39">
        <v>10</v>
      </c>
      <c r="E18" s="44">
        <f>+$F$16</f>
        <v>3517.94</v>
      </c>
      <c r="F18" s="16">
        <f>+ROUND($E18*$D18/100,2)</f>
        <v>351.79</v>
      </c>
    </row>
    <row r="19" spans="1:8" x14ac:dyDescent="0.25">
      <c r="A19" s="6" t="s">
        <v>585</v>
      </c>
      <c r="B19" s="9" t="str">
        <f>+VLOOKUP($A19,INS!$A$2:$F$187,3,FALSE)</f>
        <v>Carro tanque de agua (1000 galones)</v>
      </c>
      <c r="C19" s="6" t="str">
        <f>+VLOOKUP($A19,INS!$A$2:$F$187,4,FALSE)</f>
        <v>HORA</v>
      </c>
      <c r="D19" s="6">
        <f>+ROUND(1/15,5)</f>
        <v>6.6669999999999993E-2</v>
      </c>
      <c r="E19" s="7">
        <f>+VLOOKUP($A19,INS!$A$2:$F$187,6,FALSE)</f>
        <v>66050</v>
      </c>
      <c r="F19" s="7">
        <f t="shared" ref="F19:F20" si="1">+ROUND($E19*$D19,2)</f>
        <v>4403.55</v>
      </c>
    </row>
    <row r="20" spans="1:8" ht="27" customHeight="1" x14ac:dyDescent="0.25">
      <c r="A20" s="6" t="s">
        <v>583</v>
      </c>
      <c r="B20" s="9" t="str">
        <f>+VLOOKUP($A20,INS!$A$2:$F$164,3,FALSE)</f>
        <v>Vibrocompactador Tipo Benitin peso 0.7 a 1.5 Ton</v>
      </c>
      <c r="C20" s="6" t="str">
        <f>+VLOOKUP($A20,INS!$A$2:$F$164,4,FALSE)</f>
        <v>HORA</v>
      </c>
      <c r="D20" s="6">
        <f>+ROUND(1/15,5)</f>
        <v>6.6669999999999993E-2</v>
      </c>
      <c r="E20" s="7">
        <f>+VLOOKUP($A20,INS!$A$2:$F$164,6,FALSE)</f>
        <v>168000</v>
      </c>
      <c r="F20" s="7">
        <f t="shared" si="1"/>
        <v>11200.56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+SUM(F18:F20)</f>
        <v>15955.9</v>
      </c>
      <c r="H21" s="33">
        <f>+F21</f>
        <v>15955.9</v>
      </c>
    </row>
    <row r="22" spans="1:8" s="5" customFormat="1" x14ac:dyDescent="0.25">
      <c r="A22" s="50" t="s">
        <v>656</v>
      </c>
      <c r="B22" s="52"/>
      <c r="C22" s="18"/>
      <c r="D22" s="18"/>
      <c r="E22" s="18"/>
      <c r="F22" s="24"/>
      <c r="H22" s="33"/>
    </row>
    <row r="23" spans="1:8" s="5" customFormat="1" x14ac:dyDescent="0.25">
      <c r="A23" s="6" t="s">
        <v>618</v>
      </c>
      <c r="B23" s="9" t="str">
        <f>+VLOOKUP($A23,INS!$A$2:$F$187,3,FALSE)</f>
        <v>Transporte de material granular</v>
      </c>
      <c r="C23" s="6" t="str">
        <f>+VLOOKUP($A23,INS!$A$2:$F$187,4,FALSE)</f>
        <v>m3-Km</v>
      </c>
      <c r="D23" s="34">
        <f>+ROUND(1.25*56,5)</f>
        <v>70</v>
      </c>
      <c r="E23" s="7">
        <f>+VLOOKUP($A23,INS!$A$2:$F$187,6,FALSE)</f>
        <v>1497</v>
      </c>
      <c r="F23" s="7">
        <f t="shared" ref="F23" si="2">+ROUND($E23*$D23,2)</f>
        <v>104790</v>
      </c>
      <c r="H23" s="33"/>
    </row>
    <row r="24" spans="1:8" s="5" customFormat="1" x14ac:dyDescent="0.25">
      <c r="A24" s="40"/>
      <c r="B24" s="54"/>
      <c r="C24" s="41"/>
      <c r="D24" s="45"/>
      <c r="E24" s="35" t="s">
        <v>305</v>
      </c>
      <c r="F24" s="25">
        <f>+SUM(F23:F23)</f>
        <v>104790</v>
      </c>
      <c r="H24" s="33">
        <f>+F24</f>
        <v>104790</v>
      </c>
    </row>
    <row r="25" spans="1:8" ht="9" customHeight="1" x14ac:dyDescent="0.25">
      <c r="A25" s="28"/>
      <c r="B25" s="51"/>
      <c r="C25" s="30"/>
      <c r="D25" s="65"/>
      <c r="E25" s="66"/>
      <c r="F25" s="42"/>
    </row>
    <row r="26" spans="1:8" s="5" customFormat="1" x14ac:dyDescent="0.25">
      <c r="A26" s="403" t="e">
        <f>+CONCATENATE("COSTO DIRECTRO ITEM ",F5," ",B5)</f>
        <v>#N/A</v>
      </c>
      <c r="B26" s="403"/>
      <c r="C26" s="403"/>
      <c r="D26" s="403"/>
      <c r="E26" s="403"/>
      <c r="F26" s="62">
        <f>+SUM(H11:H24)</f>
        <v>198623.84</v>
      </c>
    </row>
    <row r="28" spans="1:8" x14ac:dyDescent="0.25">
      <c r="F28" s="2"/>
    </row>
    <row r="30" spans="1:8" x14ac:dyDescent="0.25">
      <c r="F30" s="32"/>
    </row>
  </sheetData>
  <mergeCells count="8">
    <mergeCell ref="B7:D7"/>
    <mergeCell ref="A26:E26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26"/>
  <dimension ref="A1:H28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321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127314.76999999999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37">
        <v>4</v>
      </c>
      <c r="E11" s="16">
        <f>+F12+F13+F14</f>
        <v>119667.63</v>
      </c>
      <c r="F11" s="16">
        <f>+ROUND($E11*$D11/100,2)</f>
        <v>4786.71</v>
      </c>
    </row>
    <row r="12" spans="1:8" x14ac:dyDescent="0.25">
      <c r="A12" s="15" t="s">
        <v>13</v>
      </c>
      <c r="B12" s="14" t="str">
        <f>+VLOOKUP($A12,INS!$A$2:$F$164,3,FALSE)</f>
        <v>Agua</v>
      </c>
      <c r="C12" s="15" t="str">
        <f>+VLOOKUP($A12,INS!$A$2:$F$164,4,FALSE)</f>
        <v>L</v>
      </c>
      <c r="D12" s="37">
        <v>24</v>
      </c>
      <c r="E12" s="16">
        <f>+VLOOKUP($A12,INS!$A$2:$F$164,6,FALSE)</f>
        <v>50</v>
      </c>
      <c r="F12" s="16">
        <f>+ROUND($E12*$D12,2)</f>
        <v>1200</v>
      </c>
    </row>
    <row r="13" spans="1:8" x14ac:dyDescent="0.25">
      <c r="A13" s="6" t="s">
        <v>40</v>
      </c>
      <c r="B13" s="9" t="str">
        <f>+VLOOKUP($A13,INS!$A$2:$F$164,3,FALSE)</f>
        <v>Carro tanque de agua (1000 galones)</v>
      </c>
      <c r="C13" s="6" t="str">
        <f>+VLOOKUP($A13,INS!$A$2:$F$164,4,FALSE)</f>
        <v>HORA</v>
      </c>
      <c r="D13" s="34">
        <v>2.222E-2</v>
      </c>
      <c r="E13" s="7">
        <f>+VLOOKUP($A13,INS!$A$2:$F$164,6,FALSE)</f>
        <v>66050</v>
      </c>
      <c r="F13" s="7">
        <f t="shared" ref="F13:F14" si="0">+ROUND($E13*$D13,2)</f>
        <v>1467.63</v>
      </c>
    </row>
    <row r="14" spans="1:8" x14ac:dyDescent="0.25">
      <c r="A14" s="6" t="s">
        <v>114</v>
      </c>
      <c r="B14" s="9" t="str">
        <f>+VLOOKUP($A14,INS!$A$2:$F$164,3,FALSE)</f>
        <v>Material de base (gradacion 1)</v>
      </c>
      <c r="C14" s="6" t="str">
        <f>+VLOOKUP($A14,INS!$A$2:$F$164,4,FALSE)</f>
        <v>m3</v>
      </c>
      <c r="D14" s="34">
        <v>1.3</v>
      </c>
      <c r="E14" s="7">
        <f>+VLOOKUP($A14,INS!$A$2:$F$164,6,FALSE)</f>
        <v>90000</v>
      </c>
      <c r="F14" s="7">
        <f t="shared" si="0"/>
        <v>117000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124454.34</v>
      </c>
      <c r="H15" s="33">
        <f>+F15</f>
        <v>124454.34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204</v>
      </c>
      <c r="B17" s="14" t="str">
        <f>+VLOOKUP($A17,INS!$A$2:$F$164,3,FALSE)</f>
        <v>Cuadrilla 1:2 (1Of+2 Ay)</v>
      </c>
      <c r="C17" s="15" t="str">
        <f>+VLOOKUP($A17,INS!$A$2:$F$164,4,FALSE)</f>
        <v>JOR</v>
      </c>
      <c r="D17" s="37">
        <v>2.7799999999999999E-3</v>
      </c>
      <c r="E17" s="16">
        <f>+VLOOKUP($A17,INS!$A$2:$F$164,6,FALSE)</f>
        <v>281435</v>
      </c>
      <c r="F17" s="16">
        <f>+ROUND($E17*$D17,2)</f>
        <v>782.39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782.39</v>
      </c>
      <c r="H18" s="33">
        <f>+F18</f>
        <v>782.39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38" t="s">
        <v>244</v>
      </c>
      <c r="B20" s="64" t="str">
        <f>+VLOOKUP($A20,INS!$A$2:$F$164,3,FALSE)</f>
        <v>Herramienta menor</v>
      </c>
      <c r="C20" s="38" t="str">
        <f>+VLOOKUP($A20,INS!$A$2:$F$164,4,FALSE)</f>
        <v>(%)MO</v>
      </c>
      <c r="D20" s="39">
        <v>10</v>
      </c>
      <c r="E20" s="44">
        <f>+$F$18</f>
        <v>782.39</v>
      </c>
      <c r="F20" s="16">
        <f>+ROUND($E20*$D20/100,2)</f>
        <v>78.239999999999995</v>
      </c>
    </row>
    <row r="21" spans="1:8" x14ac:dyDescent="0.25">
      <c r="A21" s="6" t="s">
        <v>256</v>
      </c>
      <c r="B21" s="9" t="str">
        <f>+VLOOKUP($A21,INS!$A$2:$F$164,3,FALSE)</f>
        <v>Vibrocompactador Rana</v>
      </c>
      <c r="C21" s="6" t="str">
        <f>+VLOOKUP($A21,INS!$A$2:$F$164,4,FALSE)</f>
        <v>DIA</v>
      </c>
      <c r="D21" s="34">
        <v>2.222E-2</v>
      </c>
      <c r="E21" s="7">
        <f>+VLOOKUP($A21,INS!$A$2:$F$164,6,FALSE)</f>
        <v>90000</v>
      </c>
      <c r="F21" s="7">
        <f t="shared" ref="F21" si="1">+ROUND($E21*$D21,2)</f>
        <v>1999.8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2078.04</v>
      </c>
      <c r="H22" s="33">
        <f>+F22</f>
        <v>2078.04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127314.76999999999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7"/>
  <dimension ref="A1:H23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307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322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+F19</f>
        <v>188820.07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202</v>
      </c>
      <c r="B11" s="14" t="str">
        <f>+VLOOKUP($A11,INS!$A$2:$F$164,3,FALSE)</f>
        <v>Cuadrilla 1:1 (1Of+1 Ay)</v>
      </c>
      <c r="C11" s="15" t="str">
        <f>+VLOOKUP($A11,INS!$A$2:$F$164,4,FALSE)</f>
        <v>JOR</v>
      </c>
      <c r="D11" s="37">
        <v>6.25E-2</v>
      </c>
      <c r="E11" s="16">
        <f>+VLOOKUP($A11,INS!$A$2:$F$164,6,FALSE)</f>
        <v>201025</v>
      </c>
      <c r="F11" s="16">
        <f>+ROUND($E11*$D11,2)</f>
        <v>12564.06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12564.06</v>
      </c>
      <c r="H12" s="33">
        <f>+F12</f>
        <v>12564.06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39">
        <v>10</v>
      </c>
      <c r="E14" s="44">
        <f>+$F$12</f>
        <v>12564.06</v>
      </c>
      <c r="F14" s="16">
        <f>+ROUND($E14*$D14/100,2)</f>
        <v>1256.4100000000001</v>
      </c>
    </row>
    <row r="15" spans="1:8" x14ac:dyDescent="0.25">
      <c r="A15" s="6" t="s">
        <v>251</v>
      </c>
      <c r="B15" s="9" t="str">
        <f>+VLOOKUP($A15,INS!$A$2:$F$164,3,FALSE)</f>
        <v>Retroexcavadora</v>
      </c>
      <c r="C15" s="6" t="str">
        <f>+VLOOKUP($A15,INS!$A$2:$F$164,4,FALSE)</f>
        <v>HORA</v>
      </c>
      <c r="D15" s="34">
        <v>7.6920000000000002E-2</v>
      </c>
      <c r="E15" s="7">
        <f>+VLOOKUP($A15,INS!$A$2:$F$164,6,FALSE)</f>
        <v>130000</v>
      </c>
      <c r="F15" s="7">
        <f t="shared" ref="F15:F16" si="0">+ROUND($E15*$D15,2)</f>
        <v>9999.6</v>
      </c>
    </row>
    <row r="16" spans="1:8" ht="25.5" x14ac:dyDescent="0.25">
      <c r="A16" s="6" t="s">
        <v>261</v>
      </c>
      <c r="B16" s="9" t="str">
        <f>+VLOOKUP($A16,INS!$A$2:$F$164,3,FALSE)</f>
        <v>Compresor 375CFM con Martillo de Perforacion</v>
      </c>
      <c r="C16" s="6" t="str">
        <f>+VLOOKUP($A16,INS!$A$2:$F$164,4,FALSE)</f>
        <v>HORA</v>
      </c>
      <c r="D16" s="34">
        <v>0.5</v>
      </c>
      <c r="E16" s="7">
        <f>+VLOOKUP($A16,INS!$A$2:$F$164,6,FALSE)</f>
        <v>330000</v>
      </c>
      <c r="F16" s="7">
        <f t="shared" si="0"/>
        <v>165000</v>
      </c>
    </row>
    <row r="17" spans="1:8" s="5" customFormat="1" x14ac:dyDescent="0.25">
      <c r="A17" s="40"/>
      <c r="B17" s="54"/>
      <c r="C17" s="41"/>
      <c r="D17" s="45"/>
      <c r="E17" s="35" t="s">
        <v>305</v>
      </c>
      <c r="F17" s="25">
        <f>+SUM(F14:F16)</f>
        <v>176256.01</v>
      </c>
      <c r="H17" s="33">
        <f>+F17</f>
        <v>176256.01</v>
      </c>
    </row>
    <row r="18" spans="1:8" ht="9" customHeight="1" x14ac:dyDescent="0.25">
      <c r="A18" s="28"/>
      <c r="B18" s="51"/>
      <c r="C18" s="30"/>
      <c r="D18" s="65"/>
      <c r="E18" s="66"/>
      <c r="F18" s="42"/>
    </row>
    <row r="19" spans="1:8" s="5" customFormat="1" ht="26.25" customHeight="1" x14ac:dyDescent="0.25">
      <c r="A19" s="403" t="e">
        <f>+CONCATENATE("COSTO DIRECTRO ITEM ",F5," ",B5)</f>
        <v>#N/A</v>
      </c>
      <c r="B19" s="403"/>
      <c r="C19" s="403"/>
      <c r="D19" s="403"/>
      <c r="E19" s="403"/>
      <c r="F19" s="62">
        <f>+SUM(H10:H17)</f>
        <v>188820.07</v>
      </c>
    </row>
    <row r="21" spans="1:8" x14ac:dyDescent="0.25">
      <c r="F21" s="2"/>
    </row>
    <row r="23" spans="1:8" x14ac:dyDescent="0.25">
      <c r="F23" s="32"/>
    </row>
  </sheetData>
  <mergeCells count="8">
    <mergeCell ref="B7:D7"/>
    <mergeCell ref="A19:E19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8"/>
  <dimension ref="A1:H28"/>
  <sheetViews>
    <sheetView view="pageBreakPreview" topLeftCell="A4" zoomScaleNormal="100" zoomScaleSheetLayoutView="100" workbookViewId="0">
      <selection activeCell="I12" sqref="I12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ht="15" customHeight="1" x14ac:dyDescent="0.25">
      <c r="A5" s="57" t="s">
        <v>479</v>
      </c>
      <c r="B5" s="376" t="str">
        <f>+VLOOKUP(F5,PPTO!$A$9:$F$52,2,FALSE)</f>
        <v>Suministro y colocación de concreto lanzado Con mezcla húmeda de espesor 10 cm</v>
      </c>
      <c r="C5" s="376"/>
      <c r="D5" s="376"/>
      <c r="E5" s="10" t="s">
        <v>480</v>
      </c>
      <c r="F5" s="63" t="s">
        <v>325</v>
      </c>
    </row>
    <row r="6" spans="1:8" ht="15" customHeight="1" x14ac:dyDescent="0.25">
      <c r="A6" s="57" t="s">
        <v>481</v>
      </c>
      <c r="B6" s="408" t="str">
        <f>+VLOOKUP(F5,PPTO!$A$9:$F$52,3,FALSE)</f>
        <v>M2</v>
      </c>
      <c r="C6" s="408"/>
      <c r="D6" s="408"/>
      <c r="E6" s="10" t="s">
        <v>482</v>
      </c>
      <c r="F6" s="58">
        <f>+F24</f>
        <v>767626.2</v>
      </c>
    </row>
    <row r="7" spans="1:8" ht="15" customHeight="1" x14ac:dyDescent="0.25">
      <c r="A7" s="59" t="s">
        <v>483</v>
      </c>
      <c r="B7" s="407">
        <f>+VLOOKUP(F5,PPTO!$A$9:$F$52,4,FALSE)</f>
        <v>4353.3249999999998</v>
      </c>
      <c r="C7" s="407"/>
      <c r="D7" s="407"/>
      <c r="E7" s="60" t="s">
        <v>484</v>
      </c>
      <c r="F7" s="61">
        <f>+ROUND(F6*B7,2)</f>
        <v>3341726327.1199999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ht="15" customHeight="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ht="15" customHeight="1" x14ac:dyDescent="0.25">
      <c r="A10" s="50" t="s">
        <v>8</v>
      </c>
      <c r="B10" s="52"/>
      <c r="C10" s="18"/>
      <c r="D10" s="18"/>
      <c r="E10" s="18"/>
      <c r="F10" s="24"/>
    </row>
    <row r="11" spans="1:8" ht="27" customHeight="1" x14ac:dyDescent="0.25">
      <c r="A11" s="15" t="s">
        <v>48</v>
      </c>
      <c r="B11" s="14" t="str">
        <f>+VLOOKUP($A11,INS!$A$2:$F$164,3,FALSE)</f>
        <v>Concreto de 3000 psi de planta</v>
      </c>
      <c r="C11" s="15" t="str">
        <f>+VLOOKUP($A11,INS!$A$2:$F$164,4,FALSE)</f>
        <v>m3</v>
      </c>
      <c r="D11" s="37">
        <v>1.05</v>
      </c>
      <c r="E11" s="16">
        <f>+VLOOKUP($A11,INS!$A$2:$F$164,6,FALSE)</f>
        <v>595000</v>
      </c>
      <c r="F11" s="16">
        <f>+ROUND($E11*$D11,2)</f>
        <v>624750</v>
      </c>
    </row>
    <row r="12" spans="1:8" ht="15" customHeight="1" x14ac:dyDescent="0.25">
      <c r="A12" s="6" t="s">
        <v>174</v>
      </c>
      <c r="B12" s="9" t="str">
        <f>+VLOOKUP($A12,INS!$A$2:$F$164,3,FALSE)</f>
        <v>Desperdicio materiales</v>
      </c>
      <c r="C12" s="6" t="str">
        <f>+VLOOKUP($A12,INS!$A$2:$F$164,4,FALSE)</f>
        <v>(%)MAT</v>
      </c>
      <c r="D12" s="34">
        <v>4</v>
      </c>
      <c r="E12" s="7">
        <f>+F13+F11</f>
        <v>651222</v>
      </c>
      <c r="F12" s="16">
        <f>+ROUND($E12*$D12/100,2)</f>
        <v>26048.880000000001</v>
      </c>
    </row>
    <row r="13" spans="1:8" x14ac:dyDescent="0.25">
      <c r="A13" s="6" t="s">
        <v>141</v>
      </c>
      <c r="B13" s="9" t="str">
        <f>+VLOOKUP($A13,INS!$A$2:$F$164,3,FALSE)</f>
        <v>Sika 1</v>
      </c>
      <c r="C13" s="6" t="str">
        <f>+VLOOKUP($A13,INS!$A$2:$F$164,4,FALSE)</f>
        <v>Kg</v>
      </c>
      <c r="D13" s="34">
        <v>4</v>
      </c>
      <c r="E13" s="7">
        <f>+VLOOKUP($A13,INS!$A$2:$F$164,6,FALSE)</f>
        <v>6618</v>
      </c>
      <c r="F13" s="7">
        <f t="shared" ref="F13" si="0">+ROUND($E13*$D13,2)</f>
        <v>26472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677270.88</v>
      </c>
      <c r="H14" s="33">
        <f>+F14</f>
        <v>677270.88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202</v>
      </c>
      <c r="B16" s="14" t="str">
        <f>+VLOOKUP($A16,INS!$A$2:$F$164,3,FALSE)</f>
        <v>Cuadrilla 1:1 (1Of+1 Ay)</v>
      </c>
      <c r="C16" s="15" t="str">
        <f>+VLOOKUP($A16,INS!$A$2:$F$164,4,FALSE)</f>
        <v>JOR</v>
      </c>
      <c r="D16" s="37">
        <v>0.16667000000000001</v>
      </c>
      <c r="E16" s="16">
        <f>+VLOOKUP($A16,INS!$A$2:$F$164,6,FALSE)</f>
        <v>201025</v>
      </c>
      <c r="F16" s="16">
        <f>+ROUND($E16*$D16,2)</f>
        <v>33504.839999999997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33504.839999999997</v>
      </c>
      <c r="H17" s="33">
        <f>+F17</f>
        <v>33504.839999999997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39">
        <v>10</v>
      </c>
      <c r="E19" s="44">
        <f>+$F$17</f>
        <v>33504.839999999997</v>
      </c>
      <c r="F19" s="16">
        <f>+ROUND($E19*$D19/100,2)</f>
        <v>3350.48</v>
      </c>
    </row>
    <row r="20" spans="1:8" x14ac:dyDescent="0.25">
      <c r="A20" s="6" t="s">
        <v>254</v>
      </c>
      <c r="B20" s="9" t="str">
        <f>+VLOOKUP($A20,INS!$A$2:$F$164,3,FALSE)</f>
        <v>Vibrador para concreto</v>
      </c>
      <c r="C20" s="6" t="str">
        <f>+VLOOKUP($A20,INS!$A$2:$F$164,4,FALSE)</f>
        <v>HORA</v>
      </c>
      <c r="D20" s="34">
        <v>0.5</v>
      </c>
      <c r="E20" s="7">
        <f>+VLOOKUP($A20,INS!$A$2:$F$164,6,FALSE)</f>
        <v>11000</v>
      </c>
      <c r="F20" s="7">
        <f t="shared" ref="F20:F21" si="1">+ROUND($E20*$D20,2)</f>
        <v>5500</v>
      </c>
    </row>
    <row r="21" spans="1:8" ht="32.25" customHeight="1" x14ac:dyDescent="0.25">
      <c r="A21" s="6" t="s">
        <v>240</v>
      </c>
      <c r="B21" s="9" t="str">
        <f>+VLOOKUP($A21,INS!$A$2:$F$164,3,FALSE)</f>
        <v>Formaleta (cerchas, parales, tableros, maderas, chapetas, alineadores)</v>
      </c>
      <c r="C21" s="6" t="str">
        <f>+VLOOKUP($A21,INS!$A$2:$F$164,4,FALSE)</f>
        <v>m2</v>
      </c>
      <c r="D21" s="34">
        <v>8</v>
      </c>
      <c r="E21" s="7">
        <f>+VLOOKUP($A21,INS!$A$2:$F$164,6,FALSE)</f>
        <v>6000</v>
      </c>
      <c r="F21" s="7">
        <f t="shared" si="1"/>
        <v>48000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56850.479999999996</v>
      </c>
      <c r="H22" s="33">
        <f>+F22</f>
        <v>56850.479999999996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str">
        <f>+CONCATENATE("COSTO DIRECTRO ITEM ",F5," ",B5)</f>
        <v>COSTO DIRECTRO ITEM 3.01 Suministro y colocación de concreto lanzado Con mezcla húmeda de espesor 10 cm</v>
      </c>
      <c r="B24" s="403"/>
      <c r="C24" s="403"/>
      <c r="D24" s="403"/>
      <c r="E24" s="403"/>
      <c r="F24" s="62">
        <f>+SUM(H11:H22)</f>
        <v>767626.2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9"/>
  <dimension ref="A1:H28"/>
  <sheetViews>
    <sheetView view="pageBreakPreview" zoomScaleNormal="100" zoomScaleSheetLayoutView="100" workbookViewId="0">
      <selection activeCell="F9" sqref="F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x14ac:dyDescent="0.25">
      <c r="A5" s="57" t="s">
        <v>479</v>
      </c>
      <c r="B5" s="376" t="str">
        <f>+VLOOKUP(F5,PPTO!$A$9:$F$52,2,FALSE)</f>
        <v>Inyección de lechada para anclajes</v>
      </c>
      <c r="C5" s="376"/>
      <c r="D5" s="376"/>
      <c r="E5" s="10" t="s">
        <v>480</v>
      </c>
      <c r="F5" s="63" t="s">
        <v>326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+F24</f>
        <v>886144.71000000008</v>
      </c>
    </row>
    <row r="7" spans="1:8" x14ac:dyDescent="0.25">
      <c r="A7" s="59" t="s">
        <v>483</v>
      </c>
      <c r="B7" s="407">
        <f>+VLOOKUP(F5,PPTO!$A$9:$F$52,4,FALSE)</f>
        <v>642.20000000000005</v>
      </c>
      <c r="C7" s="407"/>
      <c r="D7" s="407"/>
      <c r="E7" s="60" t="s">
        <v>484</v>
      </c>
      <c r="F7" s="61">
        <f>+ROUND(F6*B7,2)</f>
        <v>569082132.75999999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25.5" customHeight="1" x14ac:dyDescent="0.25">
      <c r="A11" s="15" t="s">
        <v>47</v>
      </c>
      <c r="B11" s="14" t="str">
        <f>+VLOOKUP($A11,INS!$A$2:$F$164,3,FALSE)</f>
        <v>Concreto de 4000 psi de planta</v>
      </c>
      <c r="C11" s="15" t="str">
        <f>+VLOOKUP($A11,INS!$A$2:$F$164,4,FALSE)</f>
        <v>m3</v>
      </c>
      <c r="D11" s="37">
        <v>1</v>
      </c>
      <c r="E11" s="16">
        <f>+VLOOKUP($A11,INS!$A$2:$F$164,6,FALSE)</f>
        <v>626000</v>
      </c>
      <c r="F11" s="16">
        <f>+ROUND($E11*$D11,2)</f>
        <v>626000</v>
      </c>
    </row>
    <row r="12" spans="1:8" x14ac:dyDescent="0.25">
      <c r="A12" s="15" t="s">
        <v>141</v>
      </c>
      <c r="B12" s="14" t="str">
        <f>+VLOOKUP($A12,INS!$A$2:$F$164,3,FALSE)</f>
        <v>Sika 1</v>
      </c>
      <c r="C12" s="15" t="str">
        <f>+VLOOKUP($A12,INS!$A$2:$F$164,4,FALSE)</f>
        <v>Kg</v>
      </c>
      <c r="D12" s="37">
        <v>4</v>
      </c>
      <c r="E12" s="16">
        <f>+VLOOKUP($A12,INS!$A$2:$F$164,6,FALSE)</f>
        <v>6618</v>
      </c>
      <c r="F12" s="16">
        <f>+ROUND($E12*$D12,2)</f>
        <v>26472</v>
      </c>
    </row>
    <row r="13" spans="1:8" x14ac:dyDescent="0.25">
      <c r="A13" s="6" t="s">
        <v>174</v>
      </c>
      <c r="B13" s="9" t="str">
        <f>+VLOOKUP($A13,INS!$A$2:$F$164,3,FALSE)</f>
        <v>Desperdicio materiales</v>
      </c>
      <c r="C13" s="6" t="str">
        <f>+VLOOKUP($A13,INS!$A$2:$F$164,4,FALSE)</f>
        <v>(%)MAT</v>
      </c>
      <c r="D13" s="34">
        <v>4</v>
      </c>
      <c r="E13" s="7">
        <f>+F11+F12</f>
        <v>652472</v>
      </c>
      <c r="F13" s="16">
        <f>+ROUND($E13*$D13/100,2)</f>
        <v>26098.880000000001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678570.88</v>
      </c>
      <c r="H14" s="33">
        <f>+F14</f>
        <v>678570.88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202</v>
      </c>
      <c r="B16" s="14" t="str">
        <f>+VLOOKUP($A16,INS!$A$2:$F$164,3,FALSE)</f>
        <v>Cuadrilla 1:1 (1Of+1 Ay)</v>
      </c>
      <c r="C16" s="15" t="str">
        <f>+VLOOKUP($A16,INS!$A$2:$F$164,4,FALSE)</f>
        <v>JOR</v>
      </c>
      <c r="D16" s="37">
        <v>0.58823000000000003</v>
      </c>
      <c r="E16" s="16">
        <f>+VLOOKUP($A16,INS!$A$2:$F$164,6,FALSE)</f>
        <v>201025</v>
      </c>
      <c r="F16" s="16">
        <f>+ROUND($E16*$D16,2)</f>
        <v>118248.94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118248.94</v>
      </c>
      <c r="H17" s="33">
        <f>+F17</f>
        <v>118248.94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39">
        <v>10</v>
      </c>
      <c r="E19" s="44">
        <f>+$F$17</f>
        <v>118248.94</v>
      </c>
      <c r="F19" s="16">
        <f>+ROUND($E19*$D19/100,2)</f>
        <v>11824.89</v>
      </c>
    </row>
    <row r="20" spans="1:8" x14ac:dyDescent="0.25">
      <c r="A20" s="6" t="s">
        <v>254</v>
      </c>
      <c r="B20" s="9" t="str">
        <f>+VLOOKUP($A20,INS!$A$2:$F$164,3,FALSE)</f>
        <v>Vibrador para concreto</v>
      </c>
      <c r="C20" s="6" t="str">
        <f>+VLOOKUP($A20,INS!$A$2:$F$164,4,FALSE)</f>
        <v>HORA</v>
      </c>
      <c r="D20" s="34">
        <v>0.5</v>
      </c>
      <c r="E20" s="7">
        <f>+VLOOKUP($A20,INS!$A$2:$F$164,6,FALSE)</f>
        <v>11000</v>
      </c>
      <c r="F20" s="7">
        <f t="shared" ref="F20:F21" si="0">+ROUND($E20*$D20,2)</f>
        <v>5500</v>
      </c>
    </row>
    <row r="21" spans="1:8" ht="30" customHeight="1" x14ac:dyDescent="0.25">
      <c r="A21" s="6" t="s">
        <v>240</v>
      </c>
      <c r="B21" s="9" t="str">
        <f>+VLOOKUP($A21,INS!$A$2:$F$164,3,FALSE)</f>
        <v>Formaleta (cerchas, parales, tableros, maderas, chapetas, alineadores)</v>
      </c>
      <c r="C21" s="6" t="str">
        <f>+VLOOKUP($A21,INS!$A$2:$F$164,4,FALSE)</f>
        <v>m2</v>
      </c>
      <c r="D21" s="34">
        <v>12</v>
      </c>
      <c r="E21" s="7">
        <f>+VLOOKUP($A21,INS!$A$2:$F$164,6,FALSE)</f>
        <v>6000</v>
      </c>
      <c r="F21" s="7">
        <f t="shared" si="0"/>
        <v>72000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89324.89</v>
      </c>
      <c r="H22" s="33">
        <f>+F22</f>
        <v>89324.89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str">
        <f>+CONCATENATE("COSTO DIRECTRO ITEM ",F5," ",B5)</f>
        <v>COSTO DIRECTRO ITEM 3.02 Inyección de lechada para anclajes</v>
      </c>
      <c r="B24" s="403"/>
      <c r="C24" s="403"/>
      <c r="D24" s="403"/>
      <c r="E24" s="403"/>
      <c r="F24" s="62">
        <f>+SUM(H11:H22)</f>
        <v>886144.71000000008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0"/>
  <dimension ref="A1:H27"/>
  <sheetViews>
    <sheetView view="pageBreakPreview" zoomScaleNormal="100" zoomScaleSheetLayoutView="100" workbookViewId="0">
      <selection activeCell="F8" sqref="F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x14ac:dyDescent="0.25">
      <c r="A5" s="57" t="s">
        <v>479</v>
      </c>
      <c r="B5" s="376" t="str">
        <f>+VLOOKUP(F5,PPTO!$A$9:$F$52,2,FALSE)</f>
        <v>Micropilotes fundidos en sitio Diametro de 25 cm (incluye concreto de 4000 psi)</v>
      </c>
      <c r="C5" s="376"/>
      <c r="D5" s="376"/>
      <c r="E5" s="10" t="s">
        <v>480</v>
      </c>
      <c r="F5" s="63" t="s">
        <v>327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+F23</f>
        <v>542050</v>
      </c>
    </row>
    <row r="7" spans="1:8" x14ac:dyDescent="0.25">
      <c r="A7" s="59" t="s">
        <v>483</v>
      </c>
      <c r="B7" s="407">
        <f>+VLOOKUP(F5,PPTO!$A$9:$F$52,4,FALSE)</f>
        <v>330</v>
      </c>
      <c r="C7" s="407"/>
      <c r="D7" s="407"/>
      <c r="E7" s="60" t="s">
        <v>484</v>
      </c>
      <c r="F7" s="61">
        <f>+ROUND(F6*B7,2)</f>
        <v>178876500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177</v>
      </c>
      <c r="B11" s="14" t="str">
        <f>+VLOOKUP($A11,INS!$A$2:$F$164,3,FALSE)</f>
        <v>Concreto de 2500 psi de planta</v>
      </c>
      <c r="C11" s="15" t="str">
        <f>+VLOOKUP($A11,INS!$A$2:$F$164,4,FALSE)</f>
        <v>m3</v>
      </c>
      <c r="D11" s="37">
        <v>0.6</v>
      </c>
      <c r="E11" s="16">
        <f>+VLOOKUP($A11,INS!$A$2:$F$164,6,FALSE)</f>
        <v>318601</v>
      </c>
      <c r="F11" s="16">
        <f>+ROUND($E11*$D11,2)</f>
        <v>191160.6</v>
      </c>
    </row>
    <row r="12" spans="1:8" x14ac:dyDescent="0.25">
      <c r="A12" s="6" t="s">
        <v>174</v>
      </c>
      <c r="B12" s="9" t="str">
        <f>+VLOOKUP($A12,INS!$A$2:$F$164,3,FALSE)</f>
        <v>Desperdicio materiales</v>
      </c>
      <c r="C12" s="6" t="str">
        <f>+VLOOKUP($A12,INS!$A$2:$F$164,4,FALSE)</f>
        <v>(%)MAT</v>
      </c>
      <c r="D12" s="34">
        <v>4</v>
      </c>
      <c r="E12" s="7">
        <f>+F11+F13</f>
        <v>222980.6</v>
      </c>
      <c r="F12" s="16">
        <f>+ROUND($E12*$D12/100,2)</f>
        <v>8919.2199999999993</v>
      </c>
    </row>
    <row r="13" spans="1:8" x14ac:dyDescent="0.25">
      <c r="A13" s="6" t="s">
        <v>32</v>
      </c>
      <c r="B13" s="9" t="str">
        <f>+VLOOKUP($A13,INS!$A$2:$F$164,3,FALSE)</f>
        <v>Piedra Bolo</v>
      </c>
      <c r="C13" s="6" t="str">
        <f>+VLOOKUP($A13,INS!$A$2:$F$164,4,FALSE)</f>
        <v>m3</v>
      </c>
      <c r="D13" s="34">
        <v>0.4</v>
      </c>
      <c r="E13" s="7">
        <f>+VLOOKUP($A13,INS!$A$2:$F$164,6,FALSE)</f>
        <v>79550</v>
      </c>
      <c r="F13" s="7">
        <f t="shared" ref="F13" si="0">+ROUND($E13*$D13,2)</f>
        <v>31820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231899.82</v>
      </c>
      <c r="H14" s="33">
        <f>+F14</f>
        <v>231899.82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206</v>
      </c>
      <c r="B16" s="14" t="str">
        <f>+VLOOKUP($A16,INS!$A$2:$F$164,3,FALSE)</f>
        <v>Cuadrilla 1:6 (1Of+6 Ay)</v>
      </c>
      <c r="C16" s="15" t="str">
        <f>+VLOOKUP($A16,INS!$A$2:$F$164,4,FALSE)</f>
        <v>JOR</v>
      </c>
      <c r="D16" s="37">
        <v>0.38462000000000002</v>
      </c>
      <c r="E16" s="16">
        <f>+VLOOKUP($A16,INS!$A$2:$F$164,6,FALSE)</f>
        <v>603075</v>
      </c>
      <c r="F16" s="16">
        <f>+ROUND($E16*$D16,2)</f>
        <v>231954.71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231954.71</v>
      </c>
      <c r="H17" s="33">
        <f>+F17</f>
        <v>231954.71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39">
        <v>10</v>
      </c>
      <c r="E19" s="44">
        <f>+$F$17</f>
        <v>231954.71</v>
      </c>
      <c r="F19" s="16">
        <f>+ROUND($E19*$D19/100,2)</f>
        <v>23195.47</v>
      </c>
    </row>
    <row r="20" spans="1:8" x14ac:dyDescent="0.25">
      <c r="A20" s="6" t="s">
        <v>247</v>
      </c>
      <c r="B20" s="9" t="str">
        <f>+VLOOKUP($A20,INS!$A$2:$F$164,3,FALSE)</f>
        <v>Mezcladora de concreto de 2 bultos</v>
      </c>
      <c r="C20" s="6" t="str">
        <f>+VLOOKUP($A20,INS!$A$2:$F$164,4,FALSE)</f>
        <v>DIA</v>
      </c>
      <c r="D20" s="34">
        <v>0.5</v>
      </c>
      <c r="E20" s="7">
        <f>+VLOOKUP($A20,INS!$A$2:$F$164,6,FALSE)</f>
        <v>110000</v>
      </c>
      <c r="F20" s="7">
        <f t="shared" ref="F20" si="1">+ROUND($E20*$D20,2)</f>
        <v>55000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+SUM(F19:F20)</f>
        <v>78195.47</v>
      </c>
      <c r="H21" s="33">
        <f>+F21</f>
        <v>78195.47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str">
        <f>+CONCATENATE("COSTO DIRECTRO ITEM ",F5," ",B5)</f>
        <v>COSTO DIRECTRO ITEM 3.03 Micropilotes fundidos en sitio Diametro de 25 cm (incluye concreto de 4000 psi)</v>
      </c>
      <c r="B23" s="403"/>
      <c r="C23" s="403"/>
      <c r="D23" s="403"/>
      <c r="E23" s="403"/>
      <c r="F23" s="62">
        <f>+SUM(H11:H21)</f>
        <v>542050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31">
    <pageSetUpPr fitToPage="1"/>
  </sheetPr>
  <dimension ref="A1:J32"/>
  <sheetViews>
    <sheetView view="pageBreakPreview" topLeftCell="A6" zoomScaleNormal="100" zoomScaleSheetLayoutView="100" workbookViewId="0">
      <selection activeCell="F17" sqref="F17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10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0" x14ac:dyDescent="0.25">
      <c r="A1" s="406" t="s">
        <v>475</v>
      </c>
      <c r="B1" s="406"/>
      <c r="C1" s="406"/>
      <c r="D1" s="406"/>
      <c r="E1" s="406"/>
      <c r="F1" s="406"/>
      <c r="J1" s="1">
        <f>250/3.5</f>
        <v>71.428571428571431</v>
      </c>
    </row>
    <row r="2" spans="1:10" x14ac:dyDescent="0.25">
      <c r="A2" s="406" t="s">
        <v>476</v>
      </c>
      <c r="B2" s="406"/>
      <c r="C2" s="406"/>
      <c r="D2" s="406"/>
      <c r="E2" s="406"/>
      <c r="F2" s="406"/>
      <c r="J2" s="1">
        <f>+J1*0.1</f>
        <v>7.1428571428571432</v>
      </c>
    </row>
    <row r="3" spans="1:10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0" ht="39" customHeight="1" x14ac:dyDescent="0.25">
      <c r="A4" s="405"/>
      <c r="B4" s="404"/>
      <c r="C4" s="404"/>
      <c r="D4" s="404"/>
      <c r="E4" s="404"/>
      <c r="F4" s="67" t="s">
        <v>324</v>
      </c>
    </row>
    <row r="5" spans="1:10" ht="29.25" customHeight="1" x14ac:dyDescent="0.25">
      <c r="A5" s="57" t="s">
        <v>479</v>
      </c>
      <c r="B5" s="376" t="str">
        <f>+VLOOKUP(F5,PPTO!$A$9:$F$52,2,FALSE)</f>
        <v>Suministro y colocación de concreto lanzado Con mezcla húmeda de espesor 10 cm</v>
      </c>
      <c r="C5" s="376"/>
      <c r="D5" s="376"/>
      <c r="E5" s="10" t="s">
        <v>480</v>
      </c>
      <c r="F5" s="63" t="s">
        <v>325</v>
      </c>
    </row>
    <row r="6" spans="1:10" x14ac:dyDescent="0.25">
      <c r="A6" s="57" t="s">
        <v>481</v>
      </c>
      <c r="B6" s="408" t="str">
        <f>+VLOOKUP(F5,PPTO!$A$9:$F$52,3,FALSE)</f>
        <v>M2</v>
      </c>
      <c r="C6" s="408"/>
      <c r="D6" s="408"/>
      <c r="E6" s="10" t="s">
        <v>482</v>
      </c>
      <c r="F6" s="58">
        <f>+F28</f>
        <v>424596.57</v>
      </c>
    </row>
    <row r="7" spans="1:10" x14ac:dyDescent="0.25">
      <c r="A7" s="59" t="s">
        <v>483</v>
      </c>
      <c r="B7" s="407">
        <f>+VLOOKUP(F5,PPTO!$A$9:$F$52,4,FALSE)</f>
        <v>4353.3249999999998</v>
      </c>
      <c r="C7" s="407"/>
      <c r="D7" s="407"/>
      <c r="E7" s="60" t="s">
        <v>484</v>
      </c>
      <c r="F7" s="61">
        <f>+ROUND(F6*B7,2)</f>
        <v>1848406863.0999999</v>
      </c>
    </row>
    <row r="8" spans="1:10" ht="9" customHeight="1" x14ac:dyDescent="0.25">
      <c r="A8" s="28"/>
      <c r="B8" s="51"/>
      <c r="C8" s="30"/>
      <c r="D8" s="30"/>
      <c r="E8" s="30"/>
      <c r="F8" s="31"/>
    </row>
    <row r="9" spans="1:10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0" s="5" customFormat="1" x14ac:dyDescent="0.25">
      <c r="A10" s="50" t="s">
        <v>8</v>
      </c>
      <c r="B10" s="52"/>
      <c r="C10" s="18"/>
      <c r="D10" s="18"/>
      <c r="E10" s="18"/>
      <c r="F10" s="24"/>
    </row>
    <row r="11" spans="1:10" x14ac:dyDescent="0.25">
      <c r="A11" s="15" t="s">
        <v>10</v>
      </c>
      <c r="B11" s="14" t="str">
        <f>+VLOOKUP($A11,INS!$A$2:$F$164,3,FALSE)</f>
        <v>Aditivos (antisol, plastificante, acelerante)</v>
      </c>
      <c r="C11" s="15" t="str">
        <f>+VLOOKUP($A11,INS!$A$2:$F$164,4,FALSE)</f>
        <v>Kg</v>
      </c>
      <c r="D11" s="163">
        <v>7.14</v>
      </c>
      <c r="E11" s="16">
        <v>8400</v>
      </c>
      <c r="F11" s="16">
        <f>+ROUND($E11*$D11,2)</f>
        <v>59976</v>
      </c>
    </row>
    <row r="12" spans="1:10" x14ac:dyDescent="0.25">
      <c r="A12" s="6" t="s">
        <v>172</v>
      </c>
      <c r="B12" s="9" t="str">
        <f>+VLOOKUP($A12,INS!$A$2:$F$164,3,FALSE)</f>
        <v>Concreto 1:2:3</v>
      </c>
      <c r="C12" s="6" t="str">
        <f>+VLOOKUP($A12,INS!$A$2:$F$164,4,FALSE)</f>
        <v>m3</v>
      </c>
      <c r="D12" s="114">
        <v>0.1</v>
      </c>
      <c r="E12" s="7">
        <f>+VLOOKUP($A12,INS!$A$2:$F$164,6,FALSE)</f>
        <v>372328.83</v>
      </c>
      <c r="F12" s="7">
        <f t="shared" ref="F12" si="0">+ROUND($E12*$D12,2)</f>
        <v>37232.879999999997</v>
      </c>
    </row>
    <row r="13" spans="1:10" x14ac:dyDescent="0.25">
      <c r="A13" s="6" t="s">
        <v>174</v>
      </c>
      <c r="B13" s="9" t="str">
        <f>+VLOOKUP($A13,INS!$A$2:$F$164,3,FALSE)</f>
        <v>Desperdicio materiales</v>
      </c>
      <c r="C13" s="6" t="str">
        <f>+VLOOKUP($A13,INS!$A$2:$F$164,4,FALSE)</f>
        <v>(%)MAT</v>
      </c>
      <c r="D13" s="170">
        <v>4.7640755775478556E-2</v>
      </c>
      <c r="E13" s="7">
        <f>+F11+F12</f>
        <v>97208.88</v>
      </c>
      <c r="F13" s="16">
        <f>+ROUND($E13*$D13,2)</f>
        <v>4631.1000000000004</v>
      </c>
    </row>
    <row r="14" spans="1:10" s="5" customFormat="1" x14ac:dyDescent="0.25">
      <c r="A14" s="46"/>
      <c r="B14" s="53"/>
      <c r="C14" s="47"/>
      <c r="D14" s="48"/>
      <c r="E14" s="36" t="s">
        <v>305</v>
      </c>
      <c r="F14" s="25">
        <f>+SUM(F11:F13)</f>
        <v>101839.98000000001</v>
      </c>
      <c r="H14" s="33">
        <f>+F14</f>
        <v>101839.98000000001</v>
      </c>
    </row>
    <row r="15" spans="1:10" s="5" customFormat="1" x14ac:dyDescent="0.25">
      <c r="A15" s="50" t="s">
        <v>189</v>
      </c>
      <c r="B15" s="52"/>
      <c r="C15" s="18"/>
      <c r="D15" s="18"/>
      <c r="E15" s="18"/>
      <c r="F15" s="24"/>
    </row>
    <row r="16" spans="1:10" x14ac:dyDescent="0.25">
      <c r="A16" s="15" t="s">
        <v>208</v>
      </c>
      <c r="B16" s="14" t="str">
        <f>+VLOOKUP($A16,INS!$A$2:$F$164,3,FALSE)</f>
        <v>Cuadrilla 1:4 (1Of+4 Ay)</v>
      </c>
      <c r="C16" s="15" t="str">
        <f>+VLOOKUP($A16,INS!$A$2:$F$164,4,FALSE)</f>
        <v>JOR</v>
      </c>
      <c r="D16" s="163">
        <v>10.015941136207561</v>
      </c>
      <c r="E16" s="16">
        <f>+VLOOKUP($A16,INS!$A$2:$F$164,6,FALSE)</f>
        <v>442255</v>
      </c>
      <c r="F16" s="16">
        <f>+ROUND($E16/$D16,2)</f>
        <v>44155.11</v>
      </c>
    </row>
    <row r="17" spans="1:8" x14ac:dyDescent="0.25">
      <c r="A17" s="15" t="str">
        <f>+INS!A119</f>
        <v>MO016</v>
      </c>
      <c r="B17" s="14" t="str">
        <f>+VLOOKUP($A17,INS!$A$2:$F$164,3,FALSE)</f>
        <v xml:space="preserve">Lanzador de concreto </v>
      </c>
      <c r="C17" s="15" t="str">
        <f>+VLOOKUP($A17,INS!$A$2:$F$164,4,FALSE)</f>
        <v>JOR</v>
      </c>
      <c r="D17" s="163">
        <v>11.230001727160554</v>
      </c>
      <c r="E17" s="16">
        <f>+VLOOKUP($A17,INS!$A$2:$F$164,6,FALSE)</f>
        <v>104500</v>
      </c>
      <c r="F17" s="16">
        <f>+ROUND($E17/$D17,2)</f>
        <v>9305.43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+SUM(F16:F17)</f>
        <v>53460.54</v>
      </c>
      <c r="H18" s="33">
        <f>+F18</f>
        <v>53460.54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38" t="s">
        <v>244</v>
      </c>
      <c r="B20" s="64" t="str">
        <f>+VLOOKUP($A20,INS!$A$2:$F$164,3,FALSE)</f>
        <v>Herramienta menor</v>
      </c>
      <c r="C20" s="38" t="str">
        <f>+VLOOKUP($A20,INS!$A$2:$F$164,4,FALSE)</f>
        <v>(%)MO</v>
      </c>
      <c r="D20" s="168">
        <v>0.1</v>
      </c>
      <c r="E20" s="44">
        <f>+$F$18</f>
        <v>53460.54</v>
      </c>
      <c r="F20" s="16">
        <f>+ROUND($E20*$D20,2)</f>
        <v>5346.05</v>
      </c>
    </row>
    <row r="21" spans="1:8" x14ac:dyDescent="0.25">
      <c r="A21" s="6" t="s">
        <v>536</v>
      </c>
      <c r="B21" s="9" t="str">
        <f>+VLOOKUP($A21,INS!$A$2:$F$164,3,FALSE)</f>
        <v xml:space="preserve">Bomba Peristaltica </v>
      </c>
      <c r="C21" s="6" t="str">
        <f>+VLOOKUP($A21,INS!$A$2:$F$164,4,FALSE)</f>
        <v>HORA</v>
      </c>
      <c r="D21" s="6">
        <v>1.4</v>
      </c>
      <c r="E21" s="7">
        <f>+VLOOKUP($A21,INS!$A$2:$F$164,6,FALSE)</f>
        <v>110000</v>
      </c>
      <c r="F21" s="7">
        <f>+ROUND($E21/$D21,2)</f>
        <v>78571.429999999993</v>
      </c>
    </row>
    <row r="22" spans="1:8" x14ac:dyDescent="0.25">
      <c r="A22" s="6" t="s">
        <v>533</v>
      </c>
      <c r="B22" s="9" t="str">
        <f>+VLOOKUP($A22,INS!$A$2:$F$164,3,FALSE)</f>
        <v>Compresor 375CFM</v>
      </c>
      <c r="C22" s="6" t="str">
        <f>+VLOOKUP($A22,INS!$A$2:$F$164,4,FALSE)</f>
        <v>HORA</v>
      </c>
      <c r="D22" s="6">
        <f>+D21</f>
        <v>1.4</v>
      </c>
      <c r="E22" s="7">
        <f>+VLOOKUP($A22,INS!$A$2:$F$164,6,FALSE)</f>
        <v>130000</v>
      </c>
      <c r="F22" s="7">
        <f t="shared" ref="F22:F25" si="1">+ROUND($E22/$D22,2)</f>
        <v>92857.14</v>
      </c>
    </row>
    <row r="23" spans="1:8" x14ac:dyDescent="0.25">
      <c r="A23" s="6" t="s">
        <v>534</v>
      </c>
      <c r="B23" s="9" t="str">
        <f>+VLOOKUP($A23,INS!$A$2:$F$164,3,FALSE)</f>
        <v>Bomba Concreto 30m3/h 1150 PSI</v>
      </c>
      <c r="C23" s="6" t="str">
        <f>+VLOOKUP($A23,INS!$A$2:$F$164,4,FALSE)</f>
        <v>HORA</v>
      </c>
      <c r="D23" s="6">
        <f>+D21</f>
        <v>1.4</v>
      </c>
      <c r="E23" s="7">
        <f>+VLOOKUP($A23,INS!$A$2:$F$164,6,FALSE)</f>
        <v>101300</v>
      </c>
      <c r="F23" s="7">
        <f t="shared" si="1"/>
        <v>72357.14</v>
      </c>
    </row>
    <row r="24" spans="1:8" ht="25.5" x14ac:dyDescent="0.25">
      <c r="A24" s="6" t="s">
        <v>535</v>
      </c>
      <c r="B24" s="9" t="str">
        <f>+VLOOKUP($A24,INS!$A$2:$F$164,3,FALSE)</f>
        <v>Tubería y magueras para bombeo de concreto</v>
      </c>
      <c r="C24" s="6" t="str">
        <f>+VLOOKUP($A24,INS!$A$2:$F$164,4,FALSE)</f>
        <v>HORA</v>
      </c>
      <c r="D24" s="6">
        <f>+D21</f>
        <v>1.4</v>
      </c>
      <c r="E24" s="7">
        <f>+VLOOKUP($A24,INS!$A$2:$F$164,6,FALSE)</f>
        <v>16230</v>
      </c>
      <c r="F24" s="7">
        <f t="shared" si="1"/>
        <v>11592.86</v>
      </c>
    </row>
    <row r="25" spans="1:8" x14ac:dyDescent="0.25">
      <c r="A25" s="6" t="s">
        <v>518</v>
      </c>
      <c r="B25" s="9" t="str">
        <f>+VLOOKUP($A25,INS!$A$2:$F$164,3,FALSE)</f>
        <v>Planta Electrica 5KVA</v>
      </c>
      <c r="C25" s="6" t="str">
        <f>+VLOOKUP($A25,INS!$A$2:$F$164,4,FALSE)</f>
        <v>HORA</v>
      </c>
      <c r="D25" s="6">
        <f>+D21</f>
        <v>1.4</v>
      </c>
      <c r="E25" s="7">
        <f>+VLOOKUP($A25,INS!$A$2:$F$164,6,FALSE)</f>
        <v>12000</v>
      </c>
      <c r="F25" s="7">
        <f t="shared" si="1"/>
        <v>8571.43</v>
      </c>
    </row>
    <row r="26" spans="1:8" s="5" customFormat="1" x14ac:dyDescent="0.25">
      <c r="A26" s="40"/>
      <c r="B26" s="54"/>
      <c r="C26" s="41"/>
      <c r="D26" s="45"/>
      <c r="E26" s="35" t="s">
        <v>305</v>
      </c>
      <c r="F26" s="25">
        <f>+SUM(F20:F25)</f>
        <v>269296.05</v>
      </c>
      <c r="H26" s="33">
        <f>+F26</f>
        <v>269296.05</v>
      </c>
    </row>
    <row r="27" spans="1:8" ht="9" customHeight="1" x14ac:dyDescent="0.25">
      <c r="A27" s="28"/>
      <c r="B27" s="51"/>
      <c r="C27" s="30"/>
      <c r="D27" s="65"/>
      <c r="E27" s="66"/>
      <c r="F27" s="42"/>
    </row>
    <row r="28" spans="1:8" s="5" customFormat="1" ht="26.25" customHeight="1" x14ac:dyDescent="0.25">
      <c r="A28" s="403" t="str">
        <f>+CONCATENATE("COSTO DIRECTRO ITEM ",F5," ",B5)</f>
        <v>COSTO DIRECTRO ITEM 3.01 Suministro y colocación de concreto lanzado Con mezcla húmeda de espesor 10 cm</v>
      </c>
      <c r="B28" s="403"/>
      <c r="C28" s="403"/>
      <c r="D28" s="403"/>
      <c r="E28" s="403"/>
      <c r="F28" s="62">
        <f>+SUM(H11:H26)</f>
        <v>424596.57</v>
      </c>
    </row>
    <row r="30" spans="1:8" x14ac:dyDescent="0.25">
      <c r="F30" s="2"/>
    </row>
    <row r="32" spans="1:8" x14ac:dyDescent="0.25">
      <c r="F32" s="32"/>
    </row>
  </sheetData>
  <mergeCells count="8">
    <mergeCell ref="B7:D7"/>
    <mergeCell ref="A28:E28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4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2"/>
  <dimension ref="A1:H25"/>
  <sheetViews>
    <sheetView view="pageBreakPreview" zoomScaleNormal="130" zoomScaleSheetLayoutView="100" workbookViewId="0">
      <selection activeCell="E23" sqref="E23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330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+F21</f>
        <v>41504.600000000006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177</v>
      </c>
      <c r="B11" s="14" t="str">
        <f>+VLOOKUP($A11,INS!$A$2:$F$164,3,FALSE)</f>
        <v>Concreto de 2500 psi de planta</v>
      </c>
      <c r="C11" s="15" t="str">
        <f>+VLOOKUP($A11,INS!$A$2:$F$164,4,FALSE)</f>
        <v>m3</v>
      </c>
      <c r="D11" s="37">
        <v>0.08</v>
      </c>
      <c r="E11" s="16">
        <f>+VLOOKUP($A11,INS!$A$2:$F$164,6,FALSE)</f>
        <v>318601</v>
      </c>
      <c r="F11" s="16">
        <f>+ROUND($E11*$D11,2)</f>
        <v>25488.080000000002</v>
      </c>
    </row>
    <row r="12" spans="1:8" x14ac:dyDescent="0.25">
      <c r="A12" s="6" t="s">
        <v>174</v>
      </c>
      <c r="B12" s="9" t="str">
        <f>+VLOOKUP($A12,INS!$A$2:$F$164,3,FALSE)</f>
        <v>Desperdicio materiales</v>
      </c>
      <c r="C12" s="6" t="str">
        <f>+VLOOKUP($A12,INS!$A$2:$F$164,4,FALSE)</f>
        <v>(%)MAT</v>
      </c>
      <c r="D12" s="34">
        <v>5</v>
      </c>
      <c r="E12" s="7">
        <f>+F11</f>
        <v>25488.080000000002</v>
      </c>
      <c r="F12" s="16">
        <f>+ROUND($E12*$D12/100,2)</f>
        <v>1274.4000000000001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26762.480000000003</v>
      </c>
      <c r="H13" s="33">
        <f>+F13</f>
        <v>26762.480000000003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204</v>
      </c>
      <c r="B15" s="14" t="str">
        <f>+VLOOKUP($A15,INS!$A$2:$F$164,3,FALSE)</f>
        <v>Cuadrilla 1:2 (1Of+2 Ay)</v>
      </c>
      <c r="C15" s="15" t="str">
        <f>+VLOOKUP($A15,INS!$A$2:$F$164,4,FALSE)</f>
        <v>JOR</v>
      </c>
      <c r="D15" s="15">
        <f>+ROUND(1/(7*3),5)</f>
        <v>4.7620000000000003E-2</v>
      </c>
      <c r="E15" s="16">
        <f>+VLOOKUP($A15,INS!$A$2:$F$164,6,FALSE)</f>
        <v>281435</v>
      </c>
      <c r="F15" s="16">
        <f>+ROUND($E15*$D15,2)</f>
        <v>13401.93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13401.93</v>
      </c>
      <c r="H16" s="33">
        <f>+F16</f>
        <v>13401.93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39">
        <v>10</v>
      </c>
      <c r="E18" s="44">
        <f>+$F$16</f>
        <v>13401.93</v>
      </c>
      <c r="F18" s="16">
        <f>+ROUND($E18*$D18/100,2)</f>
        <v>1340.19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+SUM(F18:F18)</f>
        <v>1340.19</v>
      </c>
      <c r="H19" s="33">
        <f>+F19</f>
        <v>1340.19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e">
        <f>+CONCATENATE("COSTO DIRECTRO ITEM ",F5," ",B5)</f>
        <v>#N/A</v>
      </c>
      <c r="B21" s="403"/>
      <c r="C21" s="403"/>
      <c r="D21" s="403"/>
      <c r="E21" s="403"/>
      <c r="F21" s="62">
        <f>+SUM(H11:H19)</f>
        <v>41504.600000000006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3">
    <pageSetUpPr fitToPage="1"/>
  </sheetPr>
  <dimension ref="A1:H29"/>
  <sheetViews>
    <sheetView view="pageBreakPreview" topLeftCell="A4" zoomScaleNormal="100" zoomScaleSheetLayoutView="100" workbookViewId="0">
      <selection activeCell="D23" sqref="D23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x14ac:dyDescent="0.25">
      <c r="A5" s="57" t="s">
        <v>479</v>
      </c>
      <c r="B5" s="376" t="str">
        <f>+VLOOKUP(F5,PPTO!$A$9:$F$52,2,FALSE)</f>
        <v>Inyección de lechada para anclajes</v>
      </c>
      <c r="C5" s="376"/>
      <c r="D5" s="376"/>
      <c r="E5" s="10" t="s">
        <v>480</v>
      </c>
      <c r="F5" s="63" t="s">
        <v>326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+F25</f>
        <v>1299801.94</v>
      </c>
    </row>
    <row r="7" spans="1:8" x14ac:dyDescent="0.25">
      <c r="A7" s="59" t="s">
        <v>483</v>
      </c>
      <c r="B7" s="407">
        <f>+VLOOKUP(F5,PPTO!$A$9:$F$52,4,FALSE)</f>
        <v>642.20000000000005</v>
      </c>
      <c r="C7" s="407"/>
      <c r="D7" s="407"/>
      <c r="E7" s="60" t="s">
        <v>484</v>
      </c>
      <c r="F7" s="61">
        <f>+ROUND(F6*B7,2)</f>
        <v>834732805.87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42</v>
      </c>
      <c r="B11" s="14" t="str">
        <f>+VLOOKUP($A11,INS!$A$2:$F$164,3,FALSE)</f>
        <v>Cemento gris x 50 Kg</v>
      </c>
      <c r="C11" s="15" t="str">
        <f>+VLOOKUP($A11,INS!$A$2:$F$164,4,FALSE)</f>
        <v>BLT</v>
      </c>
      <c r="D11" s="163">
        <v>25</v>
      </c>
      <c r="E11" s="16">
        <f>+VLOOKUP($A11,INS!$A$2:$F$164,6,FALSE)</f>
        <v>32500</v>
      </c>
      <c r="F11" s="16">
        <f>+ROUND($E11*$D11,2)</f>
        <v>812500</v>
      </c>
    </row>
    <row r="12" spans="1:8" x14ac:dyDescent="0.25">
      <c r="A12" s="15" t="s">
        <v>13</v>
      </c>
      <c r="B12" s="14" t="str">
        <f>+VLOOKUP($A12,INS!$A$2:$F$164,3,FALSE)</f>
        <v>Agua</v>
      </c>
      <c r="C12" s="15" t="str">
        <f>+VLOOKUP($A12,INS!$A$2:$F$164,4,FALSE)</f>
        <v>L</v>
      </c>
      <c r="D12" s="163">
        <v>575</v>
      </c>
      <c r="E12" s="16">
        <f>+VLOOKUP($A12,INS!$A$2:$F$164,6,FALSE)</f>
        <v>50</v>
      </c>
      <c r="F12" s="16">
        <f t="shared" ref="F12:F13" si="0">+ROUND($E12*$D12,2)</f>
        <v>28750</v>
      </c>
    </row>
    <row r="13" spans="1:8" x14ac:dyDescent="0.25">
      <c r="A13" s="15" t="s">
        <v>93</v>
      </c>
      <c r="B13" s="14" t="str">
        <f>+VLOOKUP($A13,INS!$A$2:$F$164,3,FALSE)</f>
        <v>Aditivo Reductor de Agua</v>
      </c>
      <c r="C13" s="15" t="str">
        <f>+VLOOKUP($A13,INS!$A$2:$F$164,4,FALSE)</f>
        <v>Kg</v>
      </c>
      <c r="D13" s="163">
        <v>5</v>
      </c>
      <c r="E13" s="16">
        <f>+VLOOKUP($A13,INS!$A$2:$F$164,6,FALSE)</f>
        <v>15000</v>
      </c>
      <c r="F13" s="16">
        <f t="shared" si="0"/>
        <v>75000</v>
      </c>
    </row>
    <row r="14" spans="1:8" x14ac:dyDescent="0.25">
      <c r="A14" s="6" t="s">
        <v>174</v>
      </c>
      <c r="B14" s="9" t="str">
        <f>+VLOOKUP($A14,INS!$A$2:$F$164,3,FALSE)</f>
        <v>Desperdicio materiales</v>
      </c>
      <c r="C14" s="6" t="str">
        <f>+VLOOKUP($A14,INS!$A$2:$F$164,4,FALSE)</f>
        <v>(%)MAT</v>
      </c>
      <c r="D14" s="114">
        <v>0.05</v>
      </c>
      <c r="E14" s="7">
        <f>+SUM(F11:F13)</f>
        <v>916250</v>
      </c>
      <c r="F14" s="16">
        <f>+ROUND($E14*$D14,2)</f>
        <v>45812.5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962062.5</v>
      </c>
      <c r="H15" s="33">
        <f>+F15</f>
        <v>962062.5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202</v>
      </c>
      <c r="B17" s="14" t="str">
        <f>+VLOOKUP($A17,INS!$A$2:$F$164,3,FALSE)</f>
        <v>Cuadrilla 1:1 (1Of+1 Ay)</v>
      </c>
      <c r="C17" s="15" t="str">
        <f>+VLOOKUP($A17,INS!$A$2:$F$164,4,FALSE)</f>
        <v>JOR</v>
      </c>
      <c r="D17" s="163">
        <v>1.6054044600940816</v>
      </c>
      <c r="E17" s="16">
        <f>+VLOOKUP($A17,INS!$A$2:$F$164,6,FALSE)</f>
        <v>201025</v>
      </c>
      <c r="F17" s="16">
        <f>+ROUND($E17/$D17,2)</f>
        <v>125217.67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125217.67</v>
      </c>
      <c r="H18" s="33">
        <f>+F18</f>
        <v>125217.67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38" t="s">
        <v>244</v>
      </c>
      <c r="B20" s="64" t="str">
        <f>+VLOOKUP($A20,INS!$A$2:$F$164,3,FALSE)</f>
        <v>Herramienta menor</v>
      </c>
      <c r="C20" s="38" t="str">
        <f>+VLOOKUP($A20,INS!$A$2:$F$164,4,FALSE)</f>
        <v>(%)MO</v>
      </c>
      <c r="D20" s="168">
        <v>0.1</v>
      </c>
      <c r="E20" s="44">
        <f>+$F$18</f>
        <v>125217.67</v>
      </c>
      <c r="F20" s="16">
        <f>+ROUND($E20*$D20,2)</f>
        <v>12521.77</v>
      </c>
    </row>
    <row r="21" spans="1:8" x14ac:dyDescent="0.25">
      <c r="A21" s="6" t="s">
        <v>247</v>
      </c>
      <c r="B21" s="9" t="str">
        <f>+VLOOKUP($A21,INS!$A$2:$F$164,3,FALSE)</f>
        <v>Mezcladora de concreto de 2 bultos</v>
      </c>
      <c r="C21" s="6" t="str">
        <f>+VLOOKUP($A21,INS!$A$2:$F$164,4,FALSE)</f>
        <v>DIA</v>
      </c>
      <c r="D21" s="114">
        <v>1.8</v>
      </c>
      <c r="E21" s="7">
        <f>+VLOOKUP($A21,INS!$A$2:$F$164,6,FALSE)</f>
        <v>110000</v>
      </c>
      <c r="F21" s="7">
        <f>+ROUND($E21/$D21,2)</f>
        <v>61111.11</v>
      </c>
    </row>
    <row r="22" spans="1:8" x14ac:dyDescent="0.25">
      <c r="A22" s="6" t="s">
        <v>227</v>
      </c>
      <c r="B22" s="9" t="str">
        <f>+VLOOKUP($A22,INS!$A$2:$F$164,3,FALSE)</f>
        <v>Equipo para llenado e inyección</v>
      </c>
      <c r="C22" s="6" t="str">
        <f>+VLOOKUP($A22,INS!$A$2:$F$164,4,FALSE)</f>
        <v>DIA</v>
      </c>
      <c r="D22" s="114">
        <f>D21</f>
        <v>1.8</v>
      </c>
      <c r="E22" s="7">
        <f>+VLOOKUP($A22,INS!$A$2:$F$164,6,FALSE)</f>
        <v>250000</v>
      </c>
      <c r="F22" s="7">
        <f>+ROUND($E22/$D22,2)</f>
        <v>138888.89000000001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+SUM(F20:F22)</f>
        <v>212521.77000000002</v>
      </c>
      <c r="H23" s="33">
        <f>+F23</f>
        <v>212521.77000000002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str">
        <f>+CONCATENATE("COSTO DIRECTRO ITEM ",F5," ",B5)</f>
        <v>COSTO DIRECTRO ITEM 3.02 Inyección de lechada para anclajes</v>
      </c>
      <c r="B25" s="403"/>
      <c r="C25" s="403"/>
      <c r="D25" s="403"/>
      <c r="E25" s="403"/>
      <c r="F25" s="62">
        <f>+SUM(H11:H23)</f>
        <v>1299801.94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4"/>
  <dimension ref="A1:H27"/>
  <sheetViews>
    <sheetView view="pageBreakPreview" topLeftCell="A3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ht="24.7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332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+F23</f>
        <v>985799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27.75" customHeight="1" x14ac:dyDescent="0.25">
      <c r="A11" s="15" t="s">
        <v>48</v>
      </c>
      <c r="B11" s="14" t="str">
        <f>+VLOOKUP($A11,INS!$A$2:$F$164,3,FALSE)</f>
        <v>Concreto de 3000 psi de planta</v>
      </c>
      <c r="C11" s="15" t="str">
        <f>+VLOOKUP($A11,INS!$A$2:$F$164,4,FALSE)</f>
        <v>m3</v>
      </c>
      <c r="D11" s="37">
        <v>0.05</v>
      </c>
      <c r="E11" s="16">
        <f>+VLOOKUP($A11,INS!$A$2:$F$164,6,FALSE)</f>
        <v>595000</v>
      </c>
      <c r="F11" s="16">
        <f>+ROUND($E11*$D11,2)</f>
        <v>29750</v>
      </c>
    </row>
    <row r="12" spans="1:8" x14ac:dyDescent="0.25">
      <c r="A12" s="6" t="s">
        <v>174</v>
      </c>
      <c r="B12" s="9" t="str">
        <f>+VLOOKUP($A12,INS!$A$2:$F$164,3,FALSE)</f>
        <v>Desperdicio materiales</v>
      </c>
      <c r="C12" s="6" t="str">
        <f>+VLOOKUP($A12,INS!$A$2:$F$164,4,FALSE)</f>
        <v>(%)MAT</v>
      </c>
      <c r="D12" s="34">
        <v>4</v>
      </c>
      <c r="E12" s="7">
        <f>+F11</f>
        <v>29750</v>
      </c>
      <c r="F12" s="16">
        <f>+ROUND($E12*$D12/100,2)</f>
        <v>1190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30940</v>
      </c>
      <c r="H13" s="33">
        <f>+F13</f>
        <v>30940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206</v>
      </c>
      <c r="B15" s="14" t="str">
        <f>+VLOOKUP($A15,INS!$A$2:$F$164,3,FALSE)</f>
        <v>Cuadrilla 1:6 (1Of+6 Ay)</v>
      </c>
      <c r="C15" s="15" t="str">
        <f>+VLOOKUP($A15,INS!$A$2:$F$164,4,FALSE)</f>
        <v>JOR</v>
      </c>
      <c r="D15" s="37">
        <v>1.2</v>
      </c>
      <c r="E15" s="16">
        <f>+VLOOKUP($A15,INS!$A$2:$F$164,6,FALSE)</f>
        <v>603075</v>
      </c>
      <c r="F15" s="16">
        <f>+ROUND($E15*$D15,2)</f>
        <v>723690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723690</v>
      </c>
      <c r="H16" s="33">
        <f>+F16</f>
        <v>723690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39">
        <v>10</v>
      </c>
      <c r="E18" s="44">
        <f>+$F$16</f>
        <v>723690</v>
      </c>
      <c r="F18" s="16">
        <f>+ROUND($E18*$D18/100,2)</f>
        <v>72369</v>
      </c>
    </row>
    <row r="19" spans="1:8" x14ac:dyDescent="0.25">
      <c r="A19" s="6" t="s">
        <v>254</v>
      </c>
      <c r="B19" s="9" t="str">
        <f>+VLOOKUP($A19,INS!$A$2:$F$164,3,FALSE)</f>
        <v>Vibrador para concreto</v>
      </c>
      <c r="C19" s="6" t="str">
        <f>+VLOOKUP($A19,INS!$A$2:$F$164,4,FALSE)</f>
        <v>HORA</v>
      </c>
      <c r="D19" s="34">
        <v>0.8</v>
      </c>
      <c r="E19" s="7">
        <f>+VLOOKUP($A19,INS!$A$2:$F$164,6,FALSE)</f>
        <v>11000</v>
      </c>
      <c r="F19" s="7">
        <f t="shared" ref="F19:F20" si="0">+ROUND($E19*$D19,2)</f>
        <v>8800</v>
      </c>
    </row>
    <row r="20" spans="1:8" x14ac:dyDescent="0.25">
      <c r="A20" s="6" t="s">
        <v>230</v>
      </c>
      <c r="B20" s="9" t="str">
        <f>+VLOOKUP($A20,INS!$A$2:$F$164,3,FALSE)</f>
        <v>Equipo pilotes</v>
      </c>
      <c r="C20" s="6" t="str">
        <f>+VLOOKUP($A20,INS!$A$2:$F$164,4,FALSE)</f>
        <v>HORA</v>
      </c>
      <c r="D20" s="34">
        <v>1</v>
      </c>
      <c r="E20" s="7">
        <f>+VLOOKUP($A20,INS!$A$2:$F$164,6,FALSE)</f>
        <v>150000</v>
      </c>
      <c r="F20" s="7">
        <f t="shared" si="0"/>
        <v>150000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+SUM(F18:F20)</f>
        <v>231169</v>
      </c>
      <c r="H21" s="33">
        <f>+F21</f>
        <v>231169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985799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35">
    <pageSetUpPr fitToPage="1"/>
  </sheetPr>
  <dimension ref="A1:J27"/>
  <sheetViews>
    <sheetView view="pageBreakPreview" topLeftCell="A4" zoomScaleNormal="100" zoomScaleSheetLayoutView="100" workbookViewId="0">
      <selection activeCell="D21" sqref="D21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0" x14ac:dyDescent="0.25">
      <c r="A1" s="406" t="s">
        <v>475</v>
      </c>
      <c r="B1" s="406"/>
      <c r="C1" s="406"/>
      <c r="D1" s="406"/>
      <c r="E1" s="406"/>
      <c r="F1" s="406"/>
    </row>
    <row r="2" spans="1:10" x14ac:dyDescent="0.25">
      <c r="A2" s="406" t="s">
        <v>476</v>
      </c>
      <c r="B2" s="406"/>
      <c r="C2" s="406"/>
      <c r="D2" s="406"/>
      <c r="E2" s="406"/>
      <c r="F2" s="406"/>
    </row>
    <row r="3" spans="1:10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  <c r="J3" s="1">
        <f>+PI()*(0.25/2)*1</f>
        <v>0.39269908169872414</v>
      </c>
    </row>
    <row r="4" spans="1:10" ht="39" customHeight="1" x14ac:dyDescent="0.25">
      <c r="A4" s="405"/>
      <c r="B4" s="404"/>
      <c r="C4" s="404"/>
      <c r="D4" s="404"/>
      <c r="E4" s="404"/>
      <c r="F4" s="67" t="s">
        <v>324</v>
      </c>
    </row>
    <row r="5" spans="1:10" ht="26.25" customHeight="1" x14ac:dyDescent="0.25">
      <c r="A5" s="57" t="s">
        <v>479</v>
      </c>
      <c r="B5" s="376" t="str">
        <f>+VLOOKUP(F5,PPTO!$A$9:$F$52,2,FALSE)</f>
        <v>Micropilotes fundidos en sitio Diametro de 25 cm (incluye concreto de 4000 psi)</v>
      </c>
      <c r="C5" s="376"/>
      <c r="D5" s="376"/>
      <c r="E5" s="10" t="s">
        <v>480</v>
      </c>
      <c r="F5" s="63" t="s">
        <v>327</v>
      </c>
    </row>
    <row r="6" spans="1:10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+F23</f>
        <v>768364.21</v>
      </c>
    </row>
    <row r="7" spans="1:10" x14ac:dyDescent="0.25">
      <c r="A7" s="59" t="s">
        <v>483</v>
      </c>
      <c r="B7" s="407">
        <f>+VLOOKUP(F5,PPTO!$A$9:$F$52,4,FALSE)</f>
        <v>330</v>
      </c>
      <c r="C7" s="407"/>
      <c r="D7" s="407"/>
      <c r="E7" s="60" t="s">
        <v>484</v>
      </c>
      <c r="F7" s="61">
        <f>+ROUND(F6*B7,2)</f>
        <v>253560189.30000001</v>
      </c>
    </row>
    <row r="8" spans="1:10" ht="9" customHeight="1" x14ac:dyDescent="0.25">
      <c r="A8" s="28"/>
      <c r="B8" s="51"/>
      <c r="C8" s="30"/>
      <c r="D8" s="30"/>
      <c r="E8" s="30"/>
      <c r="F8" s="31"/>
    </row>
    <row r="9" spans="1:10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0" s="5" customFormat="1" x14ac:dyDescent="0.25">
      <c r="A10" s="50" t="s">
        <v>8</v>
      </c>
      <c r="B10" s="52"/>
      <c r="C10" s="18"/>
      <c r="D10" s="18"/>
      <c r="E10" s="18"/>
      <c r="F10" s="24"/>
    </row>
    <row r="11" spans="1:10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163">
        <v>0.04</v>
      </c>
      <c r="E11" s="16">
        <f>+F12</f>
        <v>250400</v>
      </c>
      <c r="F11" s="16">
        <f>+ROUND($E11*$D11,2)</f>
        <v>10016</v>
      </c>
    </row>
    <row r="12" spans="1:10" ht="24.75" customHeight="1" x14ac:dyDescent="0.25">
      <c r="A12" s="6" t="s">
        <v>47</v>
      </c>
      <c r="B12" s="9" t="str">
        <f>+VLOOKUP($A12,INS!$A$2:$F$164,3,FALSE)</f>
        <v>Concreto de 4000 psi de planta</v>
      </c>
      <c r="C12" s="6" t="str">
        <f>+VLOOKUP($A12,INS!$A$2:$F$164,4,FALSE)</f>
        <v>m3</v>
      </c>
      <c r="D12" s="114">
        <v>0.4</v>
      </c>
      <c r="E12" s="7">
        <f>+VLOOKUP($A12,INS!$A$2:$F$164,6,FALSE)</f>
        <v>626000</v>
      </c>
      <c r="F12" s="7">
        <f t="shared" ref="F12" si="0">+ROUND($E12*$D12,2)</f>
        <v>250400</v>
      </c>
    </row>
    <row r="13" spans="1:10" s="5" customFormat="1" x14ac:dyDescent="0.25">
      <c r="A13" s="46"/>
      <c r="B13" s="53"/>
      <c r="C13" s="47"/>
      <c r="D13" s="48"/>
      <c r="E13" s="36" t="s">
        <v>305</v>
      </c>
      <c r="F13" s="25">
        <f>ROUND(+SUM(F11:F12),2)</f>
        <v>260416</v>
      </c>
      <c r="H13" s="33">
        <f>+F13</f>
        <v>260416</v>
      </c>
    </row>
    <row r="14" spans="1:10" s="5" customFormat="1" x14ac:dyDescent="0.25">
      <c r="A14" s="50" t="s">
        <v>189</v>
      </c>
      <c r="B14" s="52"/>
      <c r="C14" s="18"/>
      <c r="D14" s="18"/>
      <c r="E14" s="18"/>
      <c r="F14" s="24"/>
    </row>
    <row r="15" spans="1:10" x14ac:dyDescent="0.25">
      <c r="A15" s="15" t="s">
        <v>206</v>
      </c>
      <c r="B15" s="14" t="str">
        <f>+VLOOKUP($A15,INS!$A$2:$F$164,3,FALSE)</f>
        <v>Cuadrilla 1:6 (1Of+6 Ay)</v>
      </c>
      <c r="C15" s="15" t="str">
        <f>+VLOOKUP($A15,INS!$A$2:$F$164,4,FALSE)</f>
        <v>JOR</v>
      </c>
      <c r="D15" s="163">
        <v>3.5675658793656959</v>
      </c>
      <c r="E15" s="16">
        <f>+VLOOKUP($A15,INS!$A$2:$F$164,6,FALSE)</f>
        <v>603075</v>
      </c>
      <c r="F15" s="16">
        <f>+ROUND($E15/$D15,2)</f>
        <v>169043.83</v>
      </c>
    </row>
    <row r="16" spans="1:10" s="5" customFormat="1" x14ac:dyDescent="0.25">
      <c r="A16" s="46"/>
      <c r="B16" s="53"/>
      <c r="C16" s="47"/>
      <c r="D16" s="48"/>
      <c r="E16" s="36" t="s">
        <v>305</v>
      </c>
      <c r="F16" s="25">
        <f>+SUM(F15:F15)</f>
        <v>169043.83</v>
      </c>
      <c r="H16" s="33">
        <f>+F16</f>
        <v>169043.83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165">
        <v>0.1</v>
      </c>
      <c r="E18" s="44">
        <f>+$F$16</f>
        <v>169043.83</v>
      </c>
      <c r="F18" s="16">
        <f>+ROUND($E18*$D18,2)</f>
        <v>16904.38</v>
      </c>
    </row>
    <row r="19" spans="1:8" x14ac:dyDescent="0.25">
      <c r="A19" s="6" t="s">
        <v>254</v>
      </c>
      <c r="B19" s="9" t="str">
        <f>+VLOOKUP($A19,INS!$A$2:$F$164,3,FALSE)</f>
        <v>Vibrador para concreto</v>
      </c>
      <c r="C19" s="6" t="str">
        <f>+VLOOKUP($A19,INS!$A$2:$F$164,4,FALSE)</f>
        <v>HORA</v>
      </c>
      <c r="D19" s="114">
        <v>0.5</v>
      </c>
      <c r="E19" s="7">
        <f>+VLOOKUP($A19,INS!$A$2:$F$164,6,FALSE)</f>
        <v>11000</v>
      </c>
      <c r="F19" s="7">
        <f>+ROUND($E19/$D19,2)</f>
        <v>22000</v>
      </c>
    </row>
    <row r="20" spans="1:8" x14ac:dyDescent="0.25">
      <c r="A20" s="6" t="s">
        <v>230</v>
      </c>
      <c r="B20" s="9" t="str">
        <f>+VLOOKUP($A20,INS!$A$2:$F$164,3,FALSE)</f>
        <v>Equipo pilotes</v>
      </c>
      <c r="C20" s="6" t="str">
        <f>+VLOOKUP($A20,INS!$A$2:$F$164,4,FALSE)</f>
        <v>HORA</v>
      </c>
      <c r="D20" s="114">
        <f>D19</f>
        <v>0.5</v>
      </c>
      <c r="E20" s="7">
        <f>+VLOOKUP($A20,INS!$A$2:$F$164,6,FALSE)</f>
        <v>150000</v>
      </c>
      <c r="F20" s="7">
        <f>+ROUND($E20/$D20,2)</f>
        <v>300000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+SUM(F18:F20)</f>
        <v>338904.38</v>
      </c>
      <c r="H21" s="33">
        <f>+F21</f>
        <v>338904.38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str">
        <f>+CONCATENATE("COSTO DIRECTRO ITEM ",F5," ",B5)</f>
        <v>COSTO DIRECTRO ITEM 3.03 Micropilotes fundidos en sitio Diametro de 25 cm (incluye concreto de 4000 psi)</v>
      </c>
      <c r="B23" s="403"/>
      <c r="C23" s="403"/>
      <c r="D23" s="403"/>
      <c r="E23" s="403"/>
      <c r="F23" s="62">
        <f>+SUM(H11:H21)</f>
        <v>768364.21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36">
    <pageSetUpPr fitToPage="1"/>
  </sheetPr>
  <dimension ref="A1:H27"/>
  <sheetViews>
    <sheetView view="pageBreakPreview" topLeftCell="A4" zoomScaleNormal="100" zoomScaleSheetLayoutView="100" workbookViewId="0">
      <selection activeCell="G15" sqref="G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ht="29.25" customHeight="1" x14ac:dyDescent="0.25">
      <c r="A5" s="57" t="s">
        <v>479</v>
      </c>
      <c r="B5" s="376" t="str">
        <f>+VLOOKUP(F5,PPTO!$A$9:$F$52,2,FALSE)</f>
        <v>Suministro y colocación de concretos F'c 4000 PSI con mezcla húmeda para zapatas</v>
      </c>
      <c r="C5" s="376"/>
      <c r="D5" s="376"/>
      <c r="E5" s="10" t="s">
        <v>480</v>
      </c>
      <c r="F5" s="63" t="s">
        <v>328</v>
      </c>
    </row>
    <row r="6" spans="1:8" x14ac:dyDescent="0.25">
      <c r="A6" s="57" t="s">
        <v>481</v>
      </c>
      <c r="B6" s="408" t="str">
        <f>+VLOOKUP(F5,PPTO!$A$9:$F$52,3,FALSE)</f>
        <v>M3</v>
      </c>
      <c r="C6" s="408"/>
      <c r="D6" s="408"/>
      <c r="E6" s="10" t="s">
        <v>482</v>
      </c>
      <c r="F6" s="58">
        <f>+F23</f>
        <v>825784.23</v>
      </c>
    </row>
    <row r="7" spans="1:8" x14ac:dyDescent="0.25">
      <c r="A7" s="59" t="s">
        <v>483</v>
      </c>
      <c r="B7" s="407">
        <f>+VLOOKUP(F5,PPTO!$A$9:$F$52,4,FALSE)</f>
        <v>148.47299999999998</v>
      </c>
      <c r="C7" s="407"/>
      <c r="D7" s="407"/>
      <c r="E7" s="60" t="s">
        <v>484</v>
      </c>
      <c r="F7" s="61">
        <f>+ROUND(F6*B7,2)</f>
        <v>122606661.98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47</v>
      </c>
      <c r="B11" s="14" t="str">
        <f>+VLOOKUP($A11,INS!$A$2:$F$164,3,FALSE)</f>
        <v>Concreto de 4000 psi de planta</v>
      </c>
      <c r="C11" s="15" t="str">
        <f>+VLOOKUP($A11,INS!$A$2:$F$164,4,FALSE)</f>
        <v>m3</v>
      </c>
      <c r="D11" s="163">
        <v>1</v>
      </c>
      <c r="E11" s="16">
        <f>+VLOOKUP($A11,INS!$A$2:$F$164,6,FALSE)</f>
        <v>626000</v>
      </c>
      <c r="F11" s="16">
        <f>+ROUND($E11*$D11,2)</f>
        <v>626000</v>
      </c>
    </row>
    <row r="12" spans="1:8" x14ac:dyDescent="0.25">
      <c r="A12" s="15" t="s">
        <v>141</v>
      </c>
      <c r="B12" s="14" t="str">
        <f>+VLOOKUP($A12,INS!$A$2:$F$164,3,FALSE)</f>
        <v>Sika 1</v>
      </c>
      <c r="C12" s="15" t="str">
        <f>+VLOOKUP($A12,INS!$A$2:$F$164,4,FALSE)</f>
        <v>Kg</v>
      </c>
      <c r="D12" s="163">
        <v>4</v>
      </c>
      <c r="E12" s="16">
        <f>+VLOOKUP($A12,INS!$A$2:$F$164,6,FALSE)</f>
        <v>6618</v>
      </c>
      <c r="F12" s="16">
        <f>+ROUND($E12*$D12,2)</f>
        <v>26472</v>
      </c>
    </row>
    <row r="13" spans="1:8" x14ac:dyDescent="0.25">
      <c r="A13" s="6" t="s">
        <v>174</v>
      </c>
      <c r="B13" s="9" t="str">
        <f>+VLOOKUP($A13,INS!$A$2:$F$164,3,FALSE)</f>
        <v>Desperdicio materiales</v>
      </c>
      <c r="C13" s="6" t="str">
        <f>+VLOOKUP($A13,INS!$A$2:$F$164,4,FALSE)</f>
        <v>(%)MAT</v>
      </c>
      <c r="D13" s="114">
        <v>0.05</v>
      </c>
      <c r="E13" s="7">
        <f>+F11+F12</f>
        <v>652472</v>
      </c>
      <c r="F13" s="16">
        <f>+ROUND($E13*$D13,2)</f>
        <v>32623.599999999999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ROUND(+SUM(F11:F13),2)</f>
        <v>685095.6</v>
      </c>
      <c r="H14" s="33">
        <f>+F14</f>
        <v>685095.6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202</v>
      </c>
      <c r="B16" s="14" t="str">
        <f>+VLOOKUP($A16,INS!$A$2:$F$164,3,FALSE)</f>
        <v>Cuadrilla 1:1 (1Of+1 Ay)</v>
      </c>
      <c r="C16" s="15" t="str">
        <f>+VLOOKUP($A16,INS!$A$2:$F$164,4,FALSE)</f>
        <v>JOR</v>
      </c>
      <c r="D16" s="166">
        <v>1.7837827992040092</v>
      </c>
      <c r="E16" s="16">
        <f>+VLOOKUP($A16,INS!$A$2:$F$164,6,FALSE)</f>
        <v>201025</v>
      </c>
      <c r="F16" s="16">
        <f>+ROUND($E16/$D16,2)</f>
        <v>112695.9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ROUND(+SUM(F16:F16),2)</f>
        <v>112695.9</v>
      </c>
      <c r="H17" s="33">
        <f>+F17</f>
        <v>112695.9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162">
        <v>0.1</v>
      </c>
      <c r="E19" s="7">
        <f>+$F$17</f>
        <v>112695.9</v>
      </c>
      <c r="F19" s="7">
        <f>+ROUND($E19*$D19,2)</f>
        <v>11269.59</v>
      </c>
    </row>
    <row r="20" spans="1:8" ht="25.5" x14ac:dyDescent="0.25">
      <c r="A20" s="6" t="s">
        <v>240</v>
      </c>
      <c r="B20" s="9" t="str">
        <f>+VLOOKUP($A20,INS!$A$2:$F$164,3,FALSE)</f>
        <v>Formaleta (cerchas, parales, tableros, maderas, chapetas, alineadores)</v>
      </c>
      <c r="C20" s="6" t="str">
        <f>+VLOOKUP($A20,INS!$A$2:$F$164,4,FALSE)</f>
        <v>m2</v>
      </c>
      <c r="D20" s="114">
        <f>+ROUND(2.22/0.7965,5)</f>
        <v>2.7871899999999998</v>
      </c>
      <c r="E20" s="16">
        <f>+VLOOKUP($A20,INS!$A$2:$F$164,6,FALSE)</f>
        <v>6000</v>
      </c>
      <c r="F20" s="7">
        <f>+ROUND($E20*$D20,2)</f>
        <v>16723.14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ROUND(+SUM(F19:F20),2)</f>
        <v>27992.73</v>
      </c>
      <c r="H21" s="33">
        <f>+F21</f>
        <v>27992.73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str">
        <f>+CONCATENATE("COSTO DIRECTRO ITEM ",F5," ",B5)</f>
        <v>COSTO DIRECTRO ITEM 3.04 Suministro y colocación de concretos F'c 4000 PSI con mezcla húmeda para zapatas</v>
      </c>
      <c r="B23" s="403"/>
      <c r="C23" s="403"/>
      <c r="D23" s="403"/>
      <c r="E23" s="403"/>
      <c r="F23" s="62">
        <f>ROUND(+SUM(H11:H21),2)</f>
        <v>825784.23</v>
      </c>
    </row>
    <row r="25" spans="1:8" x14ac:dyDescent="0.25">
      <c r="F25" s="2"/>
    </row>
    <row r="26" spans="1:8" x14ac:dyDescent="0.25">
      <c r="D26" s="69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37"/>
  <dimension ref="A1:H27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334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+F23</f>
        <v>1816509.25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37">
        <v>4</v>
      </c>
      <c r="E11" s="16">
        <f>+F12</f>
        <v>187800</v>
      </c>
      <c r="F11" s="16">
        <f>+ROUND($E11*$D11/100,2)</f>
        <v>7512</v>
      </c>
    </row>
    <row r="12" spans="1:8" ht="25.5" customHeight="1" x14ac:dyDescent="0.25">
      <c r="A12" s="6" t="s">
        <v>47</v>
      </c>
      <c r="B12" s="9" t="str">
        <f>+VLOOKUP($A12,INS!$A$2:$F$164,3,FALSE)</f>
        <v>Concreto de 4000 psi de planta</v>
      </c>
      <c r="C12" s="6" t="str">
        <f>+VLOOKUP($A12,INS!$A$2:$F$164,4,FALSE)</f>
        <v>m3</v>
      </c>
      <c r="D12" s="34">
        <v>0.3</v>
      </c>
      <c r="E12" s="7">
        <f>+VLOOKUP($A12,INS!$A$2:$F$164,6,FALSE)</f>
        <v>626000</v>
      </c>
      <c r="F12" s="7">
        <f t="shared" ref="F12" si="0">+ROUND($E12*$D12,2)</f>
        <v>187800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195312</v>
      </c>
      <c r="H13" s="33">
        <f>+F13</f>
        <v>195312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206</v>
      </c>
      <c r="B15" s="14" t="str">
        <f>+VLOOKUP($A15,INS!$A$2:$F$164,3,FALSE)</f>
        <v>Cuadrilla 1:6 (1Of+6 Ay)</v>
      </c>
      <c r="C15" s="15" t="str">
        <f>+VLOOKUP($A15,INS!$A$2:$F$164,4,FALSE)</f>
        <v>JOR</v>
      </c>
      <c r="D15" s="37">
        <v>1.3</v>
      </c>
      <c r="E15" s="16">
        <f>+VLOOKUP($A15,INS!$A$2:$F$164,6,FALSE)</f>
        <v>603075</v>
      </c>
      <c r="F15" s="16">
        <f>+ROUND($E15*$D15,2)</f>
        <v>783997.5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783997.5</v>
      </c>
      <c r="H16" s="33">
        <f>+F16</f>
        <v>783997.5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64" t="str">
        <f>+VLOOKUP($A18,INS!$A$2:$F$164,3,FALSE)</f>
        <v>Herramienta menor</v>
      </c>
      <c r="C18" s="38" t="str">
        <f>+VLOOKUP($A18,INS!$A$2:$F$164,4,FALSE)</f>
        <v>(%)MO</v>
      </c>
      <c r="D18" s="39">
        <v>10</v>
      </c>
      <c r="E18" s="44">
        <f>+$F$16</f>
        <v>783997.5</v>
      </c>
      <c r="F18" s="16">
        <f>+ROUND($E18*$D18/100,2)</f>
        <v>78399.75</v>
      </c>
    </row>
    <row r="19" spans="1:8" x14ac:dyDescent="0.25">
      <c r="A19" s="6" t="s">
        <v>254</v>
      </c>
      <c r="B19" s="9" t="str">
        <f>+VLOOKUP($A19,INS!$A$2:$F$164,3,FALSE)</f>
        <v>Vibrador para concreto</v>
      </c>
      <c r="C19" s="6" t="str">
        <f>+VLOOKUP($A19,INS!$A$2:$F$164,4,FALSE)</f>
        <v>HORA</v>
      </c>
      <c r="D19" s="34">
        <v>0.8</v>
      </c>
      <c r="E19" s="7">
        <f>+VLOOKUP($A19,INS!$A$2:$F$164,6,FALSE)</f>
        <v>11000</v>
      </c>
      <c r="F19" s="7">
        <f t="shared" ref="F19:F20" si="1">+ROUND($E19*$D19,2)</f>
        <v>8800</v>
      </c>
    </row>
    <row r="20" spans="1:8" x14ac:dyDescent="0.25">
      <c r="A20" s="6" t="s">
        <v>230</v>
      </c>
      <c r="B20" s="9" t="str">
        <f>+VLOOKUP($A20,INS!$A$2:$F$164,3,FALSE)</f>
        <v>Equipo pilotes</v>
      </c>
      <c r="C20" s="6" t="str">
        <f>+VLOOKUP($A20,INS!$A$2:$F$164,4,FALSE)</f>
        <v>HORA</v>
      </c>
      <c r="D20" s="34">
        <v>5</v>
      </c>
      <c r="E20" s="7">
        <f>+VLOOKUP($A20,INS!$A$2:$F$164,6,FALSE)</f>
        <v>150000</v>
      </c>
      <c r="F20" s="7">
        <f t="shared" si="1"/>
        <v>750000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+SUM(F18:F20)</f>
        <v>837199.75</v>
      </c>
      <c r="H21" s="33">
        <f>+F21</f>
        <v>837199.75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1816509.25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38"/>
  <dimension ref="A1:H28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324</v>
      </c>
    </row>
    <row r="5" spans="1:8" ht="1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335</v>
      </c>
    </row>
    <row r="6" spans="1:8" ht="15" customHeight="1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770978.2</v>
      </c>
    </row>
    <row r="7" spans="1:8" ht="15" customHeight="1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ht="15" customHeight="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ht="15" customHeigh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47</v>
      </c>
      <c r="B11" s="14" t="str">
        <f>+VLOOKUP($A11,INS!$A$2:$F$164,3,FALSE)</f>
        <v>Concreto de 4000 psi de planta</v>
      </c>
      <c r="C11" s="15" t="str">
        <f>+VLOOKUP($A11,INS!$A$2:$F$164,4,FALSE)</f>
        <v>m3</v>
      </c>
      <c r="D11" s="37">
        <v>1.05</v>
      </c>
      <c r="E11" s="16">
        <f>+VLOOKUP($A11,INS!$A$2:$F$164,6,FALSE)</f>
        <v>626000</v>
      </c>
      <c r="F11" s="16">
        <f>+ROUND($E11*$D11,2)</f>
        <v>657300</v>
      </c>
    </row>
    <row r="12" spans="1:8" ht="15" customHeight="1" x14ac:dyDescent="0.25">
      <c r="A12" s="6" t="s">
        <v>174</v>
      </c>
      <c r="B12" s="9" t="str">
        <f>+VLOOKUP($A12,INS!$A$2:$F$164,3,FALSE)</f>
        <v>Desperdicio materiales</v>
      </c>
      <c r="C12" s="6" t="str">
        <f>+VLOOKUP($A12,INS!$A$2:$F$164,4,FALSE)</f>
        <v>(%)MAT</v>
      </c>
      <c r="D12" s="34">
        <v>4</v>
      </c>
      <c r="E12" s="7">
        <f>+F13+F11</f>
        <v>683772</v>
      </c>
      <c r="F12" s="16">
        <f>+ROUND($E12*$D12/100,2)</f>
        <v>27350.880000000001</v>
      </c>
    </row>
    <row r="13" spans="1:8" x14ac:dyDescent="0.25">
      <c r="A13" s="6" t="s">
        <v>141</v>
      </c>
      <c r="B13" s="9" t="str">
        <f>+VLOOKUP($A13,INS!$A$2:$F$164,3,FALSE)</f>
        <v>Sika 1</v>
      </c>
      <c r="C13" s="6" t="str">
        <f>+VLOOKUP($A13,INS!$A$2:$F$164,4,FALSE)</f>
        <v>Kg</v>
      </c>
      <c r="D13" s="34">
        <v>4</v>
      </c>
      <c r="E13" s="7">
        <f>+VLOOKUP($A13,INS!$A$2:$F$164,6,FALSE)</f>
        <v>6618</v>
      </c>
      <c r="F13" s="7">
        <f t="shared" ref="F13" si="0">+ROUND($E13*$D13,2)</f>
        <v>26472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711122.88</v>
      </c>
      <c r="H14" s="33">
        <f>+F14</f>
        <v>711122.88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202</v>
      </c>
      <c r="B16" s="14" t="str">
        <f>+VLOOKUP($A16,INS!$A$2:$F$164,3,FALSE)</f>
        <v>Cuadrilla 1:1 (1Of+1 Ay)</v>
      </c>
      <c r="C16" s="15" t="str">
        <f>+VLOOKUP($A16,INS!$A$2:$F$164,4,FALSE)</f>
        <v>JOR</v>
      </c>
      <c r="D16" s="15">
        <f>+ROUND(1/6,5)</f>
        <v>0.16667000000000001</v>
      </c>
      <c r="E16" s="16">
        <f>+VLOOKUP($A16,INS!$A$2:$F$164,6,FALSE)</f>
        <v>201025</v>
      </c>
      <c r="F16" s="16">
        <f>+ROUND($E16*$D16,2)</f>
        <v>33504.839999999997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33504.839999999997</v>
      </c>
      <c r="H17" s="33">
        <f>+F17</f>
        <v>33504.839999999997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39">
        <v>10</v>
      </c>
      <c r="E19" s="44">
        <f>+$F$17</f>
        <v>33504.839999999997</v>
      </c>
      <c r="F19" s="16">
        <f>+ROUND($E19*$D19/100,2)</f>
        <v>3350.48</v>
      </c>
    </row>
    <row r="20" spans="1:8" x14ac:dyDescent="0.25">
      <c r="A20" s="6" t="s">
        <v>254</v>
      </c>
      <c r="B20" s="9" t="str">
        <f>+VLOOKUP($A20,INS!$A$2:$F$164,3,FALSE)</f>
        <v>Vibrador para concreto</v>
      </c>
      <c r="C20" s="6" t="str">
        <f>+VLOOKUP($A20,INS!$A$2:$F$164,4,FALSE)</f>
        <v>HORA</v>
      </c>
      <c r="D20" s="34">
        <v>1</v>
      </c>
      <c r="E20" s="7">
        <f>+VLOOKUP($A20,INS!$A$2:$F$164,6,FALSE)</f>
        <v>11000</v>
      </c>
      <c r="F20" s="7">
        <f t="shared" ref="F20:F21" si="1">+ROUND($E20*$D20,2)</f>
        <v>11000</v>
      </c>
    </row>
    <row r="21" spans="1:8" ht="25.5" x14ac:dyDescent="0.25">
      <c r="A21" s="6" t="s">
        <v>240</v>
      </c>
      <c r="B21" s="9" t="str">
        <f>+VLOOKUP($A21,INS!$A$2:$F$164,3,FALSE)</f>
        <v>Formaleta (cerchas, parales, tableros, maderas, chapetas, alineadores)</v>
      </c>
      <c r="C21" s="6" t="str">
        <f>+VLOOKUP($A21,INS!$A$2:$F$164,4,FALSE)</f>
        <v>m2</v>
      </c>
      <c r="D21" s="34">
        <v>2</v>
      </c>
      <c r="E21" s="7">
        <f>+VLOOKUP($A21,INS!$A$2:$F$164,6,FALSE)</f>
        <v>6000</v>
      </c>
      <c r="F21" s="7">
        <f t="shared" si="1"/>
        <v>12000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26350.48</v>
      </c>
      <c r="H22" s="33">
        <f>+F22</f>
        <v>26350.48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770978.2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27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26.25" customHeight="1" x14ac:dyDescent="0.25">
      <c r="A3" s="405" t="s">
        <v>477</v>
      </c>
      <c r="B3" s="404" t="s">
        <v>626</v>
      </c>
      <c r="C3" s="404"/>
      <c r="D3" s="404"/>
      <c r="E3" s="404"/>
      <c r="F3" s="55" t="s">
        <v>478</v>
      </c>
    </row>
    <row r="4" spans="1:8" ht="26.25" customHeight="1" x14ac:dyDescent="0.25">
      <c r="A4" s="405"/>
      <c r="B4" s="404"/>
      <c r="C4" s="404"/>
      <c r="D4" s="404"/>
      <c r="E4" s="404"/>
      <c r="F4" s="67" t="s">
        <v>324</v>
      </c>
    </row>
    <row r="5" spans="1:8" ht="26.25" customHeight="1" x14ac:dyDescent="0.25">
      <c r="A5" s="57" t="s">
        <v>479</v>
      </c>
      <c r="B5" s="376" t="e">
        <f>+VLOOKUP(F5,PPTO!$A$9:$F$51,2,FALSE)</f>
        <v>#N/A</v>
      </c>
      <c r="C5" s="376"/>
      <c r="D5" s="376"/>
      <c r="E5" s="10" t="s">
        <v>480</v>
      </c>
      <c r="F5" s="63" t="s">
        <v>657</v>
      </c>
    </row>
    <row r="6" spans="1:8" ht="15" customHeight="1" x14ac:dyDescent="0.25">
      <c r="A6" s="57" t="s">
        <v>481</v>
      </c>
      <c r="B6" s="409" t="e">
        <f>+VLOOKUP(F5,PPTO!$A$9:$F$51,3,FALSE)</f>
        <v>#N/A</v>
      </c>
      <c r="C6" s="410"/>
      <c r="D6" s="411"/>
      <c r="E6" s="10" t="s">
        <v>482</v>
      </c>
      <c r="F6" s="58">
        <f>+F23</f>
        <v>745390.25</v>
      </c>
    </row>
    <row r="7" spans="1:8" ht="15" customHeight="1" x14ac:dyDescent="0.25">
      <c r="A7" s="59" t="s">
        <v>483</v>
      </c>
      <c r="B7" s="407" t="e">
        <f>+VLOOKUP(F5,PPTO!$A$9:$F$51,4,FALSE)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ht="15" customHeight="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ht="15" customHeigh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+VLOOKUP($A11,INS!$A$2:$F$180,3,FALSE)</f>
        <v>Desperdicio materiales</v>
      </c>
      <c r="C11" s="15" t="str">
        <f>+VLOOKUP($A11,INS!$A$2:$F$180,4,FALSE)</f>
        <v>(%)MAT</v>
      </c>
      <c r="D11" s="37">
        <v>5</v>
      </c>
      <c r="E11" s="16">
        <f>+F12</f>
        <v>595000</v>
      </c>
      <c r="F11" s="16">
        <f>+ROUND($E11*$D11/100,2)</f>
        <v>29750</v>
      </c>
    </row>
    <row r="12" spans="1:8" ht="15" customHeight="1" x14ac:dyDescent="0.25">
      <c r="A12" s="6" t="s">
        <v>48</v>
      </c>
      <c r="B12" s="14" t="str">
        <f>+VLOOKUP($A12,INS!$A$2:$F$180,3,FALSE)</f>
        <v>Concreto de 3000 psi de planta</v>
      </c>
      <c r="C12" s="15" t="str">
        <f>+VLOOKUP($A12,INS!$A$2:$F$180,4,FALSE)</f>
        <v>m3</v>
      </c>
      <c r="D12" s="34">
        <v>1</v>
      </c>
      <c r="E12" s="7">
        <f>+VLOOKUP($A12,INS!$A$2:$F$180,6,FALSE)</f>
        <v>595000</v>
      </c>
      <c r="F12" s="16">
        <f>+ROUND($E12*$D12,2)</f>
        <v>595000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624750</v>
      </c>
      <c r="H13" s="33">
        <f>+F13</f>
        <v>624750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202</v>
      </c>
      <c r="B15" s="14" t="str">
        <f>+VLOOKUP($A15,INS!$A$2:$F$180,3,FALSE)</f>
        <v>Cuadrilla 1:1 (1Of+1 Ay)</v>
      </c>
      <c r="C15" s="15" t="s">
        <v>191</v>
      </c>
      <c r="D15" s="15">
        <f>+ROUND(1/4,5)</f>
        <v>0.25</v>
      </c>
      <c r="E15" s="16">
        <v>200510</v>
      </c>
      <c r="F15" s="16">
        <f>+ROUND($E15*$D15,2)</f>
        <v>50127.5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50127.5</v>
      </c>
      <c r="H16" s="33">
        <f>+F16</f>
        <v>50127.5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9" t="str">
        <f>+VLOOKUP($A18,INS!$A$2:$F$180,3,FALSE)</f>
        <v>Herramienta menor</v>
      </c>
      <c r="C18" s="6" t="str">
        <f>+VLOOKUP($A18,INS!$A$2:$F$180,4,FALSE)</f>
        <v>(%)MO</v>
      </c>
      <c r="D18" s="39">
        <v>10</v>
      </c>
      <c r="E18" s="44">
        <f>+$F$16</f>
        <v>50127.5</v>
      </c>
      <c r="F18" s="16">
        <f>+ROUND($E18*$D18/100,2)</f>
        <v>5012.75</v>
      </c>
    </row>
    <row r="19" spans="1:8" x14ac:dyDescent="0.25">
      <c r="A19" s="6" t="s">
        <v>254</v>
      </c>
      <c r="B19" s="9" t="str">
        <f>+VLOOKUP($A19,INS!$A$2:$F$180,3,FALSE)</f>
        <v>Vibrador para concreto</v>
      </c>
      <c r="C19" s="6" t="str">
        <f>+VLOOKUP($A19,INS!$A$2:$F$180,4,FALSE)</f>
        <v>HORA</v>
      </c>
      <c r="D19" s="34">
        <f>+ROUND(1/2,5)</f>
        <v>0.5</v>
      </c>
      <c r="E19" s="7">
        <f>+VLOOKUP($A19,INS!$A$2:$F$180,6,FALSE)</f>
        <v>11000</v>
      </c>
      <c r="F19" s="7">
        <f>+ROUND($E19*$D19,2)</f>
        <v>5500</v>
      </c>
    </row>
    <row r="20" spans="1:8" ht="25.5" x14ac:dyDescent="0.25">
      <c r="A20" s="6" t="s">
        <v>240</v>
      </c>
      <c r="B20" s="9" t="str">
        <f>+VLOOKUP($A20,INS!$A$2:$F$180,3,FALSE)</f>
        <v>Formaleta (cerchas, parales, tableros, maderas, chapetas, alineadores)</v>
      </c>
      <c r="C20" s="6" t="str">
        <f>+VLOOKUP($A20,INS!$A$2:$F$180,4,FALSE)</f>
        <v>m2</v>
      </c>
      <c r="D20" s="34">
        <v>10</v>
      </c>
      <c r="E20" s="7">
        <f>+VLOOKUP($A20,INS!$A$2:$F$180,6,FALSE)</f>
        <v>6000</v>
      </c>
      <c r="F20" s="7">
        <f>+ROUND($E20*$D20,2)</f>
        <v>60000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+SUM(F18:F20)</f>
        <v>70512.75</v>
      </c>
      <c r="H21" s="33">
        <f>+F21</f>
        <v>70512.75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745390.25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7"/>
  <sheetViews>
    <sheetView view="pageBreakPreview" topLeftCell="A3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26.25" customHeight="1" x14ac:dyDescent="0.25">
      <c r="A3" s="405" t="s">
        <v>477</v>
      </c>
      <c r="B3" s="404" t="s">
        <v>626</v>
      </c>
      <c r="C3" s="404"/>
      <c r="D3" s="404"/>
      <c r="E3" s="404"/>
      <c r="F3" s="55" t="s">
        <v>478</v>
      </c>
    </row>
    <row r="4" spans="1:8" ht="26.25" customHeight="1" x14ac:dyDescent="0.25">
      <c r="A4" s="405"/>
      <c r="B4" s="404"/>
      <c r="C4" s="404"/>
      <c r="D4" s="404"/>
      <c r="E4" s="404"/>
      <c r="F4" s="67" t="s">
        <v>324</v>
      </c>
    </row>
    <row r="5" spans="1:8" x14ac:dyDescent="0.25">
      <c r="A5" s="57" t="s">
        <v>479</v>
      </c>
      <c r="B5" s="376" t="e">
        <f>+VLOOKUP(F5,PPTO!$A$9:$F$51,2,FALSE)</f>
        <v>#N/A</v>
      </c>
      <c r="C5" s="376"/>
      <c r="D5" s="376"/>
      <c r="E5" s="10" t="s">
        <v>480</v>
      </c>
      <c r="F5" s="63" t="s">
        <v>658</v>
      </c>
    </row>
    <row r="6" spans="1:8" ht="15" customHeight="1" x14ac:dyDescent="0.25">
      <c r="A6" s="57" t="s">
        <v>481</v>
      </c>
      <c r="B6" s="408" t="e">
        <f>+VLOOKUP(F5,PPTO!$A$9:$F$51,3,FALSE)</f>
        <v>#N/A</v>
      </c>
      <c r="C6" s="408"/>
      <c r="D6" s="408"/>
      <c r="E6" s="10" t="s">
        <v>482</v>
      </c>
      <c r="F6" s="58">
        <f>+F23</f>
        <v>790701</v>
      </c>
    </row>
    <row r="7" spans="1:8" ht="15" customHeight="1" x14ac:dyDescent="0.25">
      <c r="A7" s="59" t="s">
        <v>483</v>
      </c>
      <c r="B7" s="407" t="e">
        <f>+VLOOKUP(F5,PPTO!$A$9:$F$51,4,FALSE)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ht="15" customHeight="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ht="15" customHeigh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+VLOOKUP($A11,INS!$A$2:$F$180,3,FALSE)</f>
        <v>Desperdicio materiales</v>
      </c>
      <c r="C11" s="15" t="str">
        <f>+VLOOKUP($A11,INS!$A$2:$F$180,4,FALSE)</f>
        <v>(%)MAT</v>
      </c>
      <c r="D11" s="37">
        <v>5</v>
      </c>
      <c r="E11" s="16">
        <f>+F12</f>
        <v>595000</v>
      </c>
      <c r="F11" s="16">
        <f>+ROUND($E11*$D11/100,2)</f>
        <v>29750</v>
      </c>
    </row>
    <row r="12" spans="1:8" ht="15" customHeight="1" x14ac:dyDescent="0.25">
      <c r="A12" s="6" t="s">
        <v>48</v>
      </c>
      <c r="B12" s="14" t="str">
        <f>+VLOOKUP($A12,INS!$A$2:$F$180,3,FALSE)</f>
        <v>Concreto de 3000 psi de planta</v>
      </c>
      <c r="C12" s="15" t="str">
        <f>+VLOOKUP($A12,INS!$A$2:$F$180,4,FALSE)</f>
        <v>m3</v>
      </c>
      <c r="D12" s="34">
        <v>1</v>
      </c>
      <c r="E12" s="7">
        <f>+VLOOKUP($A12,INS!$A$2:$F$180,6,FALSE)</f>
        <v>595000</v>
      </c>
      <c r="F12" s="16">
        <f>+ROUND($E12*$D12,2)</f>
        <v>595000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624750</v>
      </c>
      <c r="H13" s="33">
        <f>+F13</f>
        <v>624750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202</v>
      </c>
      <c r="B15" s="14" t="str">
        <f>+VLOOKUP($A15,INS!$A$2:$F$180,3,FALSE)</f>
        <v>Cuadrilla 1:1 (1Of+1 Ay)</v>
      </c>
      <c r="C15" s="15" t="str">
        <f>+VLOOKUP($A15,INS!$A$2:$F$180,4,FALSE)</f>
        <v>JOR</v>
      </c>
      <c r="D15" s="15">
        <f>+ROUND(1/2.5,5)</f>
        <v>0.4</v>
      </c>
      <c r="E15" s="16">
        <f>+VLOOKUP($A15,INS!$A$2:$F$180,6,FALSE)</f>
        <v>201025</v>
      </c>
      <c r="F15" s="16">
        <f>+ROUND($E15*$D15,2)</f>
        <v>80410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80410</v>
      </c>
      <c r="H16" s="33">
        <f>+F16</f>
        <v>80410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38" t="s">
        <v>244</v>
      </c>
      <c r="B18" s="9" t="str">
        <f>+VLOOKUP($A18,INS!$A$2:$F$180,3,FALSE)</f>
        <v>Herramienta menor</v>
      </c>
      <c r="C18" s="6" t="str">
        <f>+VLOOKUP($A18,INS!$A$2:$F$180,4,FALSE)</f>
        <v>(%)MO</v>
      </c>
      <c r="D18" s="39">
        <v>10</v>
      </c>
      <c r="E18" s="44">
        <f>+$F$16</f>
        <v>80410</v>
      </c>
      <c r="F18" s="16">
        <f>+ROUND($E18*$D18/100,2)</f>
        <v>8041</v>
      </c>
    </row>
    <row r="19" spans="1:8" x14ac:dyDescent="0.25">
      <c r="A19" s="6" t="s">
        <v>254</v>
      </c>
      <c r="B19" s="9" t="str">
        <f>+VLOOKUP($A19,INS!$A$2:$F$180,3,FALSE)</f>
        <v>Vibrador para concreto</v>
      </c>
      <c r="C19" s="6" t="str">
        <f>+VLOOKUP($A19,INS!$A$2:$F$180,4,FALSE)</f>
        <v>HORA</v>
      </c>
      <c r="D19" s="34">
        <f>+ROUND(1/2,5)</f>
        <v>0.5</v>
      </c>
      <c r="E19" s="7">
        <f>+VLOOKUP($A19,INS!$A$2:$F$180,6,FALSE)</f>
        <v>11000</v>
      </c>
      <c r="F19" s="7">
        <f t="shared" ref="F19:F20" si="0">+ROUND($E19*$D19,2)</f>
        <v>5500</v>
      </c>
    </row>
    <row r="20" spans="1:8" ht="25.5" x14ac:dyDescent="0.25">
      <c r="A20" s="6" t="s">
        <v>240</v>
      </c>
      <c r="B20" s="9" t="str">
        <f>+VLOOKUP($A20,INS!$A$2:$F$180,3,FALSE)</f>
        <v>Formaleta (cerchas, parales, tableros, maderas, chapetas, alineadores)</v>
      </c>
      <c r="C20" s="6" t="str">
        <f>+VLOOKUP($A20,INS!$A$2:$F$180,4,FALSE)</f>
        <v>m2</v>
      </c>
      <c r="D20" s="34">
        <v>12</v>
      </c>
      <c r="E20" s="7">
        <f>+VLOOKUP($A20,INS!$A$2:$F$180,6,FALSE)</f>
        <v>6000</v>
      </c>
      <c r="F20" s="7">
        <f t="shared" si="0"/>
        <v>72000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+SUM(F18:F20)</f>
        <v>85541</v>
      </c>
      <c r="H21" s="33">
        <f>+F21</f>
        <v>85541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790701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39">
    <pageSetUpPr fitToPage="1"/>
  </sheetPr>
  <dimension ref="A1:J26"/>
  <sheetViews>
    <sheetView view="pageBreakPreview" topLeftCell="A4" zoomScale="115" zoomScaleNormal="100" zoomScaleSheetLayoutView="115" workbookViewId="0">
      <selection activeCell="D16" sqref="D1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0" x14ac:dyDescent="0.25">
      <c r="A1" s="406" t="s">
        <v>475</v>
      </c>
      <c r="B1" s="406"/>
      <c r="C1" s="406"/>
      <c r="D1" s="406"/>
      <c r="E1" s="406"/>
      <c r="F1" s="406"/>
      <c r="J1" s="1">
        <v>4740.6499999999996</v>
      </c>
    </row>
    <row r="2" spans="1:10" x14ac:dyDescent="0.25">
      <c r="A2" s="406" t="s">
        <v>476</v>
      </c>
      <c r="B2" s="406"/>
      <c r="C2" s="406"/>
      <c r="D2" s="406"/>
      <c r="E2" s="406"/>
      <c r="F2" s="406"/>
      <c r="J2" s="1">
        <v>5100</v>
      </c>
    </row>
    <row r="3" spans="1:10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0" ht="39" customHeight="1" x14ac:dyDescent="0.25">
      <c r="A4" s="405"/>
      <c r="B4" s="404"/>
      <c r="C4" s="404"/>
      <c r="D4" s="404"/>
      <c r="E4" s="404"/>
      <c r="F4" s="67" t="s">
        <v>337</v>
      </c>
    </row>
    <row r="5" spans="1:10" x14ac:dyDescent="0.25">
      <c r="A5" s="57" t="s">
        <v>479</v>
      </c>
      <c r="B5" s="376" t="str">
        <f>+VLOOKUP(F5,PPTO!$A$9:$F$52,2,FALSE)</f>
        <v>Suministro y colocación Acero de refuerzo fy 4200 kg / cm2</v>
      </c>
      <c r="C5" s="376"/>
      <c r="D5" s="376"/>
      <c r="E5" s="10" t="s">
        <v>480</v>
      </c>
      <c r="F5" s="63" t="s">
        <v>338</v>
      </c>
    </row>
    <row r="6" spans="1:10" x14ac:dyDescent="0.25">
      <c r="A6" s="57" t="s">
        <v>481</v>
      </c>
      <c r="B6" s="408" t="str">
        <f>+VLOOKUP(F5,PPTO!$A$9:$F$52,3,FALSE)</f>
        <v>KG</v>
      </c>
      <c r="C6" s="408"/>
      <c r="D6" s="408"/>
      <c r="E6" s="10" t="s">
        <v>482</v>
      </c>
      <c r="F6" s="58">
        <f>+F22</f>
        <v>9335.64</v>
      </c>
    </row>
    <row r="7" spans="1:10" x14ac:dyDescent="0.25">
      <c r="A7" s="59" t="s">
        <v>483</v>
      </c>
      <c r="B7" s="407">
        <f>+VLOOKUP(F5,PPTO!$A$9:$F$52,4,FALSE)</f>
        <v>10641.526000000002</v>
      </c>
      <c r="C7" s="407"/>
      <c r="D7" s="407"/>
      <c r="E7" s="60" t="s">
        <v>484</v>
      </c>
      <c r="F7" s="61">
        <f>+ROUND(F6*B7,2)</f>
        <v>99345455.790000007</v>
      </c>
    </row>
    <row r="8" spans="1:10" ht="9" customHeight="1" x14ac:dyDescent="0.25">
      <c r="A8" s="28"/>
      <c r="B8" s="51"/>
      <c r="C8" s="30"/>
      <c r="D8" s="30"/>
      <c r="E8" s="30"/>
      <c r="F8" s="31"/>
    </row>
    <row r="9" spans="1:10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0" s="5" customFormat="1" x14ac:dyDescent="0.25">
      <c r="A10" s="50" t="s">
        <v>8</v>
      </c>
      <c r="B10" s="52"/>
      <c r="C10" s="18"/>
      <c r="D10" s="18"/>
      <c r="E10" s="18"/>
      <c r="F10" s="24"/>
    </row>
    <row r="11" spans="1:10" x14ac:dyDescent="0.25">
      <c r="A11" s="15" t="s">
        <v>21</v>
      </c>
      <c r="B11" s="14" t="str">
        <f>+VLOOKUP($A11,INS!$A$2:$F$164,3,FALSE)</f>
        <v>Alambre negro Calibre 18</v>
      </c>
      <c r="C11" s="15" t="str">
        <f>+VLOOKUP($A11,INS!$A$2:$F$164,4,FALSE)</f>
        <v>Kg</v>
      </c>
      <c r="D11" s="163">
        <f>ROUND(+D12*20%,2)</f>
        <v>0.2</v>
      </c>
      <c r="E11" s="16">
        <f>+VLOOKUP($A11,INS!$A$2:$F$164,6,FALSE)</f>
        <v>5100</v>
      </c>
      <c r="F11" s="16">
        <f>+ROUND($E11*$D11,2)</f>
        <v>1020</v>
      </c>
    </row>
    <row r="12" spans="1:10" x14ac:dyDescent="0.25">
      <c r="A12" s="6" t="s">
        <v>7</v>
      </c>
      <c r="B12" s="9" t="str">
        <f>+VLOOKUP($A12,INS!$A$2:$F$164,3,FALSE)</f>
        <v>Suministro de Acero de 60000 psi y figurado</v>
      </c>
      <c r="C12" s="6" t="str">
        <f>+VLOOKUP($A12,INS!$A$2:$F$164,4,FALSE)</f>
        <v>Kg</v>
      </c>
      <c r="D12" s="114">
        <v>1</v>
      </c>
      <c r="E12" s="7">
        <f>+VLOOKUP($A12,INS!$A$2:$F$164,6,FALSE)</f>
        <v>4740.6499999999996</v>
      </c>
      <c r="F12" s="7">
        <f t="shared" ref="F12" si="0">+ROUND($E12*$D12,2)</f>
        <v>4740.6499999999996</v>
      </c>
    </row>
    <row r="13" spans="1:10" x14ac:dyDescent="0.25">
      <c r="A13" s="6" t="s">
        <v>174</v>
      </c>
      <c r="B13" s="9" t="str">
        <f>+VLOOKUP($A13,INS!$A$2:$F$164,3,FALSE)</f>
        <v>Desperdicio materiales</v>
      </c>
      <c r="C13" s="6" t="str">
        <f>+VLOOKUP($A13,INS!$A$2:$F$164,4,FALSE)</f>
        <v>(%)MAT</v>
      </c>
      <c r="D13" s="114">
        <v>0.05</v>
      </c>
      <c r="E13" s="7">
        <f>+F11+F12</f>
        <v>5760.65</v>
      </c>
      <c r="F13" s="16">
        <f>+ROUND($E13*$D13,2)</f>
        <v>288.02999999999997</v>
      </c>
    </row>
    <row r="14" spans="1:10" s="5" customFormat="1" x14ac:dyDescent="0.25">
      <c r="A14" s="46"/>
      <c r="B14" s="53"/>
      <c r="C14" s="47"/>
      <c r="D14" s="48"/>
      <c r="E14" s="36" t="s">
        <v>305</v>
      </c>
      <c r="F14" s="25">
        <f>ROUND(+SUM(F11:F13),2)</f>
        <v>6048.68</v>
      </c>
      <c r="H14" s="33">
        <f>+F14</f>
        <v>6048.68</v>
      </c>
    </row>
    <row r="15" spans="1:10" s="5" customFormat="1" x14ac:dyDescent="0.25">
      <c r="A15" s="50" t="s">
        <v>189</v>
      </c>
      <c r="B15" s="52"/>
      <c r="C15" s="18"/>
      <c r="D15" s="18"/>
      <c r="E15" s="18"/>
      <c r="F15" s="24"/>
    </row>
    <row r="16" spans="1:10" x14ac:dyDescent="0.25">
      <c r="A16" s="15" t="s">
        <v>202</v>
      </c>
      <c r="B16" s="14" t="str">
        <f>+VLOOKUP($A16,INS!$A$2:$F$164,3,FALSE)</f>
        <v>Cuadrilla 1:1 (1Of+1 Ay)</v>
      </c>
      <c r="C16" s="15" t="str">
        <f>+VLOOKUP($A16,INS!$A$2:$F$164,4,FALSE)</f>
        <v>JOR</v>
      </c>
      <c r="D16" s="163">
        <v>64.216156475649399</v>
      </c>
      <c r="E16" s="16">
        <f>+VLOOKUP($A16,INS!$A$2:$F$164,6,FALSE)</f>
        <v>201025</v>
      </c>
      <c r="F16" s="16">
        <f>+ROUND($E16/$D16,2)</f>
        <v>3130.44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ROUND(+SUM(F16:F16),2)</f>
        <v>3130.44</v>
      </c>
      <c r="H17" s="33">
        <f>+F17</f>
        <v>3130.44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165">
        <v>0.05</v>
      </c>
      <c r="E19" s="44">
        <f>+$F$17</f>
        <v>3130.44</v>
      </c>
      <c r="F19" s="16">
        <f>+ROUND($E19*$D19,2)</f>
        <v>156.52000000000001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+SUM(F19:F19)</f>
        <v>156.52000000000001</v>
      </c>
      <c r="H20" s="33">
        <f>+F20</f>
        <v>156.52000000000001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str">
        <f>+CONCATENATE("COSTO DIRECTRO ITEM ",F5," ",B5)</f>
        <v>COSTO DIRECTRO ITEM 4.01 Suministro y colocación Acero de refuerzo fy 4200 kg / cm2</v>
      </c>
      <c r="B22" s="403"/>
      <c r="C22" s="403"/>
      <c r="D22" s="403"/>
      <c r="E22" s="403"/>
      <c r="F22" s="62">
        <f>ROUND(+SUM(H11:H20),2)</f>
        <v>9335.64</v>
      </c>
    </row>
    <row r="24" spans="1:8" x14ac:dyDescent="0.25">
      <c r="D24" s="1">
        <f>+D16*B7</f>
        <v>683357.8987556916</v>
      </c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551E5-0886-492A-8CF8-14E203EB7CB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A755E-9BF2-44A5-A248-7C91A56ACDD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42F67-9B34-4852-B41A-75478AF59B7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46A5B-7C40-4808-8F81-6498A58AD68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46">
    <pageSetUpPr fitToPage="1"/>
  </sheetPr>
  <dimension ref="A1:H29"/>
  <sheetViews>
    <sheetView view="pageBreakPreview" topLeftCell="A6" zoomScale="115" zoomScaleNormal="100" zoomScaleSheetLayoutView="115" workbookViewId="0">
      <selection activeCell="D18" sqref="D1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x14ac:dyDescent="0.25">
      <c r="A5" s="57" t="s">
        <v>479</v>
      </c>
      <c r="B5" s="376" t="str">
        <f>+VLOOKUP(F5,PPTO!$A$9:$F$52,2,FALSE)</f>
        <v>Suministro y colocación de anclajes 3 cables D =5/8"</v>
      </c>
      <c r="C5" s="376"/>
      <c r="D5" s="376"/>
      <c r="E5" s="10" t="s">
        <v>480</v>
      </c>
      <c r="F5" s="63" t="s">
        <v>340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+F25</f>
        <v>122879.38</v>
      </c>
    </row>
    <row r="7" spans="1:8" x14ac:dyDescent="0.25">
      <c r="A7" s="59" t="s">
        <v>483</v>
      </c>
      <c r="B7" s="407">
        <f>+VLOOKUP(F5,PPTO!$A$9:$F$52,4,FALSE)</f>
        <v>18330</v>
      </c>
      <c r="C7" s="407"/>
      <c r="D7" s="407"/>
      <c r="E7" s="60" t="s">
        <v>484</v>
      </c>
      <c r="F7" s="61">
        <f>+ROUND(F6*B7,2)</f>
        <v>2252379035.4000001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38</v>
      </c>
      <c r="B11" s="14" t="str">
        <f>+VLOOKUP($A11,INS!$A$2:$F$164,3,FALSE)</f>
        <v>Toron de Tensionamiento D=5/8"</v>
      </c>
      <c r="C11" s="15" t="str">
        <f>+VLOOKUP($A11,INS!$A$2:$F$164,4,FALSE)</f>
        <v>m</v>
      </c>
      <c r="D11" s="163">
        <v>3</v>
      </c>
      <c r="E11" s="16">
        <f>+VLOOKUP($A11,INS!$A$2:$F$164,6,FALSE)</f>
        <v>12000</v>
      </c>
      <c r="F11" s="16">
        <f>+ROUND($E11*$D11,2)</f>
        <v>36000</v>
      </c>
    </row>
    <row r="12" spans="1:8" x14ac:dyDescent="0.25">
      <c r="A12" s="15" t="s">
        <v>127</v>
      </c>
      <c r="B12" s="14" t="str">
        <f>+VLOOKUP($A12,INS!$A$2:$F$164,3,FALSE)</f>
        <v>Tuberia PVC 1/2" y Accesorios</v>
      </c>
      <c r="C12" s="15" t="str">
        <f>+VLOOKUP($A12,INS!$A$2:$F$164,4,FALSE)</f>
        <v>m</v>
      </c>
      <c r="D12" s="163">
        <v>1</v>
      </c>
      <c r="E12" s="16">
        <f>+VLOOKUP($A12,INS!$A$2:$F$164,6,FALSE)</f>
        <v>4500</v>
      </c>
      <c r="F12" s="16">
        <f>+ROUND($E12*$D12,2)</f>
        <v>4500</v>
      </c>
    </row>
    <row r="13" spans="1:8" x14ac:dyDescent="0.25">
      <c r="A13" s="15" t="s">
        <v>58</v>
      </c>
      <c r="B13" s="14" t="str">
        <f>+VLOOKUP($A13,INS!$A$2:$F$164,3,FALSE)</f>
        <v>Centralizadores</v>
      </c>
      <c r="C13" s="15" t="str">
        <f>+VLOOKUP($A13,INS!$A$2:$F$164,4,FALSE)</f>
        <v>Und</v>
      </c>
      <c r="D13" s="163">
        <v>1</v>
      </c>
      <c r="E13" s="16">
        <v>1500</v>
      </c>
      <c r="F13" s="16">
        <f>+ROUND($E13*$D13,2)</f>
        <v>1500</v>
      </c>
    </row>
    <row r="14" spans="1:8" x14ac:dyDescent="0.25">
      <c r="A14" s="15" t="s">
        <v>21</v>
      </c>
      <c r="B14" s="14" t="str">
        <f>+VLOOKUP($A14,INS!$A$2:$F$164,3,FALSE)</f>
        <v>Alambre negro Calibre 18</v>
      </c>
      <c r="C14" s="15" t="str">
        <f>+VLOOKUP($A14,INS!$A$2:$F$164,4,FALSE)</f>
        <v>Kg</v>
      </c>
      <c r="D14" s="163">
        <v>2</v>
      </c>
      <c r="E14" s="16">
        <f>+VLOOKUP($A14,INS!$A$2:$F$164,6,FALSE)</f>
        <v>5100</v>
      </c>
      <c r="F14" s="16">
        <f>+ROUND($E14*$D14,2)</f>
        <v>10200</v>
      </c>
    </row>
    <row r="15" spans="1:8" x14ac:dyDescent="0.25">
      <c r="A15" s="15" t="s">
        <v>174</v>
      </c>
      <c r="B15" s="14" t="str">
        <f>+VLOOKUP($A15,INS!$A$2:$F$164,3,FALSE)</f>
        <v>Desperdicio materiales</v>
      </c>
      <c r="C15" s="15" t="str">
        <f>+VLOOKUP($A15,INS!$A$2:$F$164,4,FALSE)</f>
        <v>(%)MAT</v>
      </c>
      <c r="D15" s="163">
        <v>0.05</v>
      </c>
      <c r="E15" s="16">
        <f>+F11+F12+F13+F14</f>
        <v>52200</v>
      </c>
      <c r="F15" s="16">
        <f>+ROUND($E15*$D15,2)</f>
        <v>2610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ROUND(+SUM(F11:F15),2)</f>
        <v>54810</v>
      </c>
      <c r="H16" s="33">
        <f>+F16</f>
        <v>54810</v>
      </c>
    </row>
    <row r="17" spans="1:8" s="5" customFormat="1" x14ac:dyDescent="0.25">
      <c r="A17" s="50" t="s">
        <v>189</v>
      </c>
      <c r="B17" s="52"/>
      <c r="C17" s="18"/>
      <c r="D17" s="18"/>
      <c r="E17" s="18"/>
      <c r="F17" s="24"/>
    </row>
    <row r="18" spans="1:8" x14ac:dyDescent="0.25">
      <c r="A18" s="15" t="s">
        <v>208</v>
      </c>
      <c r="B18" s="14" t="str">
        <f>+VLOOKUP($A18,INS!$A$2:$F$164,3,FALSE)</f>
        <v>Cuadrilla 1:4 (1Of+4 Ay)</v>
      </c>
      <c r="C18" s="15" t="str">
        <f>+VLOOKUP($A18,INS!$A$2:$F$164,4,FALSE)</f>
        <v>JOR</v>
      </c>
      <c r="D18" s="163">
        <v>7.1351316022119606</v>
      </c>
      <c r="E18" s="16">
        <f>+VLOOKUP($A18,INS!$A$2:$F$164,6,FALSE)</f>
        <v>442255</v>
      </c>
      <c r="F18" s="16">
        <f>+ROUND($E18/$D18,2)</f>
        <v>61982.74</v>
      </c>
    </row>
    <row r="19" spans="1:8" s="5" customFormat="1" x14ac:dyDescent="0.25">
      <c r="A19" s="46"/>
      <c r="B19" s="53"/>
      <c r="C19" s="47"/>
      <c r="D19" s="48"/>
      <c r="E19" s="36" t="s">
        <v>305</v>
      </c>
      <c r="F19" s="25">
        <f>ROUND(+SUM(F18:F18),2)</f>
        <v>61982.74</v>
      </c>
      <c r="H19" s="33">
        <f>+F19</f>
        <v>61982.74</v>
      </c>
    </row>
    <row r="20" spans="1:8" s="5" customFormat="1" x14ac:dyDescent="0.25">
      <c r="A20" s="50" t="s">
        <v>486</v>
      </c>
      <c r="B20" s="52"/>
      <c r="C20" s="18"/>
      <c r="D20" s="18"/>
      <c r="E20" s="18"/>
      <c r="F20" s="24"/>
    </row>
    <row r="21" spans="1:8" x14ac:dyDescent="0.25">
      <c r="A21" s="38" t="s">
        <v>244</v>
      </c>
      <c r="B21" s="64" t="str">
        <f>+VLOOKUP($A21,INS!$A$2:$F$164,3,FALSE)</f>
        <v>Herramienta menor</v>
      </c>
      <c r="C21" s="38" t="str">
        <f>+VLOOKUP($A21,INS!$A$2:$F$164,4,FALSE)</f>
        <v>(%)MO</v>
      </c>
      <c r="D21" s="165">
        <v>0.05</v>
      </c>
      <c r="E21" s="44">
        <f>+$F$19</f>
        <v>61982.74</v>
      </c>
      <c r="F21" s="16">
        <f>+ROUND($E21*$D21,2)</f>
        <v>3099.14</v>
      </c>
    </row>
    <row r="22" spans="1:8" x14ac:dyDescent="0.25">
      <c r="A22" s="6" t="s">
        <v>259</v>
      </c>
      <c r="B22" s="9" t="str">
        <f>+VLOOKUP($A22,INS!$A$2:$F$164,3,FALSE)</f>
        <v>Andamio Colgante</v>
      </c>
      <c r="C22" s="6" t="str">
        <f>+VLOOKUP($A22,INS!$A$2:$F$164,4,FALSE)</f>
        <v>DIA</v>
      </c>
      <c r="D22" s="114">
        <v>8</v>
      </c>
      <c r="E22" s="7">
        <f>+VLOOKUP($A22,INS!$A$2:$F$164,6,FALSE)</f>
        <v>23900</v>
      </c>
      <c r="F22" s="7">
        <f>+ROUND($E22/$D22,2)</f>
        <v>2987.5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ROUND(+SUM(F21:F22),2)</f>
        <v>6086.64</v>
      </c>
      <c r="H23" s="33">
        <f>+F23</f>
        <v>6086.64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str">
        <f>+CONCATENATE("COSTO DIRECTRO ITEM ",F5," ",B5)</f>
        <v>COSTO DIRECTRO ITEM 4.02 Suministro y colocación de anclajes 3 cables D =5/8"</v>
      </c>
      <c r="B25" s="403"/>
      <c r="C25" s="403"/>
      <c r="D25" s="403"/>
      <c r="E25" s="403"/>
      <c r="F25" s="62">
        <f>ROUND(+SUM(H11:H23),2)</f>
        <v>122879.38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Hoja40"/>
  <dimension ref="A1:H25"/>
  <sheetViews>
    <sheetView view="pageBreakPreview" topLeftCell="A4" zoomScaleNormal="100" zoomScaleSheetLayoutView="100" workbookViewId="0">
      <selection activeCell="F13" sqref="F13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x14ac:dyDescent="0.25">
      <c r="A5" s="57" t="s">
        <v>479</v>
      </c>
      <c r="B5" s="376" t="str">
        <f>+VLOOKUP(F5,PPTO!$A$9:$F$52,2,FALSE)</f>
        <v>Suministro y colocación de anclajes 3 cables D =5/8"</v>
      </c>
      <c r="C5" s="376"/>
      <c r="D5" s="376"/>
      <c r="E5" s="10" t="s">
        <v>480</v>
      </c>
      <c r="F5" s="63" t="s">
        <v>340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+F21</f>
        <v>136891.26999999999</v>
      </c>
    </row>
    <row r="7" spans="1:8" x14ac:dyDescent="0.25">
      <c r="A7" s="59" t="s">
        <v>483</v>
      </c>
      <c r="B7" s="407">
        <f>+VLOOKUP(F5,PPTO!$A$9:$F$52,4,FALSE)</f>
        <v>18330</v>
      </c>
      <c r="C7" s="407"/>
      <c r="D7" s="407"/>
      <c r="E7" s="60" t="s">
        <v>484</v>
      </c>
      <c r="F7" s="61">
        <f>+ROUND(F6*B7,2)</f>
        <v>2509216979.0999999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38</v>
      </c>
      <c r="B11" s="14" t="str">
        <f>+VLOOKUP($A11,INS!$A$2:$F$164,3,FALSE)</f>
        <v>Toron de Tensionamiento D=5/8"</v>
      </c>
      <c r="C11" s="15" t="str">
        <f>+VLOOKUP($A11,INS!$A$2:$F$164,4,FALSE)</f>
        <v>m</v>
      </c>
      <c r="D11" s="37">
        <v>3</v>
      </c>
      <c r="E11" s="16">
        <f>+VLOOKUP($A11,INS!$A$2:$F$164,6,FALSE)</f>
        <v>12000</v>
      </c>
      <c r="F11" s="16">
        <f>+ROUND($E11*$D11,2)</f>
        <v>36000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36000</v>
      </c>
      <c r="H12" s="33">
        <f>+F12</f>
        <v>36000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+VLOOKUP($A14,INS!$A$2:$F$164,3,FALSE)</f>
        <v>Cuadrilla 1:2 (1Of+2 Ay)</v>
      </c>
      <c r="C14" s="15" t="str">
        <f>+VLOOKUP($A14,INS!$A$2:$F$164,4,FALSE)</f>
        <v>JOR</v>
      </c>
      <c r="D14" s="37">
        <v>0.33333000000000002</v>
      </c>
      <c r="E14" s="16">
        <f>+VLOOKUP($A14,INS!$A$2:$F$164,6,FALSE)</f>
        <v>281435</v>
      </c>
      <c r="F14" s="16">
        <f>+ROUND($E14*$D14,2)</f>
        <v>93810.73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93810.73</v>
      </c>
      <c r="H15" s="33">
        <f>+F15</f>
        <v>93810.73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39">
        <v>5</v>
      </c>
      <c r="E17" s="44">
        <f>+$F$15</f>
        <v>93810.73</v>
      </c>
      <c r="F17" s="16">
        <f>+ROUND($E17*$D17/100,2)</f>
        <v>4690.54</v>
      </c>
    </row>
    <row r="18" spans="1:8" x14ac:dyDescent="0.25">
      <c r="A18" s="6" t="s">
        <v>259</v>
      </c>
      <c r="B18" s="9" t="str">
        <f>+VLOOKUP($A18,INS!$A$2:$F$164,3,FALSE)</f>
        <v>Andamio Colgante</v>
      </c>
      <c r="C18" s="6" t="str">
        <f>+VLOOKUP($A18,INS!$A$2:$F$164,4,FALSE)</f>
        <v>DIA</v>
      </c>
      <c r="D18" s="34">
        <v>0.1</v>
      </c>
      <c r="E18" s="7">
        <f>+VLOOKUP($A18,INS!$A$2:$F$164,6,FALSE)</f>
        <v>23900</v>
      </c>
      <c r="F18" s="7">
        <f t="shared" ref="F18" si="0">+ROUND($E18*$D18,2)</f>
        <v>2390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+SUM(F17:F18)</f>
        <v>7080.54</v>
      </c>
      <c r="H19" s="33">
        <f>+F19</f>
        <v>7080.54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4.02 Suministro y colocación de anclajes 3 cables D =5/8"</v>
      </c>
      <c r="B21" s="403"/>
      <c r="C21" s="403"/>
      <c r="D21" s="403"/>
      <c r="E21" s="403"/>
      <c r="F21" s="62">
        <f>+SUM(H11:H19)</f>
        <v>136891.26999999999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Hoja41">
    <pageSetUpPr fitToPage="1"/>
  </sheetPr>
  <dimension ref="A1:H25"/>
  <sheetViews>
    <sheetView view="pageBreakPreview" zoomScaleNormal="100" zoomScaleSheetLayoutView="100" workbookViewId="0">
      <selection activeCell="E12" sqref="E12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x14ac:dyDescent="0.25">
      <c r="A5" s="57" t="s">
        <v>479</v>
      </c>
      <c r="B5" s="376" t="str">
        <f>+VLOOKUP(F5,PPTO!$A$9:$F$52,2,FALSE)</f>
        <v>Tensionamiento de anclajes 30 Ton</v>
      </c>
      <c r="C5" s="376"/>
      <c r="D5" s="376"/>
      <c r="E5" s="10" t="s">
        <v>480</v>
      </c>
      <c r="F5" s="63" t="s">
        <v>342</v>
      </c>
    </row>
    <row r="6" spans="1:8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+F21</f>
        <v>205531.75</v>
      </c>
    </row>
    <row r="7" spans="1:8" x14ac:dyDescent="0.25">
      <c r="A7" s="59" t="s">
        <v>483</v>
      </c>
      <c r="B7" s="407">
        <f>+VLOOKUP(F5,PPTO!$A$9:$F$52,4,FALSE)</f>
        <v>611</v>
      </c>
      <c r="C7" s="407"/>
      <c r="D7" s="407"/>
      <c r="E7" s="60" t="s">
        <v>484</v>
      </c>
      <c r="F7" s="61">
        <f>+ROUND(F6*B7,2)</f>
        <v>125579899.25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198</v>
      </c>
      <c r="B11" s="14" t="str">
        <f>+VLOOKUP($A11,INS!$A$2:$F$164,3,FALSE)</f>
        <v>Cuadrilla 1:3 (1Of+3 Ay)</v>
      </c>
      <c r="C11" s="15" t="str">
        <f>+VLOOKUP($A11,INS!$A$2:$F$164,4,FALSE)</f>
        <v>JOR</v>
      </c>
      <c r="D11" s="163">
        <v>5.3513488440355426</v>
      </c>
      <c r="E11" s="16">
        <f>+VLOOKUP($A11,INS!$A$2:$F$164,6,FALSE)</f>
        <v>361845</v>
      </c>
      <c r="F11" s="16">
        <f>+ROUND($E11/$D11,2)</f>
        <v>67617.53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67617.53</v>
      </c>
      <c r="H12" s="33">
        <f>+F12</f>
        <v>67617.53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65">
        <v>0.05</v>
      </c>
      <c r="E14" s="44">
        <f>+$F$12</f>
        <v>67617.53</v>
      </c>
      <c r="F14" s="16">
        <f>+ROUND($E14*$D14,2)</f>
        <v>3380.88</v>
      </c>
    </row>
    <row r="15" spans="1:8" x14ac:dyDescent="0.25">
      <c r="A15" s="6" t="s">
        <v>518</v>
      </c>
      <c r="B15" s="9" t="str">
        <f>+VLOOKUP($A15,INS!$A$2:$F$164,3,FALSE)</f>
        <v>Planta Electrica 5KVA</v>
      </c>
      <c r="C15" s="6" t="str">
        <f>+VLOOKUP($A15,INS!$A$2:$F$164,4,FALSE)</f>
        <v>HORA</v>
      </c>
      <c r="D15" s="6">
        <v>0.75</v>
      </c>
      <c r="E15" s="7">
        <f>+VLOOKUP($A15,INS!$A$2:$F$164,6,FALSE)</f>
        <v>12000</v>
      </c>
      <c r="F15" s="7">
        <f>+ROUND($E15/$D15,2)</f>
        <v>16000</v>
      </c>
    </row>
    <row r="16" spans="1:8" x14ac:dyDescent="0.25">
      <c r="A16" s="6" t="s">
        <v>519</v>
      </c>
      <c r="B16" s="9" t="str">
        <f>+VLOOKUP($A16,INS!$A$2:$F$164,3,FALSE)</f>
        <v>Gato de Tensionamiento Max 200 Ton</v>
      </c>
      <c r="C16" s="6" t="str">
        <f>+VLOOKUP($A16,INS!$A$2:$F$164,4,FALSE)</f>
        <v>HORA</v>
      </c>
      <c r="D16" s="6">
        <f>D15</f>
        <v>0.75</v>
      </c>
      <c r="E16" s="7">
        <f>+VLOOKUP($A16,INS!$A$2:$F$164,6,FALSE)</f>
        <v>20000</v>
      </c>
      <c r="F16" s="7">
        <f t="shared" ref="F16:F18" si="0">+ROUND($E16/$D16,2)</f>
        <v>26666.67</v>
      </c>
    </row>
    <row r="17" spans="1:8" x14ac:dyDescent="0.25">
      <c r="A17" s="6" t="s">
        <v>520</v>
      </c>
      <c r="B17" s="9" t="str">
        <f>+VLOOKUP($A17,INS!$A$2:$F$164,3,FALSE)</f>
        <v>Bomba para gato de tensionamiento</v>
      </c>
      <c r="C17" s="6" t="str">
        <f>+VLOOKUP($A17,INS!$A$2:$F$164,4,FALSE)</f>
        <v>HORA</v>
      </c>
      <c r="D17" s="6">
        <f>D16</f>
        <v>0.75</v>
      </c>
      <c r="E17" s="7">
        <f>+VLOOKUP($A17,INS!$A$2:$F$164,6,FALSE)</f>
        <v>45000</v>
      </c>
      <c r="F17" s="7">
        <f t="shared" si="0"/>
        <v>60000</v>
      </c>
    </row>
    <row r="18" spans="1:8" x14ac:dyDescent="0.25">
      <c r="A18" s="6" t="s">
        <v>259</v>
      </c>
      <c r="B18" s="9" t="str">
        <f>+VLOOKUP($A18,INS!$A$2:$F$164,3,FALSE)</f>
        <v>Andamio Colgante</v>
      </c>
      <c r="C18" s="6" t="str">
        <f>+VLOOKUP($A18,INS!$A$2:$F$164,4,FALSE)</f>
        <v>DIA</v>
      </c>
      <c r="D18" s="6">
        <f>D17</f>
        <v>0.75</v>
      </c>
      <c r="E18" s="7">
        <f>+VLOOKUP($A18,INS!$A$2:$F$164,6,FALSE)</f>
        <v>23900</v>
      </c>
      <c r="F18" s="7">
        <f t="shared" si="0"/>
        <v>31866.67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+SUM(F14:F18)</f>
        <v>137914.22</v>
      </c>
      <c r="H19" s="33">
        <f>+F19</f>
        <v>137914.22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4.03 Tensionamiento de anclajes 30 Ton</v>
      </c>
      <c r="B21" s="403"/>
      <c r="C21" s="403"/>
      <c r="D21" s="403"/>
      <c r="E21" s="403"/>
      <c r="F21" s="62">
        <f>+SUM(H10:H19)</f>
        <v>205531.75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42">
    <pageSetUpPr fitToPage="1"/>
  </sheetPr>
  <dimension ref="A1:H26"/>
  <sheetViews>
    <sheetView view="pageBreakPreview" topLeftCell="A3" zoomScaleNormal="100" zoomScaleSheetLayoutView="100" workbookViewId="0">
      <selection activeCell="F16" sqref="F1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x14ac:dyDescent="0.25">
      <c r="A5" s="57" t="s">
        <v>479</v>
      </c>
      <c r="B5" s="376" t="str">
        <f>+VLOOKUP(F5,PPTO!$A$9:$F$52,2,FALSE)</f>
        <v>Suministro y colocación malla electrosoldada calibre 10</v>
      </c>
      <c r="C5" s="376"/>
      <c r="D5" s="376"/>
      <c r="E5" s="10" t="s">
        <v>480</v>
      </c>
      <c r="F5" s="63" t="s">
        <v>343</v>
      </c>
    </row>
    <row r="6" spans="1:8" x14ac:dyDescent="0.25">
      <c r="A6" s="57" t="s">
        <v>481</v>
      </c>
      <c r="B6" s="408" t="str">
        <f>+VLOOKUP(F5,PPTO!$A$9:$F$52,3,FALSE)</f>
        <v>M2</v>
      </c>
      <c r="C6" s="408"/>
      <c r="D6" s="408"/>
      <c r="E6" s="10" t="s">
        <v>482</v>
      </c>
      <c r="F6" s="58">
        <f>+F22</f>
        <v>26147.75</v>
      </c>
    </row>
    <row r="7" spans="1:8" x14ac:dyDescent="0.25">
      <c r="A7" s="59" t="s">
        <v>483</v>
      </c>
      <c r="B7" s="407">
        <f>+VLOOKUP(F5,PPTO!$A$9:$F$52,4,FALSE)</f>
        <v>4353.3249999999998</v>
      </c>
      <c r="C7" s="407"/>
      <c r="D7" s="407"/>
      <c r="E7" s="60" t="s">
        <v>484</v>
      </c>
      <c r="F7" s="61">
        <f>+ROUND(F6*B7,2)</f>
        <v>113829653.77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102</v>
      </c>
      <c r="B11" s="14" t="str">
        <f>+VLOOKUP($A11,INS!$A$2:$F$164,3,FALSE)</f>
        <v>Malla electrosoldada calibre 10</v>
      </c>
      <c r="C11" s="15" t="str">
        <f>+VLOOKUP($A11,INS!$A$2:$F$164,4,FALSE)</f>
        <v>m2</v>
      </c>
      <c r="D11" s="163">
        <v>1</v>
      </c>
      <c r="E11" s="16">
        <f>+VLOOKUP($A11,INS!$A$2:$F$164,6,FALSE)</f>
        <v>19500</v>
      </c>
      <c r="F11" s="16">
        <f>+ROUND($E11*$D11,2)</f>
        <v>19500</v>
      </c>
    </row>
    <row r="12" spans="1:8" x14ac:dyDescent="0.25">
      <c r="A12" s="6" t="s">
        <v>489</v>
      </c>
      <c r="B12" s="9" t="str">
        <f>+VLOOKUP($A12,INS!$A$2:$F$164,3,FALSE)</f>
        <v>Alambre negro Calibre 18</v>
      </c>
      <c r="C12" s="6" t="str">
        <f>+VLOOKUP($A12,INS!$A$2:$F$164,4,FALSE)</f>
        <v>Kg</v>
      </c>
      <c r="D12" s="114">
        <f>+D11*20%</f>
        <v>0.2</v>
      </c>
      <c r="E12" s="7">
        <f>+VLOOKUP($A12,INS!$A$2:$F$164,6,FALSE)</f>
        <v>5100</v>
      </c>
      <c r="F12" s="7">
        <f t="shared" ref="F12" si="0">+ROUND($E12*$D12,2)</f>
        <v>1020</v>
      </c>
    </row>
    <row r="13" spans="1:8" x14ac:dyDescent="0.25">
      <c r="A13" s="6" t="s">
        <v>174</v>
      </c>
      <c r="B13" s="9" t="str">
        <f>+VLOOKUP($A13,INS!$A$2:$F$164,3,FALSE)</f>
        <v>Desperdicio materiales</v>
      </c>
      <c r="C13" s="6" t="str">
        <f>+VLOOKUP($A13,INS!$A$2:$F$164,4,FALSE)</f>
        <v>(%)MAT</v>
      </c>
      <c r="D13" s="114">
        <v>0.05</v>
      </c>
      <c r="E13" s="7">
        <f>+F12+F11</f>
        <v>20520</v>
      </c>
      <c r="F13" s="16">
        <f>+ROUND($E13*$D13,2)</f>
        <v>1026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ROUND(+SUM(F11:F13),2)</f>
        <v>21546</v>
      </c>
      <c r="H14" s="33">
        <f>+F14</f>
        <v>21546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+VLOOKUP($A16,INS!$A$2:$F$164,3,FALSE)</f>
        <v>Cuadrilla 1:2 (1Of+2 Ay)</v>
      </c>
      <c r="C16" s="15" t="str">
        <f>+VLOOKUP($A16,INS!$A$2:$F$164,4,FALSE)</f>
        <v>JOR</v>
      </c>
      <c r="D16" s="15">
        <v>64.216179153332376</v>
      </c>
      <c r="E16" s="16">
        <f>+VLOOKUP($A16,INS!$A$2:$F$164,6,FALSE)</f>
        <v>281435</v>
      </c>
      <c r="F16" s="16">
        <f>+ROUND($E16/$D16,2)</f>
        <v>4382.62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ROUND(+SUM(F16:F16),2)</f>
        <v>4382.62</v>
      </c>
      <c r="H17" s="33">
        <f>+F17</f>
        <v>4382.62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38" t="s">
        <v>244</v>
      </c>
      <c r="B19" s="64" t="str">
        <f>+VLOOKUP($A19,INS!$A$2:$F$164,3,FALSE)</f>
        <v>Herramienta menor</v>
      </c>
      <c r="C19" s="38" t="str">
        <f>+VLOOKUP($A19,INS!$A$2:$F$164,4,FALSE)</f>
        <v>(%)MO</v>
      </c>
      <c r="D19" s="165">
        <v>0.05</v>
      </c>
      <c r="E19" s="44">
        <f>+$F$17</f>
        <v>4382.62</v>
      </c>
      <c r="F19" s="16">
        <f>+ROUND($E19*$D19,2)</f>
        <v>219.13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ROUND(+SUM(F19:F19),2)</f>
        <v>219.13</v>
      </c>
      <c r="H20" s="33">
        <f>+F20</f>
        <v>219.13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str">
        <f>+CONCATENATE("COSTO DIRECTRO ITEM ",F5," ",B5)</f>
        <v>COSTO DIRECTRO ITEM 4.04 Suministro y colocación malla electrosoldada calibre 10</v>
      </c>
      <c r="B22" s="403"/>
      <c r="C22" s="403"/>
      <c r="D22" s="403"/>
      <c r="E22" s="403"/>
      <c r="F22" s="62">
        <f>ROUND(+SUM(H11:H20),2)</f>
        <v>26147.75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Hoja43">
    <pageSetUpPr fitToPage="1"/>
  </sheetPr>
  <dimension ref="A1:H25"/>
  <sheetViews>
    <sheetView view="pageBreakPreview" topLeftCell="A4" zoomScaleNormal="100" zoomScaleSheetLayoutView="100" workbookViewId="0">
      <selection activeCell="D19" sqref="D1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ht="28.5" customHeight="1" x14ac:dyDescent="0.25">
      <c r="A5" s="57" t="s">
        <v>479</v>
      </c>
      <c r="B5" s="376" t="str">
        <f>+VLOOKUP(F5,PPTO!$A$9:$F$52,2,FALSE)</f>
        <v>Suministro e instalación platinas metálicas en lamina HR E=3/4" 200x200mm</v>
      </c>
      <c r="C5" s="376"/>
      <c r="D5" s="376"/>
      <c r="E5" s="10" t="s">
        <v>480</v>
      </c>
      <c r="F5" s="63" t="s">
        <v>345</v>
      </c>
    </row>
    <row r="6" spans="1:8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+F21</f>
        <v>114522.59000000001</v>
      </c>
    </row>
    <row r="7" spans="1:8" x14ac:dyDescent="0.25">
      <c r="A7" s="59" t="s">
        <v>483</v>
      </c>
      <c r="B7" s="407">
        <f>+VLOOKUP(F5,PPTO!$A$9:$F$52,4,FALSE)</f>
        <v>611</v>
      </c>
      <c r="C7" s="407"/>
      <c r="D7" s="407"/>
      <c r="E7" s="60" t="s">
        <v>484</v>
      </c>
      <c r="F7" s="61">
        <f>+ROUND(F6*B7,2)</f>
        <v>69973302.489999995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36</v>
      </c>
      <c r="B11" s="14" t="str">
        <f>+VLOOKUP($A11,INS!$A$2:$F$164,3,FALSE)</f>
        <v>Platina metalica anclaje HR 3/4" 0.2*0.2</v>
      </c>
      <c r="C11" s="15" t="str">
        <f>+VLOOKUP($A11,INS!$A$2:$F$164,4,FALSE)</f>
        <v>Und</v>
      </c>
      <c r="D11" s="163">
        <v>1</v>
      </c>
      <c r="E11" s="16">
        <f>+VLOOKUP($A11,INS!$A$2:$F$164,6,FALSE)</f>
        <v>79000</v>
      </c>
      <c r="F11" s="16">
        <f>+ROUND($E11*$D11,2)</f>
        <v>79000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79000</v>
      </c>
      <c r="H12" s="33">
        <f>+F12</f>
        <v>79000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+VLOOKUP($A14,INS!$A$2:$F$164,3,FALSE)</f>
        <v>Cuadrilla 1:2 (1Of+2 Ay)</v>
      </c>
      <c r="C14" s="15" t="str">
        <f>+VLOOKUP($A14,INS!$A$2:$F$164,4,FALSE)</f>
        <v>JOR</v>
      </c>
      <c r="D14" s="163">
        <v>8.9189155942537184</v>
      </c>
      <c r="E14" s="16">
        <f>+VLOOKUP($A14,INS!$A$2:$F$164,6,FALSE)</f>
        <v>281435</v>
      </c>
      <c r="F14" s="16">
        <f>+ROUND($E14/$D14,2)</f>
        <v>31554.85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31554.85</v>
      </c>
      <c r="H15" s="33">
        <f>+F15</f>
        <v>31554.85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165">
        <v>0.05</v>
      </c>
      <c r="E17" s="44">
        <f>+$F$15</f>
        <v>31554.85</v>
      </c>
      <c r="F17" s="16">
        <f>+ROUND($E17*$D17,2)</f>
        <v>1577.74</v>
      </c>
    </row>
    <row r="18" spans="1:8" x14ac:dyDescent="0.25">
      <c r="A18" s="6" t="s">
        <v>259</v>
      </c>
      <c r="B18" s="9" t="str">
        <f>+VLOOKUP($A18,INS!$A$2:$F$164,3,FALSE)</f>
        <v>Andamio Colgante</v>
      </c>
      <c r="C18" s="6" t="str">
        <f>+VLOOKUP($A18,INS!$A$2:$F$164,4,FALSE)</f>
        <v>DIA</v>
      </c>
      <c r="D18" s="114">
        <v>10</v>
      </c>
      <c r="E18" s="7">
        <f>+VLOOKUP($A18,INS!$A$2:$F$164,6,FALSE)</f>
        <v>23900</v>
      </c>
      <c r="F18" s="7">
        <f>+ROUND($E18/$D18,2)</f>
        <v>2390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+SUM(F17:F18)</f>
        <v>3967.74</v>
      </c>
      <c r="H19" s="33">
        <f>+F19</f>
        <v>3967.74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4.05 Suministro e instalación platinas metálicas en lamina HR E=3/4" 200x200mm</v>
      </c>
      <c r="B21" s="403"/>
      <c r="C21" s="403"/>
      <c r="D21" s="403"/>
      <c r="E21" s="403"/>
      <c r="F21" s="62">
        <f>+SUM(H11:H19)</f>
        <v>114522.59000000001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Hoja44"/>
  <dimension ref="A1:H25"/>
  <sheetViews>
    <sheetView view="pageBreakPreview" zoomScaleNormal="100" zoomScaleSheetLayoutView="100" workbookViewId="0">
      <selection activeCell="G8" sqref="G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ht="24" customHeight="1" x14ac:dyDescent="0.25">
      <c r="A5" s="57" t="s">
        <v>479</v>
      </c>
      <c r="B5" s="376" t="str">
        <f>+VLOOKUP(F5,PPTO!$A$9:$F$52,2,FALSE)</f>
        <v>Suministro e instalación de Cuñas de 5/8"</v>
      </c>
      <c r="C5" s="376"/>
      <c r="D5" s="376"/>
      <c r="E5" s="10" t="s">
        <v>480</v>
      </c>
      <c r="F5" s="63" t="s">
        <v>346</v>
      </c>
    </row>
    <row r="6" spans="1:8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+F21</f>
        <v>136294.84</v>
      </c>
    </row>
    <row r="7" spans="1:8" x14ac:dyDescent="0.25">
      <c r="A7" s="59" t="s">
        <v>483</v>
      </c>
      <c r="B7" s="407">
        <f>+VLOOKUP(F5,PPTO!$A$9:$F$52,4,FALSE)</f>
        <v>1833</v>
      </c>
      <c r="C7" s="407"/>
      <c r="D7" s="407"/>
      <c r="E7" s="60" t="s">
        <v>484</v>
      </c>
      <c r="F7" s="61">
        <f>+ROUND(F6*B7,2)</f>
        <v>249828441.72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25.5" customHeight="1" x14ac:dyDescent="0.25">
      <c r="A11" s="15" t="s">
        <v>155</v>
      </c>
      <c r="B11" s="14" t="str">
        <f>+VLOOKUP($A11,INS!$A$2:$F$164,3,FALSE)</f>
        <v>Popora de 3 agujeros conicos para cuña de 5/8"</v>
      </c>
      <c r="C11" s="15" t="str">
        <f>+VLOOKUP($A11,INS!$A$2:$F$164,4,FALSE)</f>
        <v>Und</v>
      </c>
      <c r="D11" s="37">
        <v>1</v>
      </c>
      <c r="E11" s="16">
        <f>+VLOOKUP($A11,INS!$A$2:$F$164,6,FALSE)</f>
        <v>115000</v>
      </c>
      <c r="F11" s="16">
        <f>+ROUND($E11*$D11,2)</f>
        <v>115000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115000</v>
      </c>
      <c r="H12" s="33">
        <f>+F12</f>
        <v>115000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+VLOOKUP($A14,INS!$A$2:$F$164,3,FALSE)</f>
        <v>Cuadrilla 1:2 (1Of+2 Ay)</v>
      </c>
      <c r="C14" s="15" t="str">
        <f>+VLOOKUP($A14,INS!$A$2:$F$164,4,FALSE)</f>
        <v>JOR</v>
      </c>
      <c r="D14" s="37">
        <v>6.6669999999999993E-2</v>
      </c>
      <c r="E14" s="16">
        <f>+VLOOKUP($A14,INS!$A$2:$F$164,6,FALSE)</f>
        <v>281435</v>
      </c>
      <c r="F14" s="16">
        <f>+ROUND($E14*$D14,2)</f>
        <v>18763.27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18763.27</v>
      </c>
      <c r="H15" s="33">
        <f>+F15</f>
        <v>18763.27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39">
        <v>5</v>
      </c>
      <c r="E17" s="44">
        <f>+$F$15</f>
        <v>18763.27</v>
      </c>
      <c r="F17" s="16">
        <f>+ROUND($E17*$D17/100,2)</f>
        <v>938.16</v>
      </c>
    </row>
    <row r="18" spans="1:8" x14ac:dyDescent="0.25">
      <c r="A18" s="6" t="s">
        <v>259</v>
      </c>
      <c r="B18" s="9" t="str">
        <f>+VLOOKUP($A18,INS!$A$2:$F$164,3,FALSE)</f>
        <v>Andamio Colgante</v>
      </c>
      <c r="C18" s="6" t="str">
        <f>+VLOOKUP($A18,INS!$A$2:$F$164,4,FALSE)</f>
        <v>DIA</v>
      </c>
      <c r="D18" s="34">
        <v>6.6669999999999993E-2</v>
      </c>
      <c r="E18" s="7">
        <f>+VLOOKUP($A18,INS!$A$2:$F$164,6,FALSE)</f>
        <v>23900</v>
      </c>
      <c r="F18" s="7">
        <f t="shared" ref="F18" si="0">+ROUND($E18*$D18,2)</f>
        <v>1593.41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+SUM(F17:F18)</f>
        <v>2531.5700000000002</v>
      </c>
      <c r="H19" s="33">
        <f>+F19</f>
        <v>2531.5700000000002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4.06 Suministro e instalación de Cuñas de 5/8"</v>
      </c>
      <c r="B21" s="403"/>
      <c r="C21" s="403"/>
      <c r="D21" s="403"/>
      <c r="E21" s="403"/>
      <c r="F21" s="62">
        <f>+SUM(H11:H19)</f>
        <v>136294.84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Hoja45">
    <pageSetUpPr fitToPage="1"/>
  </sheetPr>
  <dimension ref="A1:H25"/>
  <sheetViews>
    <sheetView view="pageBreakPreview" zoomScaleNormal="100" zoomScaleSheetLayoutView="100" workbookViewId="0">
      <selection activeCell="D19" sqref="D1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x14ac:dyDescent="0.25">
      <c r="A5" s="57" t="s">
        <v>479</v>
      </c>
      <c r="B5" s="376" t="str">
        <f>+VLOOKUP(F5,PPTO!$A$9:$F$52,2,FALSE)</f>
        <v>Suministro e instalación de Cuñas de 5/8"</v>
      </c>
      <c r="C5" s="376"/>
      <c r="D5" s="376"/>
      <c r="E5" s="10" t="s">
        <v>480</v>
      </c>
      <c r="F5" s="63" t="s">
        <v>346</v>
      </c>
    </row>
    <row r="6" spans="1:8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+F21</f>
        <v>27794.850000000002</v>
      </c>
    </row>
    <row r="7" spans="1:8" x14ac:dyDescent="0.25">
      <c r="A7" s="59" t="s">
        <v>483</v>
      </c>
      <c r="B7" s="407">
        <f>+VLOOKUP(F5,PPTO!$A$9:$F$52,4,FALSE)</f>
        <v>1833</v>
      </c>
      <c r="C7" s="407"/>
      <c r="D7" s="407"/>
      <c r="E7" s="60" t="s">
        <v>484</v>
      </c>
      <c r="F7" s="61">
        <f>+ROUND(F6*B7,2)</f>
        <v>50947960.049999997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39</v>
      </c>
      <c r="B11" s="14" t="str">
        <f>+VLOOKUP($A11,INS!$A$2:$F$164,3,FALSE)</f>
        <v>Cuña de 5/8"</v>
      </c>
      <c r="C11" s="15" t="str">
        <f>+VLOOKUP($A11,INS!$A$2:$F$164,4,FALSE)</f>
        <v>Und</v>
      </c>
      <c r="D11" s="163">
        <v>1</v>
      </c>
      <c r="E11" s="16">
        <f>+VLOOKUP($A11,INS!$A$2:$F$164,6,FALSE)</f>
        <v>19500</v>
      </c>
      <c r="F11" s="16">
        <f>+ROUND($E11*$D11,2)</f>
        <v>19500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19500</v>
      </c>
      <c r="H12" s="33">
        <f>+F12</f>
        <v>19500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194</v>
      </c>
      <c r="B14" s="14" t="str">
        <f>+VLOOKUP($A14,INS!$A$2:$F$164,3,FALSE)</f>
        <v>Oficial de Obra</v>
      </c>
      <c r="C14" s="15" t="str">
        <f>+VLOOKUP($A14,INS!$A$2:$F$164,4,FALSE)</f>
        <v>JOR</v>
      </c>
      <c r="D14" s="163">
        <v>17.83779870256339</v>
      </c>
      <c r="E14" s="16">
        <f>+VLOOKUP($A14,INS!$A$2:$F$164,6,FALSE)</f>
        <v>120615</v>
      </c>
      <c r="F14" s="16">
        <f>+ROUND($E14/$D14,2)</f>
        <v>6761.76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6761.76</v>
      </c>
      <c r="H15" s="33">
        <f>+F15</f>
        <v>6761.76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165">
        <v>0.05</v>
      </c>
      <c r="E17" s="44">
        <f>+$F$15</f>
        <v>6761.76</v>
      </c>
      <c r="F17" s="16">
        <f>+ROUND($E17*$D17,2)</f>
        <v>338.09</v>
      </c>
    </row>
    <row r="18" spans="1:8" x14ac:dyDescent="0.25">
      <c r="A18" s="6" t="s">
        <v>259</v>
      </c>
      <c r="B18" s="9" t="str">
        <f>+VLOOKUP($A18,INS!$A$2:$F$164,3,FALSE)</f>
        <v>Andamio Colgante</v>
      </c>
      <c r="C18" s="6" t="str">
        <f>+VLOOKUP($A18,INS!$A$2:$F$164,4,FALSE)</f>
        <v>DIA</v>
      </c>
      <c r="D18" s="114">
        <v>20</v>
      </c>
      <c r="E18" s="7">
        <f>+VLOOKUP($A18,INS!$A$2:$F$164,6,FALSE)</f>
        <v>23900</v>
      </c>
      <c r="F18" s="7">
        <f>+ROUND($E18/$D18,2)</f>
        <v>1195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+SUM(F17:F18)</f>
        <v>1533.09</v>
      </c>
      <c r="H19" s="33">
        <f>+F19</f>
        <v>1533.09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4.06 Suministro e instalación de Cuñas de 5/8"</v>
      </c>
      <c r="B21" s="403"/>
      <c r="C21" s="403"/>
      <c r="D21" s="403"/>
      <c r="E21" s="403"/>
      <c r="F21" s="62">
        <f>+SUM(H11:H19)</f>
        <v>27794.850000000002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Hoja47">
    <pageSetUpPr fitToPage="1"/>
  </sheetPr>
  <dimension ref="A1:H25"/>
  <sheetViews>
    <sheetView view="pageBreakPreview" topLeftCell="A3" zoomScaleNormal="100" zoomScaleSheetLayoutView="100" workbookViewId="0">
      <selection activeCell="D19" sqref="D1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337</v>
      </c>
    </row>
    <row r="5" spans="1:8" ht="24.75" customHeight="1" x14ac:dyDescent="0.25">
      <c r="A5" s="57" t="s">
        <v>479</v>
      </c>
      <c r="B5" s="376" t="str">
        <f>+VLOOKUP(F5,PPTO!$A$9:$F$52,2,FALSE)</f>
        <v>Suministro e instalacion de Popora de 3 agujeros conicos para cuña de 5/8"</v>
      </c>
      <c r="C5" s="376"/>
      <c r="D5" s="376"/>
      <c r="E5" s="10" t="s">
        <v>480</v>
      </c>
      <c r="F5" s="63" t="s">
        <v>348</v>
      </c>
    </row>
    <row r="6" spans="1:8" x14ac:dyDescent="0.25">
      <c r="A6" s="57" t="s">
        <v>481</v>
      </c>
      <c r="B6" s="408" t="str">
        <f>+VLOOKUP(F5,PPTO!$A$9:$F$52,3,FALSE)</f>
        <v>UND</v>
      </c>
      <c r="C6" s="408"/>
      <c r="D6" s="408"/>
      <c r="E6" s="10" t="s">
        <v>482</v>
      </c>
      <c r="F6" s="58">
        <f>+F21</f>
        <v>131589.69</v>
      </c>
    </row>
    <row r="7" spans="1:8" x14ac:dyDescent="0.25">
      <c r="A7" s="59" t="s">
        <v>483</v>
      </c>
      <c r="B7" s="407">
        <f>+VLOOKUP(F5,PPTO!$A$9:$F$52,4,FALSE)</f>
        <v>611</v>
      </c>
      <c r="C7" s="407"/>
      <c r="D7" s="407"/>
      <c r="E7" s="60" t="s">
        <v>484</v>
      </c>
      <c r="F7" s="61">
        <f>+ROUND(F6*B7,2)</f>
        <v>80401300.590000004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27.75" customHeight="1" x14ac:dyDescent="0.25">
      <c r="A11" s="15" t="s">
        <v>155</v>
      </c>
      <c r="B11" s="14" t="str">
        <f>+VLOOKUP($A11,INS!$A$2:$F$164,3,FALSE)</f>
        <v>Popora de 3 agujeros conicos para cuña de 5/8"</v>
      </c>
      <c r="C11" s="15" t="str">
        <f>+VLOOKUP($A11,INS!$A$2:$F$164,4,FALSE)</f>
        <v>Und</v>
      </c>
      <c r="D11" s="163">
        <v>1</v>
      </c>
      <c r="E11" s="16">
        <f>+VLOOKUP($A11,INS!$A$2:$F$164,6,FALSE)</f>
        <v>115000</v>
      </c>
      <c r="F11" s="16">
        <f>+ROUND($E11*$D11,2)</f>
        <v>115000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115000</v>
      </c>
      <c r="H12" s="33">
        <f>+F12</f>
        <v>115000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194</v>
      </c>
      <c r="B14" s="14" t="str">
        <f>+VLOOKUP($A14,INS!$A$2:$F$164,3,FALSE)</f>
        <v>Oficial de Obra</v>
      </c>
      <c r="C14" s="15" t="str">
        <f>+VLOOKUP($A14,INS!$A$2:$F$164,4,FALSE)</f>
        <v>JOR</v>
      </c>
      <c r="D14" s="163">
        <v>8.9189149316345482</v>
      </c>
      <c r="E14" s="16">
        <f>+VLOOKUP($A14,INS!$A$2:$F$164,6,FALSE)</f>
        <v>120615</v>
      </c>
      <c r="F14" s="16">
        <f>+ROUND($E14/$D14,2)</f>
        <v>13523.51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13523.51</v>
      </c>
      <c r="H15" s="33">
        <f>+F15</f>
        <v>13523.51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165">
        <v>0.05</v>
      </c>
      <c r="E17" s="44">
        <f>+$F$15</f>
        <v>13523.51</v>
      </c>
      <c r="F17" s="16">
        <f>+ROUND($E17*$D17,2)</f>
        <v>676.18</v>
      </c>
    </row>
    <row r="18" spans="1:8" x14ac:dyDescent="0.25">
      <c r="A18" s="6" t="s">
        <v>259</v>
      </c>
      <c r="B18" s="9" t="str">
        <f>+VLOOKUP($A18,INS!$A$2:$F$164,3,FALSE)</f>
        <v>Andamio Colgante</v>
      </c>
      <c r="C18" s="6" t="str">
        <f>+VLOOKUP($A18,INS!$A$2:$F$164,4,FALSE)</f>
        <v>DIA</v>
      </c>
      <c r="D18" s="114">
        <v>10</v>
      </c>
      <c r="E18" s="7">
        <f>+VLOOKUP($A18,INS!$A$2:$F$164,6,FALSE)</f>
        <v>23900</v>
      </c>
      <c r="F18" s="7">
        <f>+ROUND($E18/D18,2)</f>
        <v>2390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ROUND(+SUM(F17:F18),2)</f>
        <v>3066.18</v>
      </c>
      <c r="H19" s="33">
        <f>+F19</f>
        <v>3066.18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str">
        <f>+CONCATENATE("COSTO DIRECTRO ITEM ",F5," ",B5)</f>
        <v>COSTO DIRECTRO ITEM 4.07 Suministro e instalacion de Popora de 3 agujeros conicos para cuña de 5/8"</v>
      </c>
      <c r="B21" s="403"/>
      <c r="C21" s="403"/>
      <c r="D21" s="403"/>
      <c r="E21" s="403"/>
      <c r="F21" s="62">
        <f>ROUND(+SUM(H11:H19),2)</f>
        <v>131589.69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Hoja48">
    <pageSetUpPr fitToPage="1"/>
  </sheetPr>
  <dimension ref="A1:H30"/>
  <sheetViews>
    <sheetView view="pageBreakPreview" topLeftCell="A6" zoomScale="115" zoomScaleNormal="100" zoomScaleSheetLayoutView="115" workbookViewId="0">
      <selection activeCell="F23" sqref="F23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ht="27.75" customHeight="1" x14ac:dyDescent="0.25">
      <c r="A5" s="57" t="s">
        <v>479</v>
      </c>
      <c r="B5" s="376" t="str">
        <f>+VLOOKUP(F5,PPTO!$A$9:$F$52,2,FALSE)</f>
        <v>Perforación y construcción de drenes de penetración con tubería P.V.C. ranurada D=2" de 0.00 a 20.00 mts</v>
      </c>
      <c r="C5" s="376"/>
      <c r="D5" s="376"/>
      <c r="E5" s="10" t="s">
        <v>480</v>
      </c>
      <c r="F5" s="63" t="s">
        <v>351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+F26</f>
        <v>375363.19</v>
      </c>
    </row>
    <row r="7" spans="1:8" x14ac:dyDescent="0.25">
      <c r="A7" s="59" t="s">
        <v>483</v>
      </c>
      <c r="B7" s="407">
        <f>+VLOOKUP(F5,PPTO!$A$9:$F$52,4,FALSE)</f>
        <v>4040</v>
      </c>
      <c r="C7" s="407"/>
      <c r="D7" s="407"/>
      <c r="E7" s="60" t="s">
        <v>484</v>
      </c>
      <c r="F7" s="61">
        <f>+ROUND(F6*B7,2)</f>
        <v>1516467287.5999999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80</v>
      </c>
      <c r="B11" s="14" t="str">
        <f>+VLOOKUP($A11,INS!$A$2:$F$164,3,FALSE)</f>
        <v>Geotextil No Tejido - 2500 o Similar</v>
      </c>
      <c r="C11" s="15" t="str">
        <f>+VLOOKUP($A11,INS!$A$2:$F$164,4,FALSE)</f>
        <v>m2</v>
      </c>
      <c r="D11" s="163">
        <v>1</v>
      </c>
      <c r="E11" s="16">
        <f>+VLOOKUP($A11,INS!$A$2:$F$164,6,FALSE)</f>
        <v>7000</v>
      </c>
      <c r="F11" s="16">
        <f>+ROUND($E11*$D11,2)</f>
        <v>7000</v>
      </c>
    </row>
    <row r="12" spans="1:8" x14ac:dyDescent="0.25">
      <c r="A12" s="6" t="s">
        <v>134</v>
      </c>
      <c r="B12" s="9" t="str">
        <f>+VLOOKUP($A12,INS!$A$2:$F$164,3,FALSE)</f>
        <v>Union en PVC Sanitario 2"</v>
      </c>
      <c r="C12" s="6" t="str">
        <f>+VLOOKUP($A12,INS!$A$2:$F$164,4,FALSE)</f>
        <v>Und</v>
      </c>
      <c r="D12" s="114">
        <v>0.17</v>
      </c>
      <c r="E12" s="7">
        <f>+VLOOKUP($A12,INS!$A$2:$F$164,6,FALSE)</f>
        <v>3500</v>
      </c>
      <c r="F12" s="7">
        <f t="shared" ref="F12:F14" si="0">+ROUND($E12*$D12,2)</f>
        <v>595</v>
      </c>
    </row>
    <row r="13" spans="1:8" x14ac:dyDescent="0.25">
      <c r="A13" s="6" t="s">
        <v>160</v>
      </c>
      <c r="B13" s="9" t="str">
        <f>+VLOOKUP($A13,INS!$A$2:$F$164,3,FALSE)</f>
        <v>Tubo Pvc Sanitario 2"</v>
      </c>
      <c r="C13" s="6" t="str">
        <f>+VLOOKUP($A13,INS!$A$2:$F$164,4,FALSE)</f>
        <v>m</v>
      </c>
      <c r="D13" s="114">
        <v>1</v>
      </c>
      <c r="E13" s="7">
        <f>+VLOOKUP($A13,INS!$A$2:$F$164,6,FALSE)</f>
        <v>16572</v>
      </c>
      <c r="F13" s="7">
        <f t="shared" si="0"/>
        <v>16572</v>
      </c>
    </row>
    <row r="14" spans="1:8" x14ac:dyDescent="0.25">
      <c r="A14" s="171" t="s">
        <v>174</v>
      </c>
      <c r="B14" s="9" t="str">
        <f>+VLOOKUP($A14,INS!$A$2:$F$164,3,FALSE)</f>
        <v>Desperdicio materiales</v>
      </c>
      <c r="C14" s="6" t="str">
        <f>+VLOOKUP($A14,INS!$A$2:$F$164,4,FALSE)</f>
        <v>(%)MAT</v>
      </c>
      <c r="D14" s="114">
        <v>0.05</v>
      </c>
      <c r="E14" s="7">
        <f>SUM(F11:F13)</f>
        <v>24167</v>
      </c>
      <c r="F14" s="7">
        <f t="shared" si="0"/>
        <v>1208.3499999999999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ROUND(+SUM(F11:F14),2)</f>
        <v>25375.35</v>
      </c>
      <c r="H15" s="33">
        <f>+F15</f>
        <v>25375.35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198</v>
      </c>
      <c r="B17" s="14" t="str">
        <f>+VLOOKUP($A17,INS!$A$2:$F$164,3,FALSE)</f>
        <v>Cuadrilla 1:3 (1Of+3 Ay)</v>
      </c>
      <c r="C17" s="15" t="str">
        <f>+VLOOKUP($A17,INS!$A$2:$F$164,4,FALSE)</f>
        <v>JOR</v>
      </c>
      <c r="D17" s="163">
        <v>8.0270220743428649</v>
      </c>
      <c r="E17" s="16">
        <f>+VLOOKUP($A17,INS!$A$2:$F$164,6,FALSE)</f>
        <v>361845</v>
      </c>
      <c r="F17" s="16">
        <f>+ROUND($E17/$D17,2)</f>
        <v>45078.36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45078.36</v>
      </c>
      <c r="H18" s="33">
        <f>+F18</f>
        <v>45078.36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38" t="s">
        <v>244</v>
      </c>
      <c r="B20" s="64" t="str">
        <f>+VLOOKUP($A20,INS!$A$2:$F$164,3,FALSE)</f>
        <v>Herramienta menor</v>
      </c>
      <c r="C20" s="38" t="str">
        <f>+VLOOKUP($A20,INS!$A$2:$F$164,4,FALSE)</f>
        <v>(%)MO</v>
      </c>
      <c r="D20" s="165">
        <v>0.05</v>
      </c>
      <c r="E20" s="44">
        <f>+$F$18</f>
        <v>45078.36</v>
      </c>
      <c r="F20" s="16">
        <f>+ROUND($E20*$D20,2)</f>
        <v>2253.92</v>
      </c>
    </row>
    <row r="21" spans="1:8" x14ac:dyDescent="0.25">
      <c r="A21" s="6" t="s">
        <v>259</v>
      </c>
      <c r="B21" s="9" t="str">
        <f>+VLOOKUP($A21,INS!$A$2:$F$164,3,FALSE)</f>
        <v>Andamio Colgante</v>
      </c>
      <c r="C21" s="6" t="str">
        <f>+VLOOKUP($A21,INS!$A$2:$F$164,4,FALSE)</f>
        <v>DIA</v>
      </c>
      <c r="D21" s="114">
        <v>9</v>
      </c>
      <c r="E21" s="7">
        <f>+VLOOKUP($A21,INS!$A$2:$F$164,6,FALSE)</f>
        <v>23900</v>
      </c>
      <c r="F21" s="7">
        <f>+ROUND($E21/$D21,2)</f>
        <v>2655.56</v>
      </c>
    </row>
    <row r="22" spans="1:8" x14ac:dyDescent="0.25">
      <c r="A22" s="6" t="s">
        <v>508</v>
      </c>
      <c r="B22" s="9" t="str">
        <f>+VLOOKUP($A22,INS!$A$2:$F$164,3,FALSE)</f>
        <v>Broca de Perforación 4"</v>
      </c>
      <c r="C22" s="6" t="str">
        <f>+VLOOKUP($A22,INS!$A$2:$F$164,4,FALSE)</f>
        <v>Und</v>
      </c>
      <c r="D22" s="114">
        <v>300</v>
      </c>
      <c r="E22" s="7">
        <f>+VLOOKUP($A22,INS!$A$2:$F$164,6,FALSE)</f>
        <v>2000000</v>
      </c>
      <c r="F22" s="7">
        <f t="shared" ref="F22:F23" si="1">+ROUND($E22/$D22,2)</f>
        <v>6666.67</v>
      </c>
    </row>
    <row r="23" spans="1:8" ht="25.5" x14ac:dyDescent="0.25">
      <c r="A23" s="6" t="s">
        <v>261</v>
      </c>
      <c r="B23" s="9" t="str">
        <f>+VLOOKUP($A23,INS!$A$2:$F$164,3,FALSE)</f>
        <v>Compresor 375CFM con Martillo de Perforacion</v>
      </c>
      <c r="C23" s="6" t="str">
        <f>+VLOOKUP($A23,INS!$A$2:$F$164,4,FALSE)</f>
        <v>HORA</v>
      </c>
      <c r="D23" s="114">
        <v>1.1250000208271622</v>
      </c>
      <c r="E23" s="7">
        <f>+VLOOKUP($A23,INS!$A$2:$F$164,6,FALSE)</f>
        <v>330000</v>
      </c>
      <c r="F23" s="7">
        <f t="shared" si="1"/>
        <v>293333.33</v>
      </c>
    </row>
    <row r="24" spans="1:8" s="5" customFormat="1" x14ac:dyDescent="0.25">
      <c r="A24" s="40"/>
      <c r="B24" s="54"/>
      <c r="C24" s="41"/>
      <c r="D24" s="45"/>
      <c r="E24" s="35" t="s">
        <v>305</v>
      </c>
      <c r="F24" s="25">
        <f>ROUND(+SUM(F20:F23),2)</f>
        <v>304909.48</v>
      </c>
      <c r="H24" s="33">
        <f>+F24</f>
        <v>304909.48</v>
      </c>
    </row>
    <row r="25" spans="1:8" ht="9" customHeight="1" x14ac:dyDescent="0.25">
      <c r="A25" s="28"/>
      <c r="B25" s="51"/>
      <c r="C25" s="30"/>
      <c r="D25" s="65"/>
      <c r="E25" s="66"/>
      <c r="F25" s="42"/>
    </row>
    <row r="26" spans="1:8" s="5" customFormat="1" ht="26.25" customHeight="1" x14ac:dyDescent="0.25">
      <c r="A26" s="403" t="str">
        <f>+CONCATENATE("COSTO DIRECTRO ITEM ",F5," ",B5)</f>
        <v>COSTO DIRECTRO ITEM 5.01 Perforación y construcción de drenes de penetración con tubería P.V.C. ranurada D=2" de 0.00 a 20.00 mts</v>
      </c>
      <c r="B26" s="403"/>
      <c r="C26" s="403"/>
      <c r="D26" s="403"/>
      <c r="E26" s="403"/>
      <c r="F26" s="62">
        <f>ROUND(+SUM(H11:H24),2)</f>
        <v>375363.19</v>
      </c>
    </row>
    <row r="28" spans="1:8" x14ac:dyDescent="0.25">
      <c r="F28" s="2"/>
    </row>
    <row r="30" spans="1:8" x14ac:dyDescent="0.25">
      <c r="F30" s="32"/>
    </row>
  </sheetData>
  <mergeCells count="8">
    <mergeCell ref="B7:D7"/>
    <mergeCell ref="A26:E26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Hoja49">
    <pageSetUpPr fitToPage="1"/>
  </sheetPr>
  <dimension ref="A1:H30"/>
  <sheetViews>
    <sheetView view="pageBreakPreview" topLeftCell="A5" zoomScaleNormal="100" zoomScaleSheetLayoutView="100" workbookViewId="0">
      <selection activeCell="D24" sqref="D2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3.42578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ht="27.75" customHeight="1" x14ac:dyDescent="0.25">
      <c r="A5" s="57" t="s">
        <v>479</v>
      </c>
      <c r="B5" s="376" t="str">
        <f>+VLOOKUP(F5,PPTO!$A$9:$F$52,2,FALSE)</f>
        <v>Perforación y construcción de drenes de penetración con tubería P.V.C. ranurada D=2" mayor a 20.00 mts</v>
      </c>
      <c r="C5" s="376"/>
      <c r="D5" s="376"/>
      <c r="E5" s="10" t="s">
        <v>480</v>
      </c>
      <c r="F5" s="63" t="s">
        <v>352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+F26</f>
        <v>418278.33</v>
      </c>
    </row>
    <row r="7" spans="1:8" x14ac:dyDescent="0.25">
      <c r="A7" s="59" t="s">
        <v>483</v>
      </c>
      <c r="B7" s="407">
        <f>+VLOOKUP(F5,PPTO!$A$9:$F$52,4,FALSE)</f>
        <v>1010</v>
      </c>
      <c r="C7" s="407"/>
      <c r="D7" s="407"/>
      <c r="E7" s="60" t="s">
        <v>484</v>
      </c>
      <c r="F7" s="61">
        <f>+ROUND(F6*B7,2)</f>
        <v>422461113.30000001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80</v>
      </c>
      <c r="B11" s="14" t="str">
        <f>+VLOOKUP($A11,INS!$A$2:$F$164,3,FALSE)</f>
        <v>Geotextil No Tejido - 2500 o Similar</v>
      </c>
      <c r="C11" s="15" t="str">
        <f>+VLOOKUP($A11,INS!$A$2:$F$164,4,FALSE)</f>
        <v>m2</v>
      </c>
      <c r="D11" s="163">
        <v>1</v>
      </c>
      <c r="E11" s="16">
        <f>+VLOOKUP($A11,INS!$A$2:$F$164,6,FALSE)</f>
        <v>7000</v>
      </c>
      <c r="F11" s="16">
        <f>+ROUND($E11*$D11,2)</f>
        <v>7000</v>
      </c>
    </row>
    <row r="12" spans="1:8" x14ac:dyDescent="0.25">
      <c r="A12" s="6" t="s">
        <v>134</v>
      </c>
      <c r="B12" s="9" t="str">
        <f>+VLOOKUP($A12,INS!$A$2:$F$164,3,FALSE)</f>
        <v>Union en PVC Sanitario 2"</v>
      </c>
      <c r="C12" s="6" t="str">
        <f>+VLOOKUP($A12,INS!$A$2:$F$164,4,FALSE)</f>
        <v>Und</v>
      </c>
      <c r="D12" s="114">
        <v>0.17</v>
      </c>
      <c r="E12" s="7">
        <f>+VLOOKUP($A12,INS!$A$2:$F$164,6,FALSE)</f>
        <v>3500</v>
      </c>
      <c r="F12" s="7">
        <f t="shared" ref="F12:F14" si="0">+ROUND($E12*$D12,2)</f>
        <v>595</v>
      </c>
    </row>
    <row r="13" spans="1:8" x14ac:dyDescent="0.25">
      <c r="A13" s="6" t="s">
        <v>160</v>
      </c>
      <c r="B13" s="9" t="str">
        <f>+VLOOKUP($A13,INS!$A$2:$F$164,3,FALSE)</f>
        <v>Tubo Pvc Sanitario 2"</v>
      </c>
      <c r="C13" s="6" t="str">
        <f>+VLOOKUP($A13,INS!$A$2:$F$164,4,FALSE)</f>
        <v>m</v>
      </c>
      <c r="D13" s="114">
        <v>1</v>
      </c>
      <c r="E13" s="7">
        <f>+VLOOKUP($A13,INS!$A$2:$F$164,6,FALSE)</f>
        <v>16572</v>
      </c>
      <c r="F13" s="7">
        <f t="shared" si="0"/>
        <v>16572</v>
      </c>
    </row>
    <row r="14" spans="1:8" x14ac:dyDescent="0.25">
      <c r="A14" s="171" t="s">
        <v>174</v>
      </c>
      <c r="B14" s="9" t="str">
        <f>+VLOOKUP($A14,INS!$A$2:$F$164,3,FALSE)</f>
        <v>Desperdicio materiales</v>
      </c>
      <c r="C14" s="6" t="str">
        <f>+VLOOKUP($A14,INS!$A$2:$F$164,4,FALSE)</f>
        <v>(%)MAT</v>
      </c>
      <c r="D14" s="114">
        <v>0.05</v>
      </c>
      <c r="E14" s="7">
        <f>SUM(F11:F13)</f>
        <v>24167</v>
      </c>
      <c r="F14" s="7">
        <f t="shared" si="0"/>
        <v>1208.3499999999999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ROUND(+SUM(F11:F14),2)</f>
        <v>25375.35</v>
      </c>
      <c r="H15" s="33">
        <f>+F15</f>
        <v>25375.35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198</v>
      </c>
      <c r="B17" s="14" t="str">
        <f>+VLOOKUP($A17,INS!$A$2:$F$164,3,FALSE)</f>
        <v>Cuadrilla 1:3 (1Of+3 Ay)</v>
      </c>
      <c r="C17" s="15" t="str">
        <f>+VLOOKUP($A17,INS!$A$2:$F$164,4,FALSE)</f>
        <v>JOR</v>
      </c>
      <c r="D17" s="163">
        <v>7.1351310826313386</v>
      </c>
      <c r="E17" s="16">
        <f>+VLOOKUP($A17,INS!$A$2:$F$164,6,FALSE)</f>
        <v>361845</v>
      </c>
      <c r="F17" s="16">
        <f>+ROUND($E17/$D17,2)</f>
        <v>50713.15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50713.15</v>
      </c>
      <c r="H18" s="33">
        <f>+F18</f>
        <v>50713.15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38" t="s">
        <v>244</v>
      </c>
      <c r="B20" s="64" t="str">
        <f>+VLOOKUP($A20,INS!$A$2:$F$164,3,FALSE)</f>
        <v>Herramienta menor</v>
      </c>
      <c r="C20" s="38" t="str">
        <f>+VLOOKUP($A20,INS!$A$2:$F$164,4,FALSE)</f>
        <v>(%)MO</v>
      </c>
      <c r="D20" s="165">
        <v>0.05</v>
      </c>
      <c r="E20" s="44">
        <f>+$F$18</f>
        <v>50713.15</v>
      </c>
      <c r="F20" s="16">
        <f>+ROUND($E20*$D20,2)</f>
        <v>2535.66</v>
      </c>
    </row>
    <row r="21" spans="1:8" x14ac:dyDescent="0.25">
      <c r="A21" s="6" t="s">
        <v>259</v>
      </c>
      <c r="B21" s="9" t="str">
        <f>+VLOOKUP($A21,INS!$A$2:$F$164,3,FALSE)</f>
        <v>Andamio Colgante</v>
      </c>
      <c r="C21" s="6" t="str">
        <f>+VLOOKUP($A21,INS!$A$2:$F$164,4,FALSE)</f>
        <v>DIA</v>
      </c>
      <c r="D21" s="114">
        <v>8</v>
      </c>
      <c r="E21" s="7">
        <f>+VLOOKUP($A21,INS!$A$2:$F$164,6,FALSE)</f>
        <v>23900</v>
      </c>
      <c r="F21" s="7">
        <f>+ROUND($E21/$D21,2)</f>
        <v>2987.5</v>
      </c>
    </row>
    <row r="22" spans="1:8" x14ac:dyDescent="0.25">
      <c r="A22" s="6" t="s">
        <v>508</v>
      </c>
      <c r="B22" s="9" t="str">
        <f>+VLOOKUP($A22,INS!$A$2:$F$164,3,FALSE)</f>
        <v>Broca de Perforación 4"</v>
      </c>
      <c r="C22" s="6" t="str">
        <f>+VLOOKUP($A22,INS!$A$2:$F$164,4,FALSE)</f>
        <v>Und</v>
      </c>
      <c r="D22" s="114">
        <v>300</v>
      </c>
      <c r="E22" s="7">
        <f>+VLOOKUP($A22,INS!$A$2:$F$164,6,FALSE)</f>
        <v>2000000</v>
      </c>
      <c r="F22" s="7">
        <f>+ROUND($E22/$D22,2)</f>
        <v>6666.67</v>
      </c>
    </row>
    <row r="23" spans="1:8" ht="25.5" x14ac:dyDescent="0.25">
      <c r="A23" s="6" t="s">
        <v>261</v>
      </c>
      <c r="B23" s="9" t="str">
        <f>+VLOOKUP($A23,INS!$A$2:$F$164,3,FALSE)</f>
        <v>Compresor 375CFM con Martillo de Perforacion</v>
      </c>
      <c r="C23" s="6" t="str">
        <f>+VLOOKUP($A23,INS!$A$2:$F$164,4,FALSE)</f>
        <v>HORA</v>
      </c>
      <c r="D23" s="114">
        <v>1</v>
      </c>
      <c r="E23" s="7">
        <f>+VLOOKUP($A23,INS!$A$2:$F$164,6,FALSE)</f>
        <v>330000</v>
      </c>
      <c r="F23" s="7">
        <f>+ROUND($E23/$D23,2)</f>
        <v>330000</v>
      </c>
    </row>
    <row r="24" spans="1:8" s="5" customFormat="1" x14ac:dyDescent="0.25">
      <c r="A24" s="40"/>
      <c r="B24" s="54"/>
      <c r="C24" s="41"/>
      <c r="D24" s="45"/>
      <c r="E24" s="35" t="s">
        <v>305</v>
      </c>
      <c r="F24" s="25">
        <f>+SUM(F20:F23)</f>
        <v>342189.83</v>
      </c>
      <c r="H24" s="33">
        <f>+F24</f>
        <v>342189.83</v>
      </c>
    </row>
    <row r="25" spans="1:8" ht="9" customHeight="1" x14ac:dyDescent="0.25">
      <c r="A25" s="28"/>
      <c r="B25" s="51"/>
      <c r="C25" s="30"/>
      <c r="D25" s="65"/>
      <c r="E25" s="66"/>
      <c r="F25" s="42"/>
    </row>
    <row r="26" spans="1:8" s="5" customFormat="1" ht="26.25" customHeight="1" x14ac:dyDescent="0.25">
      <c r="A26" s="403" t="str">
        <f>+CONCATENATE("COSTO DIRECTRO ITEM ",F5," ",B5)</f>
        <v>COSTO DIRECTRO ITEM 5.02 Perforación y construcción de drenes de penetración con tubería P.V.C. ranurada D=2" mayor a 20.00 mts</v>
      </c>
      <c r="B26" s="403"/>
      <c r="C26" s="403"/>
      <c r="D26" s="403"/>
      <c r="E26" s="403"/>
      <c r="F26" s="62">
        <f>+SUM(H11:H24)</f>
        <v>418278.33</v>
      </c>
    </row>
    <row r="28" spans="1:8" x14ac:dyDescent="0.25">
      <c r="F28" s="2"/>
    </row>
    <row r="30" spans="1:8" x14ac:dyDescent="0.25">
      <c r="F30" s="32"/>
    </row>
  </sheetData>
  <mergeCells count="8">
    <mergeCell ref="A26:E26"/>
    <mergeCell ref="B7:D7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Hoja50">
    <pageSetUpPr fitToPage="1"/>
  </sheetPr>
  <dimension ref="A1:H24"/>
  <sheetViews>
    <sheetView view="pageBreakPreview" topLeftCell="A3" zoomScaleNormal="100" zoomScaleSheetLayoutView="100" workbookViewId="0">
      <selection activeCell="D16" sqref="D1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ht="27.75" customHeight="1" x14ac:dyDescent="0.25">
      <c r="A5" s="57" t="s">
        <v>479</v>
      </c>
      <c r="B5" s="376" t="str">
        <f>+VLOOKUP(F5,PPTO!$A$9:$F$52,2,FALSE)</f>
        <v>Encamisado en perforaciones horizontales para anclajes y drenes de penetración horizontal</v>
      </c>
      <c r="C5" s="376"/>
      <c r="D5" s="376"/>
      <c r="E5" s="10" t="s">
        <v>480</v>
      </c>
      <c r="F5" s="63" t="s">
        <v>353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+F20</f>
        <v>194356.46</v>
      </c>
    </row>
    <row r="7" spans="1:8" x14ac:dyDescent="0.25">
      <c r="A7" s="59" t="s">
        <v>483</v>
      </c>
      <c r="B7" s="407">
        <f>+VLOOKUP(F5,PPTO!$A$9:$F$52,4,FALSE)</f>
        <v>21760</v>
      </c>
      <c r="C7" s="407"/>
      <c r="D7" s="407"/>
      <c r="E7" s="60" t="s">
        <v>484</v>
      </c>
      <c r="F7" s="61">
        <f>+ROUND(F6*B7,2)</f>
        <v>4229196569.5999999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198</v>
      </c>
      <c r="B11" s="14" t="str">
        <f>+VLOOKUP($A11,INS!$A$2:$F$164,3,FALSE)</f>
        <v>Cuadrilla 1:3 (1Of+3 Ay)</v>
      </c>
      <c r="C11" s="15" t="str">
        <f>+VLOOKUP($A11,INS!$A$2:$F$164,4,FALSE)</f>
        <v>JOR</v>
      </c>
      <c r="D11" s="114">
        <v>12.486483141063504</v>
      </c>
      <c r="E11" s="16">
        <f>+VLOOKUP($A11,INS!$A$2:$F$164,6,FALSE)</f>
        <v>361845</v>
      </c>
      <c r="F11" s="16">
        <f>+ROUND($E11/$D11,2)</f>
        <v>28978.94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ROUND(+SUM(F11:F11),2)</f>
        <v>28978.94</v>
      </c>
      <c r="H12" s="33">
        <f>+F12</f>
        <v>28978.94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72">
        <v>0.05</v>
      </c>
      <c r="E14" s="44">
        <f>+$F$12</f>
        <v>28978.94</v>
      </c>
      <c r="F14" s="16">
        <f>+ROUND($E14*$D14,2)</f>
        <v>1448.95</v>
      </c>
    </row>
    <row r="15" spans="1:8" x14ac:dyDescent="0.25">
      <c r="A15" s="6" t="s">
        <v>510</v>
      </c>
      <c r="B15" s="9" t="str">
        <f>+VLOOKUP($A15,INS!$A$2:$F$164,3,FALSE)</f>
        <v>Tubería de Revenstimiento Diam = 70-114mm</v>
      </c>
      <c r="C15" s="6" t="str">
        <f>+VLOOKUP($A15,INS!$A$2:$F$164,4,FALSE)</f>
        <v>DIA</v>
      </c>
      <c r="D15" s="6">
        <v>14</v>
      </c>
      <c r="E15" s="7">
        <f>+VLOOKUP($A15,INS!$A$2:$F$164,6,FALSE)</f>
        <v>740000</v>
      </c>
      <c r="F15" s="7">
        <f>+ROUND($E15/$D15,2)</f>
        <v>52857.14</v>
      </c>
    </row>
    <row r="16" spans="1:8" x14ac:dyDescent="0.25">
      <c r="A16" s="6" t="s">
        <v>511</v>
      </c>
      <c r="B16" s="9" t="str">
        <f>+VLOOKUP($A16,INS!$A$2:$F$164,3,FALSE)</f>
        <v>Trasegador Interno Diam = 70-114mm</v>
      </c>
      <c r="C16" s="6" t="str">
        <f>+VLOOKUP($A16,INS!$A$2:$F$164,4,FALSE)</f>
        <v>DIA</v>
      </c>
      <c r="D16" s="6">
        <f>+D15</f>
        <v>14</v>
      </c>
      <c r="E16" s="7">
        <f>+VLOOKUP($A16,INS!$A$2:$F$164,6,FALSE)</f>
        <v>710000</v>
      </c>
      <c r="F16" s="7">
        <f t="shared" ref="F16:F17" si="0">+ROUND($E16/$D16,2)</f>
        <v>50714.29</v>
      </c>
    </row>
    <row r="17" spans="1:8" x14ac:dyDescent="0.25">
      <c r="A17" s="6" t="s">
        <v>512</v>
      </c>
      <c r="B17" s="9" t="str">
        <f>+VLOOKUP($A17,INS!$A$2:$F$164,3,FALSE)</f>
        <v>Trasegador Externo Diam = 70-114mm</v>
      </c>
      <c r="C17" s="6" t="str">
        <f>+VLOOKUP($A17,INS!$A$2:$F$164,4,FALSE)</f>
        <v>DIA</v>
      </c>
      <c r="D17" s="6">
        <f>+D15</f>
        <v>14</v>
      </c>
      <c r="E17" s="7">
        <f>+VLOOKUP($A17,INS!$A$2:$F$164,6,FALSE)</f>
        <v>845000</v>
      </c>
      <c r="F17" s="7">
        <f t="shared" si="0"/>
        <v>60357.14</v>
      </c>
    </row>
    <row r="18" spans="1:8" s="5" customFormat="1" x14ac:dyDescent="0.25">
      <c r="A18" s="40"/>
      <c r="B18" s="54"/>
      <c r="C18" s="41"/>
      <c r="D18" s="45"/>
      <c r="E18" s="35" t="s">
        <v>305</v>
      </c>
      <c r="F18" s="25">
        <f>ROUND(+SUM(F14:F17),2)</f>
        <v>165377.51999999999</v>
      </c>
      <c r="H18" s="33">
        <f>+F18</f>
        <v>165377.51999999999</v>
      </c>
    </row>
    <row r="19" spans="1:8" ht="9" customHeight="1" x14ac:dyDescent="0.25">
      <c r="A19" s="28"/>
      <c r="B19" s="51"/>
      <c r="C19" s="30"/>
      <c r="D19" s="65"/>
      <c r="E19" s="66"/>
      <c r="F19" s="42"/>
    </row>
    <row r="20" spans="1:8" s="5" customFormat="1" ht="26.25" customHeight="1" x14ac:dyDescent="0.25">
      <c r="A20" s="403" t="str">
        <f>+CONCATENATE("COSTO DIRECTRO ITEM ",F5," ",B5)</f>
        <v>COSTO DIRECTRO ITEM 5.03 Encamisado en perforaciones horizontales para anclajes y drenes de penetración horizontal</v>
      </c>
      <c r="B20" s="403"/>
      <c r="C20" s="403"/>
      <c r="D20" s="403"/>
      <c r="E20" s="403"/>
      <c r="F20" s="62">
        <f>+SUM(H10:H18)</f>
        <v>194356.46</v>
      </c>
    </row>
    <row r="22" spans="1:8" x14ac:dyDescent="0.25">
      <c r="F22" s="2"/>
    </row>
    <row r="24" spans="1:8" x14ac:dyDescent="0.25">
      <c r="F24" s="32"/>
    </row>
  </sheetData>
  <mergeCells count="8">
    <mergeCell ref="A20:E20"/>
    <mergeCell ref="B7:D7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Hoja51"/>
  <dimension ref="A1:H29"/>
  <sheetViews>
    <sheetView view="pageBreakPreview" zoomScaleNormal="100" zoomScaleSheetLayoutView="100" workbookViewId="0">
      <selection activeCell="B5" sqref="B5:D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67" t="s">
        <v>350</v>
      </c>
    </row>
    <row r="5" spans="1: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355</v>
      </c>
    </row>
    <row r="6" spans="1: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+F25</f>
        <v>505413.11000000004</v>
      </c>
    </row>
    <row r="7" spans="1: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174</v>
      </c>
      <c r="B11" s="14" t="str">
        <f>+VLOOKUP($A11,INS!$A$2:$F$164,3,FALSE)</f>
        <v>Desperdicio materiales</v>
      </c>
      <c r="C11" s="15" t="str">
        <f>+VLOOKUP($A11,INS!$A$2:$F$164,4,FALSE)</f>
        <v>(%)MAT</v>
      </c>
      <c r="D11" s="37">
        <v>1.05</v>
      </c>
      <c r="E11" s="16">
        <f>+VLOOKUP($A11,INS!$A$2:$F$164,6,FALSE)</f>
        <v>0</v>
      </c>
      <c r="F11" s="16">
        <f>+ROUND($E11*$D11,2)</f>
        <v>0</v>
      </c>
    </row>
    <row r="12" spans="1:6" x14ac:dyDescent="0.25">
      <c r="A12" s="15" t="s">
        <v>620</v>
      </c>
      <c r="B12" s="14" t="str">
        <f>+VLOOKUP($A12,INS!$A$2:$F$164,3,FALSE)</f>
        <v>Tubo Pvc Sanitario 3"</v>
      </c>
      <c r="C12" s="15" t="str">
        <f>+VLOOKUP($A12,INS!$A$2:$F$164,4,FALSE)</f>
        <v>m</v>
      </c>
      <c r="D12" s="37">
        <v>1.05</v>
      </c>
      <c r="E12" s="16">
        <f>+VLOOKUP($A12,INS!$A$2:$F$164,6,FALSE)</f>
        <v>18290</v>
      </c>
      <c r="F12" s="16">
        <f t="shared" ref="F12:F16" si="0">+ROUND($E12*$D12,2)</f>
        <v>19204.5</v>
      </c>
    </row>
    <row r="13" spans="1:6" x14ac:dyDescent="0.25">
      <c r="A13" s="15" t="s">
        <v>160</v>
      </c>
      <c r="B13" s="14" t="str">
        <f>+VLOOKUP($A13,INS!$A$2:$F$164,3,FALSE)</f>
        <v>Tubo Pvc Sanitario 2"</v>
      </c>
      <c r="C13" s="15" t="str">
        <f>+VLOOKUP($A13,INS!$A$2:$F$164,4,FALSE)</f>
        <v>m</v>
      </c>
      <c r="D13" s="37">
        <v>1.05</v>
      </c>
      <c r="E13" s="16">
        <f>+VLOOKUP($A13,INS!$A$2:$F$164,6,FALSE)</f>
        <v>16572</v>
      </c>
      <c r="F13" s="16">
        <f t="shared" si="0"/>
        <v>17400.599999999999</v>
      </c>
    </row>
    <row r="14" spans="1:6" x14ac:dyDescent="0.25">
      <c r="A14" s="15" t="s">
        <v>621</v>
      </c>
      <c r="B14" s="14" t="str">
        <f>+VLOOKUP($A14,INS!$A$2:$F$164,3,FALSE)</f>
        <v>Codo 45° Pvc Sanitario 2"</v>
      </c>
      <c r="C14" s="15" t="str">
        <f>+VLOOKUP($A14,INS!$A$2:$F$164,4,FALSE)</f>
        <v>Und</v>
      </c>
      <c r="D14" s="37">
        <v>1.05</v>
      </c>
      <c r="E14" s="16">
        <f>+VLOOKUP($A14,INS!$A$2:$F$164,6,FALSE)</f>
        <v>5810</v>
      </c>
      <c r="F14" s="16">
        <f t="shared" si="0"/>
        <v>6100.5</v>
      </c>
    </row>
    <row r="15" spans="1:6" x14ac:dyDescent="0.25">
      <c r="A15" s="15" t="s">
        <v>622</v>
      </c>
      <c r="B15" s="14" t="str">
        <f>+VLOOKUP($A15,INS!$A$2:$F$164,3,FALSE)</f>
        <v>Yee Reducida Pvc Sanitario 3" x 2"</v>
      </c>
      <c r="C15" s="15" t="str">
        <f>+VLOOKUP($A15,INS!$A$2:$F$164,4,FALSE)</f>
        <v>Und</v>
      </c>
      <c r="D15" s="37">
        <v>1.05</v>
      </c>
      <c r="E15" s="16">
        <f>+VLOOKUP($A15,INS!$A$2:$F$164,6,FALSE)</f>
        <v>8420</v>
      </c>
      <c r="F15" s="16">
        <f t="shared" si="0"/>
        <v>8841</v>
      </c>
    </row>
    <row r="16" spans="1:6" x14ac:dyDescent="0.25">
      <c r="A16" s="15" t="s">
        <v>7</v>
      </c>
      <c r="B16" s="14" t="str">
        <f>+VLOOKUP($A16,INS!$A$2:$F$164,3,FALSE)</f>
        <v>Suministro de Acero de 60000 psi y figurado</v>
      </c>
      <c r="C16" s="15" t="str">
        <f>+VLOOKUP($A16,INS!$A$2:$F$164,4,FALSE)</f>
        <v>Kg</v>
      </c>
      <c r="D16" s="37">
        <v>1.05</v>
      </c>
      <c r="E16" s="16">
        <f>+VLOOKUP($A16,INS!$A$2:$F$164,6,FALSE)</f>
        <v>4740.6499999999996</v>
      </c>
      <c r="F16" s="16">
        <f t="shared" si="0"/>
        <v>4977.68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+SUM(F11:F16)</f>
        <v>56524.28</v>
      </c>
      <c r="H17" s="33">
        <f>+F17</f>
        <v>56524.28</v>
      </c>
    </row>
    <row r="18" spans="1:8" s="5" customFormat="1" x14ac:dyDescent="0.25">
      <c r="A18" s="50" t="s">
        <v>189</v>
      </c>
      <c r="B18" s="52"/>
      <c r="C18" s="18"/>
      <c r="D18" s="18"/>
      <c r="E18" s="18"/>
      <c r="F18" s="24"/>
    </row>
    <row r="19" spans="1:8" x14ac:dyDescent="0.25">
      <c r="A19" s="15" t="s">
        <v>204</v>
      </c>
      <c r="B19" s="14" t="str">
        <f>+VLOOKUP($A19,INS!$A$2:$F$164,3,FALSE)</f>
        <v>Cuadrilla 1:2 (1Of+2 Ay)</v>
      </c>
      <c r="C19" s="15" t="str">
        <f>+VLOOKUP($A19,INS!$A$2:$F$164,4,FALSE)</f>
        <v>JOR</v>
      </c>
      <c r="D19" s="37">
        <v>1.45</v>
      </c>
      <c r="E19" s="16">
        <f>+VLOOKUP($A19,INS!$A$2:$F$164,6,FALSE)</f>
        <v>281435</v>
      </c>
      <c r="F19" s="16">
        <f>+ROUND($E19*$D19,2)</f>
        <v>408080.75</v>
      </c>
    </row>
    <row r="20" spans="1:8" s="5" customFormat="1" x14ac:dyDescent="0.25">
      <c r="A20" s="46"/>
      <c r="B20" s="53"/>
      <c r="C20" s="47"/>
      <c r="D20" s="48"/>
      <c r="E20" s="36" t="s">
        <v>305</v>
      </c>
      <c r="F20" s="25">
        <f>+SUM(F19:F19)</f>
        <v>408080.75</v>
      </c>
      <c r="H20" s="33">
        <f>+F20</f>
        <v>408080.75</v>
      </c>
    </row>
    <row r="21" spans="1:8" s="5" customFormat="1" x14ac:dyDescent="0.25">
      <c r="A21" s="50" t="s">
        <v>486</v>
      </c>
      <c r="B21" s="52"/>
      <c r="C21" s="18"/>
      <c r="D21" s="18"/>
      <c r="E21" s="18"/>
      <c r="F21" s="24"/>
    </row>
    <row r="22" spans="1:8" x14ac:dyDescent="0.25">
      <c r="A22" s="38" t="s">
        <v>244</v>
      </c>
      <c r="B22" s="64" t="str">
        <f>+VLOOKUP($A22,INS!$A$2:$F$164,3,FALSE)</f>
        <v>Herramienta menor</v>
      </c>
      <c r="C22" s="38" t="str">
        <f>+VLOOKUP($A22,INS!$A$2:$F$164,4,FALSE)</f>
        <v>(%)MO</v>
      </c>
      <c r="D22" s="39">
        <v>10</v>
      </c>
      <c r="E22" s="44">
        <f>+$F$20</f>
        <v>408080.75</v>
      </c>
      <c r="F22" s="16">
        <f>+ROUND($E22*$D22/100,2)</f>
        <v>40808.080000000002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+SUM(F22:F22)</f>
        <v>40808.080000000002</v>
      </c>
      <c r="H23" s="33">
        <f>+F23</f>
        <v>40808.080000000002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e">
        <f>+CONCATENATE("COSTO DIRECTRO ITEM ",F5," ",B5)</f>
        <v>#N/A</v>
      </c>
      <c r="B25" s="403"/>
      <c r="C25" s="403"/>
      <c r="D25" s="403"/>
      <c r="E25" s="403"/>
      <c r="F25" s="62">
        <f>+SUM(H11:H23)</f>
        <v>505413.11000000004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Hoja52"/>
  <dimension ref="A1:H24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356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+F20</f>
        <v>1147425.7100000002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181</v>
      </c>
      <c r="B11" s="14" t="str">
        <f>+VLOOKUP($A11,INS!$A$2:$F$164,3,FALSE)</f>
        <v>Válvula antirretorno 12"</v>
      </c>
      <c r="C11" s="15" t="str">
        <f>+VLOOKUP($A11,INS!$A$2:$F$164,4,FALSE)</f>
        <v>Und</v>
      </c>
      <c r="D11" s="37">
        <v>1</v>
      </c>
      <c r="E11" s="16">
        <f>+VLOOKUP($A11,INS!$A$2:$F$164,6,FALSE)</f>
        <v>1000000</v>
      </c>
      <c r="F11" s="16">
        <f>+ROUND($E11*$D11,2)</f>
        <v>1000000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1000000</v>
      </c>
      <c r="H12" s="33">
        <f>+F12</f>
        <v>1000000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202</v>
      </c>
      <c r="B14" s="14" t="str">
        <f>+VLOOKUP($A14,INS!$A$2:$F$164,3,FALSE)</f>
        <v>Cuadrilla 1:1 (1Of+1 Ay)</v>
      </c>
      <c r="C14" s="15" t="str">
        <f>+VLOOKUP($A14,INS!$A$2:$F$164,4,FALSE)</f>
        <v>JOR</v>
      </c>
      <c r="D14" s="37">
        <v>0.66669999999999996</v>
      </c>
      <c r="E14" s="16">
        <f>+VLOOKUP($A14,INS!$A$2:$F$164,6,FALSE)</f>
        <v>201025</v>
      </c>
      <c r="F14" s="16">
        <f>+ROUND($E14*$D14,2)</f>
        <v>134023.37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134023.37</v>
      </c>
      <c r="H15" s="33">
        <f>+F15</f>
        <v>134023.37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39">
        <v>10</v>
      </c>
      <c r="E17" s="44">
        <f>+$F$15</f>
        <v>134023.37</v>
      </c>
      <c r="F17" s="16">
        <f>+ROUND($E17*$D17/100,2)</f>
        <v>13402.34</v>
      </c>
    </row>
    <row r="18" spans="1:8" s="5" customFormat="1" x14ac:dyDescent="0.25">
      <c r="A18" s="40"/>
      <c r="B18" s="54"/>
      <c r="C18" s="41"/>
      <c r="D18" s="45"/>
      <c r="E18" s="35" t="s">
        <v>305</v>
      </c>
      <c r="F18" s="25">
        <f>+SUM(F17:F17)</f>
        <v>13402.34</v>
      </c>
      <c r="H18" s="33">
        <f>+F18</f>
        <v>13402.34</v>
      </c>
    </row>
    <row r="19" spans="1:8" ht="9" customHeight="1" x14ac:dyDescent="0.25">
      <c r="A19" s="28"/>
      <c r="B19" s="51"/>
      <c r="C19" s="30"/>
      <c r="D19" s="65"/>
      <c r="E19" s="66"/>
      <c r="F19" s="42"/>
    </row>
    <row r="20" spans="1:8" s="5" customFormat="1" ht="26.25" customHeight="1" x14ac:dyDescent="0.25">
      <c r="A20" s="403" t="e">
        <f>+CONCATENATE("COSTO DIRECTRO ITEM ",F5," ",B5)</f>
        <v>#N/A</v>
      </c>
      <c r="B20" s="403"/>
      <c r="C20" s="403"/>
      <c r="D20" s="403"/>
      <c r="E20" s="403"/>
      <c r="F20" s="62">
        <f>+SUM(H11:H18)</f>
        <v>1147425.7100000002</v>
      </c>
    </row>
    <row r="22" spans="1:8" x14ac:dyDescent="0.25">
      <c r="F22" s="2"/>
    </row>
    <row r="24" spans="1:8" x14ac:dyDescent="0.25">
      <c r="F24" s="32"/>
    </row>
  </sheetData>
  <mergeCells count="8">
    <mergeCell ref="B7:D7"/>
    <mergeCell ref="A20:E20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Hoja53"/>
  <dimension ref="A1:H27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357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+F23</f>
        <v>857787.75999999989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13</v>
      </c>
      <c r="B11" s="14" t="str">
        <f>+VLOOKUP($A11,INS!$A$2:$F$164,3,FALSE)</f>
        <v>Agua</v>
      </c>
      <c r="C11" s="15" t="str">
        <f>+VLOOKUP($A11,INS!$A$2:$F$164,4,FALSE)</f>
        <v>L</v>
      </c>
      <c r="D11" s="37">
        <v>24</v>
      </c>
      <c r="E11" s="16">
        <f>+VLOOKUP($A11,INS!$A$2:$F$164,6,FALSE)</f>
        <v>50</v>
      </c>
      <c r="F11" s="16">
        <f>+ROUND($E11*$D11,2)</f>
        <v>1200</v>
      </c>
    </row>
    <row r="12" spans="1:8" x14ac:dyDescent="0.25">
      <c r="A12" s="6" t="s">
        <v>42</v>
      </c>
      <c r="B12" s="9" t="str">
        <f>+VLOOKUP($A12,INS!$A$2:$F$164,3,FALSE)</f>
        <v>Cemento gris x 50 Kg</v>
      </c>
      <c r="C12" s="6" t="str">
        <f>+VLOOKUP($A12,INS!$A$2:$F$164,4,FALSE)</f>
        <v>BLT</v>
      </c>
      <c r="D12" s="34">
        <v>1.175</v>
      </c>
      <c r="E12" s="7">
        <f>+VLOOKUP($A12,INS!$A$2:$F$164,6,FALSE)</f>
        <v>32500</v>
      </c>
      <c r="F12" s="7">
        <f t="shared" ref="F12:F14" si="0">+ROUND($E12*$D12,2)</f>
        <v>38187.5</v>
      </c>
    </row>
    <row r="13" spans="1:8" x14ac:dyDescent="0.25">
      <c r="A13" s="6" t="s">
        <v>28</v>
      </c>
      <c r="B13" s="9" t="str">
        <f>+VLOOKUP($A13,INS!$A$2:$F$164,3,FALSE)</f>
        <v>Arena de rio</v>
      </c>
      <c r="C13" s="6" t="str">
        <f>+VLOOKUP($A13,INS!$A$2:$F$164,4,FALSE)</f>
        <v>m3</v>
      </c>
      <c r="D13" s="34">
        <v>0.93799999999999994</v>
      </c>
      <c r="E13" s="7">
        <f>+VLOOKUP($A13,INS!$A$2:$F$164,6,FALSE)</f>
        <v>74106</v>
      </c>
      <c r="F13" s="7">
        <f t="shared" si="0"/>
        <v>69511.429999999993</v>
      </c>
    </row>
    <row r="14" spans="1:8" x14ac:dyDescent="0.25">
      <c r="A14" s="6" t="s">
        <v>183</v>
      </c>
      <c r="B14" s="9" t="str">
        <f>+VLOOKUP($A14,INS!$A$2:$F$164,3,FALSE)</f>
        <v>Tuberia concreto 36"</v>
      </c>
      <c r="C14" s="6" t="str">
        <f>+VLOOKUP($A14,INS!$A$2:$F$164,4,FALSE)</f>
        <v>m</v>
      </c>
      <c r="D14" s="34">
        <v>1</v>
      </c>
      <c r="E14" s="7">
        <f>+VLOOKUP($A14,INS!$A$2:$F$164,6,FALSE)</f>
        <v>300000</v>
      </c>
      <c r="F14" s="7">
        <f t="shared" si="0"/>
        <v>300000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408898.93</v>
      </c>
      <c r="H15" s="33">
        <f>+F15</f>
        <v>408898.93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204</v>
      </c>
      <c r="B17" s="14" t="str">
        <f>+VLOOKUP($A17,INS!$A$2:$F$164,3,FALSE)</f>
        <v>Cuadrilla 1:2 (1Of+2 Ay)</v>
      </c>
      <c r="C17" s="15" t="str">
        <f>+VLOOKUP($A17,INS!$A$2:$F$164,4,FALSE)</f>
        <v>JOR</v>
      </c>
      <c r="D17" s="37">
        <v>1.45</v>
      </c>
      <c r="E17" s="16">
        <f>+VLOOKUP($A17,INS!$A$2:$F$164,6,FALSE)</f>
        <v>281435</v>
      </c>
      <c r="F17" s="16">
        <f>+ROUND($E17*$D17,2)</f>
        <v>408080.75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408080.75</v>
      </c>
      <c r="H18" s="33">
        <f>+F18</f>
        <v>408080.75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38" t="s">
        <v>244</v>
      </c>
      <c r="B20" s="64" t="str">
        <f>+VLOOKUP($A20,INS!$A$2:$F$164,3,FALSE)</f>
        <v>Herramienta menor</v>
      </c>
      <c r="C20" s="38" t="str">
        <f>+VLOOKUP($A20,INS!$A$2:$F$164,4,FALSE)</f>
        <v>(%)MO</v>
      </c>
      <c r="D20" s="39">
        <v>10</v>
      </c>
      <c r="E20" s="44">
        <f>+$F$18</f>
        <v>408080.75</v>
      </c>
      <c r="F20" s="16">
        <f>+ROUND($E20*$D20/100,2)</f>
        <v>40808.080000000002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+SUM(F20:F20)</f>
        <v>40808.080000000002</v>
      </c>
      <c r="H21" s="33">
        <f>+F21</f>
        <v>40808.080000000002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857787.75999999989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Hoja54"/>
  <dimension ref="A1:H24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358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+F20</f>
        <v>367654.82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162</v>
      </c>
      <c r="B11" s="14" t="str">
        <f>+VLOOKUP($A11,INS!$A$2:$F$164,3,FALSE)</f>
        <v>Tubo Pvc Sanitario 4"</v>
      </c>
      <c r="C11" s="15" t="str">
        <f>+VLOOKUP($A11,INS!$A$2:$F$164,4,FALSE)</f>
        <v>m</v>
      </c>
      <c r="D11" s="37">
        <v>1</v>
      </c>
      <c r="E11" s="16">
        <f>+VLOOKUP($A11,INS!$A$2:$F$164,6,FALSE)</f>
        <v>20000</v>
      </c>
      <c r="F11" s="16">
        <f>+ROUND($E11*$D11,2)</f>
        <v>20000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20000</v>
      </c>
      <c r="H12" s="33">
        <f>+F12</f>
        <v>20000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+VLOOKUP($A14,INS!$A$2:$F$164,3,FALSE)</f>
        <v>Cuadrilla 1:2 (1Of+2 Ay)</v>
      </c>
      <c r="C14" s="15" t="str">
        <f>+VLOOKUP($A14,INS!$A$2:$F$164,4,FALSE)</f>
        <v>JOR</v>
      </c>
      <c r="D14" s="37">
        <v>1.1764699999999999</v>
      </c>
      <c r="E14" s="16">
        <f>+VLOOKUP($A14,INS!$A$2:$F$164,6,FALSE)</f>
        <v>281435</v>
      </c>
      <c r="F14" s="16">
        <f>+ROUND($E14*$D14,2)</f>
        <v>331099.83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331099.83</v>
      </c>
      <c r="H15" s="33">
        <f>+F15</f>
        <v>331099.83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39">
        <v>5</v>
      </c>
      <c r="E17" s="44">
        <f>+$F$15</f>
        <v>331099.83</v>
      </c>
      <c r="F17" s="16">
        <f>+ROUND($E17*$D17/100,2)</f>
        <v>16554.990000000002</v>
      </c>
    </row>
    <row r="18" spans="1:8" s="5" customFormat="1" x14ac:dyDescent="0.25">
      <c r="A18" s="40"/>
      <c r="B18" s="54"/>
      <c r="C18" s="41"/>
      <c r="D18" s="45"/>
      <c r="E18" s="35" t="s">
        <v>305</v>
      </c>
      <c r="F18" s="25">
        <f>+SUM(F17:F17)</f>
        <v>16554.990000000002</v>
      </c>
      <c r="H18" s="33">
        <f>+F18</f>
        <v>16554.990000000002</v>
      </c>
    </row>
    <row r="19" spans="1:8" ht="9" customHeight="1" x14ac:dyDescent="0.25">
      <c r="A19" s="28"/>
      <c r="B19" s="51"/>
      <c r="C19" s="30"/>
      <c r="D19" s="65"/>
      <c r="E19" s="66"/>
      <c r="F19" s="42"/>
    </row>
    <row r="20" spans="1:8" s="5" customFormat="1" ht="26.25" customHeight="1" x14ac:dyDescent="0.25">
      <c r="A20" s="403" t="e">
        <f>+CONCATENATE("COSTO DIRECTRO ITEM ",F5," ",B5)</f>
        <v>#N/A</v>
      </c>
      <c r="B20" s="403"/>
      <c r="C20" s="403"/>
      <c r="D20" s="403"/>
      <c r="E20" s="403"/>
      <c r="F20" s="62">
        <f>+SUM(H11:H18)</f>
        <v>367654.82</v>
      </c>
    </row>
    <row r="22" spans="1:8" x14ac:dyDescent="0.25">
      <c r="F22" s="2"/>
    </row>
    <row r="24" spans="1:8" x14ac:dyDescent="0.25">
      <c r="F24" s="32"/>
    </row>
  </sheetData>
  <mergeCells count="8">
    <mergeCell ref="B7:D7"/>
    <mergeCell ref="A20:E20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Hoja55"/>
  <dimension ref="A1:H24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350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359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+F20</f>
        <v>2027594.52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185</v>
      </c>
      <c r="B11" s="14" t="str">
        <f>+VLOOKUP($A11,INS!$A$2:$F$164,3,FALSE)</f>
        <v>Tubería Alcantarrillado PVC 36"</v>
      </c>
      <c r="C11" s="15" t="str">
        <f>+VLOOKUP($A11,INS!$A$2:$F$164,4,FALSE)</f>
        <v>m</v>
      </c>
      <c r="D11" s="37">
        <v>1.05</v>
      </c>
      <c r="E11" s="16">
        <f>+VLOOKUP($A11,INS!$A$2:$F$164,6,FALSE)</f>
        <v>1503529.2307692308</v>
      </c>
      <c r="F11" s="16">
        <f>+ROUND($E11*$D11,2)</f>
        <v>1578705.69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1578705.69</v>
      </c>
      <c r="H12" s="33">
        <f>+F12</f>
        <v>1578705.69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+VLOOKUP($A14,INS!$A$2:$F$164,3,FALSE)</f>
        <v>Cuadrilla 1:2 (1Of+2 Ay)</v>
      </c>
      <c r="C14" s="15" t="str">
        <f>+VLOOKUP($A14,INS!$A$2:$F$164,4,FALSE)</f>
        <v>JOR</v>
      </c>
      <c r="D14" s="37">
        <v>1.45</v>
      </c>
      <c r="E14" s="16">
        <f>+VLOOKUP($A14,INS!$A$2:$F$164,6,FALSE)</f>
        <v>281435</v>
      </c>
      <c r="F14" s="16">
        <f>+ROUND($E14*$D14,2)</f>
        <v>408080.75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408080.75</v>
      </c>
      <c r="H15" s="33">
        <f>+F15</f>
        <v>408080.75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38" t="s">
        <v>244</v>
      </c>
      <c r="B17" s="64" t="str">
        <f>+VLOOKUP($A17,INS!$A$2:$F$164,3,FALSE)</f>
        <v>Herramienta menor</v>
      </c>
      <c r="C17" s="38" t="str">
        <f>+VLOOKUP($A17,INS!$A$2:$F$164,4,FALSE)</f>
        <v>(%)MO</v>
      </c>
      <c r="D17" s="39">
        <v>10</v>
      </c>
      <c r="E17" s="44">
        <f>+$F$15</f>
        <v>408080.75</v>
      </c>
      <c r="F17" s="16">
        <f>+ROUND($E17*$D17/100,2)</f>
        <v>40808.080000000002</v>
      </c>
    </row>
    <row r="18" spans="1:8" s="5" customFormat="1" x14ac:dyDescent="0.25">
      <c r="A18" s="40"/>
      <c r="B18" s="54"/>
      <c r="C18" s="41"/>
      <c r="D18" s="45"/>
      <c r="E18" s="35" t="s">
        <v>305</v>
      </c>
      <c r="F18" s="25">
        <f>+SUM(F17:F17)</f>
        <v>40808.080000000002</v>
      </c>
      <c r="H18" s="33">
        <f>+F18</f>
        <v>40808.080000000002</v>
      </c>
    </row>
    <row r="19" spans="1:8" ht="9" customHeight="1" x14ac:dyDescent="0.25">
      <c r="A19" s="28"/>
      <c r="B19" s="51"/>
      <c r="C19" s="30"/>
      <c r="D19" s="65"/>
      <c r="E19" s="66"/>
      <c r="F19" s="42"/>
    </row>
    <row r="20" spans="1:8" s="5" customFormat="1" ht="26.25" customHeight="1" x14ac:dyDescent="0.25">
      <c r="A20" s="403" t="e">
        <f>+CONCATENATE("COSTO DIRECTRO ITEM ",F5," ",B5)</f>
        <v>#N/A</v>
      </c>
      <c r="B20" s="403"/>
      <c r="C20" s="403"/>
      <c r="D20" s="403"/>
      <c r="E20" s="403"/>
      <c r="F20" s="62">
        <f>+SUM(H11:H18)</f>
        <v>2027594.52</v>
      </c>
    </row>
    <row r="22" spans="1:8" x14ac:dyDescent="0.25">
      <c r="F22" s="2"/>
    </row>
    <row r="24" spans="1:8" x14ac:dyDescent="0.25">
      <c r="F24" s="32"/>
    </row>
  </sheetData>
  <mergeCells count="8">
    <mergeCell ref="B7:D7"/>
    <mergeCell ref="A20:E20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Hoja56">
    <pageSetUpPr fitToPage="1"/>
  </sheetPr>
  <dimension ref="A1:H24"/>
  <sheetViews>
    <sheetView view="pageBreakPreview" topLeftCell="A3" zoomScaleNormal="100" zoomScaleSheetLayoutView="100" workbookViewId="0">
      <selection activeCell="D18" sqref="D1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361</v>
      </c>
    </row>
    <row r="5" spans="1:8" x14ac:dyDescent="0.25">
      <c r="A5" s="57" t="s">
        <v>479</v>
      </c>
      <c r="B5" s="376" t="str">
        <f>+VLOOKUP(F5,PPTO!$A$9:$F$52,2,FALSE)</f>
        <v>Perforaciones horizontales para anclajes de 0.00 a 20.00 m</v>
      </c>
      <c r="C5" s="376"/>
      <c r="D5" s="376"/>
      <c r="E5" s="10" t="s">
        <v>480</v>
      </c>
      <c r="F5" s="63" t="s">
        <v>362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+F20</f>
        <v>392902.98000000004</v>
      </c>
    </row>
    <row r="7" spans="1:8" x14ac:dyDescent="0.25">
      <c r="A7" s="59" t="s">
        <v>483</v>
      </c>
      <c r="B7" s="407">
        <f>+VLOOKUP(F5,PPTO!$A$9:$F$52,4,FALSE)</f>
        <v>11140</v>
      </c>
      <c r="C7" s="407"/>
      <c r="D7" s="407"/>
      <c r="E7" s="60" t="s">
        <v>484</v>
      </c>
      <c r="F7" s="61">
        <f>+ROUND(F6*B7,2)</f>
        <v>4376939197.1999998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198</v>
      </c>
      <c r="B11" s="14" t="str">
        <f>+VLOOKUP($A11,INS!$A$2:$F$164,3,FALSE)</f>
        <v>Cuadrilla 1:3 (1Of+3 Ay)</v>
      </c>
      <c r="C11" s="15" t="str">
        <f>+VLOOKUP($A11,INS!$A$2:$F$164,4,FALSE)</f>
        <v>JOR</v>
      </c>
      <c r="D11" s="163">
        <v>7.1351310826313386</v>
      </c>
      <c r="E11" s="16">
        <f>+VLOOKUP($A11,INS!$A$2:$F$164,6,FALSE)</f>
        <v>361845</v>
      </c>
      <c r="F11" s="16">
        <f>+ROUND($E11/$D11,2)</f>
        <v>50713.15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50713.15</v>
      </c>
      <c r="H12" s="33">
        <f>+F12</f>
        <v>50713.15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65">
        <v>0.05</v>
      </c>
      <c r="E14" s="44">
        <f>+$F$12</f>
        <v>50713.15</v>
      </c>
      <c r="F14" s="16">
        <f>+ROUND($E14*$D14,2)</f>
        <v>2535.66</v>
      </c>
    </row>
    <row r="15" spans="1:8" x14ac:dyDescent="0.25">
      <c r="A15" s="6" t="s">
        <v>259</v>
      </c>
      <c r="B15" s="9" t="str">
        <f>+VLOOKUP($A15,INS!$A$2:$F$164,3,FALSE)</f>
        <v>Andamio Colgante</v>
      </c>
      <c r="C15" s="6" t="str">
        <f>+VLOOKUP($A15,INS!$A$2:$F$164,4,FALSE)</f>
        <v>DIA</v>
      </c>
      <c r="D15" s="114">
        <v>8</v>
      </c>
      <c r="E15" s="7">
        <f>+VLOOKUP($A15,INS!$A$2:$F$164,6,FALSE)</f>
        <v>23900</v>
      </c>
      <c r="F15" s="7">
        <f>+ROUND($E15/$D15,2)</f>
        <v>2987.5</v>
      </c>
    </row>
    <row r="16" spans="1:8" x14ac:dyDescent="0.25">
      <c r="A16" s="6" t="s">
        <v>508</v>
      </c>
      <c r="B16" s="9" t="str">
        <f>+VLOOKUP($A16,INS!$A$2:$F$164,3,FALSE)</f>
        <v>Broca de Perforación 4"</v>
      </c>
      <c r="C16" s="6" t="str">
        <f>+VLOOKUP($A16,INS!$A$2:$F$164,4,FALSE)</f>
        <v>Und</v>
      </c>
      <c r="D16" s="114">
        <v>300</v>
      </c>
      <c r="E16" s="7">
        <f>+VLOOKUP($A16,INS!$A$2:$F$164,6,FALSE)</f>
        <v>2000000</v>
      </c>
      <c r="F16" s="7">
        <f t="shared" ref="F16:F17" si="0">+ROUND($E16/$D16,2)</f>
        <v>6666.67</v>
      </c>
    </row>
    <row r="17" spans="1:8" ht="25.5" x14ac:dyDescent="0.25">
      <c r="A17" s="6" t="s">
        <v>261</v>
      </c>
      <c r="B17" s="9" t="str">
        <f>+VLOOKUP($A17,INS!$A$2:$F$164,3,FALSE)</f>
        <v>Compresor 375CFM con Martillo de Perforacion</v>
      </c>
      <c r="C17" s="6" t="str">
        <f>+VLOOKUP($A17,INS!$A$2:$F$164,4,FALSE)</f>
        <v>HORA</v>
      </c>
      <c r="D17" s="114">
        <v>1</v>
      </c>
      <c r="E17" s="7">
        <f>+VLOOKUP($A17,INS!$A$2:$F$164,6,FALSE)</f>
        <v>330000</v>
      </c>
      <c r="F17" s="7">
        <f t="shared" si="0"/>
        <v>330000</v>
      </c>
    </row>
    <row r="18" spans="1:8" s="5" customFormat="1" x14ac:dyDescent="0.25">
      <c r="A18" s="40"/>
      <c r="B18" s="54"/>
      <c r="C18" s="41"/>
      <c r="D18" s="45"/>
      <c r="E18" s="35" t="s">
        <v>305</v>
      </c>
      <c r="F18" s="25">
        <f>+SUM(F14:F17)</f>
        <v>342189.83</v>
      </c>
      <c r="H18" s="33">
        <f>+F18</f>
        <v>342189.83</v>
      </c>
    </row>
    <row r="19" spans="1:8" ht="9" customHeight="1" x14ac:dyDescent="0.25">
      <c r="A19" s="28"/>
      <c r="B19" s="51"/>
      <c r="C19" s="30"/>
      <c r="D19" s="65"/>
      <c r="E19" s="66"/>
      <c r="F19" s="42"/>
    </row>
    <row r="20" spans="1:8" s="5" customFormat="1" ht="26.25" customHeight="1" x14ac:dyDescent="0.25">
      <c r="A20" s="403" t="str">
        <f>+CONCATENATE("COSTO DIRECTRO ITEM ",F5," ",B5)</f>
        <v>COSTO DIRECTRO ITEM 6.01 Perforaciones horizontales para anclajes de 0.00 a 20.00 m</v>
      </c>
      <c r="B20" s="403"/>
      <c r="C20" s="403"/>
      <c r="D20" s="403"/>
      <c r="E20" s="403"/>
      <c r="F20" s="62">
        <f>+SUM(H10:H18)</f>
        <v>392902.98000000004</v>
      </c>
    </row>
    <row r="22" spans="1:8" x14ac:dyDescent="0.25">
      <c r="F22" s="2"/>
    </row>
    <row r="24" spans="1:8" x14ac:dyDescent="0.25">
      <c r="F24" s="32"/>
    </row>
  </sheetData>
  <mergeCells count="8">
    <mergeCell ref="B7:D7"/>
    <mergeCell ref="A20:E20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Hoja57">
    <pageSetUpPr fitToPage="1"/>
  </sheetPr>
  <dimension ref="A1:H23"/>
  <sheetViews>
    <sheetView view="pageBreakPreview" zoomScaleNormal="100" zoomScaleSheetLayoutView="100" workbookViewId="0">
      <selection activeCell="F17" sqref="F17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361</v>
      </c>
    </row>
    <row r="5" spans="1:8" x14ac:dyDescent="0.25">
      <c r="A5" s="57" t="s">
        <v>479</v>
      </c>
      <c r="B5" s="376" t="str">
        <f>+VLOOKUP(F5,PPTO!$A$9:$F$52,2,FALSE)</f>
        <v>Perforaciones horizontales para anclajes mayores a 20.00 m</v>
      </c>
      <c r="C5" s="376"/>
      <c r="D5" s="376"/>
      <c r="E5" s="10" t="s">
        <v>480</v>
      </c>
      <c r="F5" s="63" t="s">
        <v>364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+F19</f>
        <v>422221.22</v>
      </c>
    </row>
    <row r="7" spans="1:8" x14ac:dyDescent="0.25">
      <c r="A7" s="59" t="s">
        <v>483</v>
      </c>
      <c r="B7" s="407">
        <f>+VLOOKUP(F5,PPTO!$A$9:$F$52,4,FALSE)</f>
        <v>5570</v>
      </c>
      <c r="C7" s="407"/>
      <c r="D7" s="407"/>
      <c r="E7" s="60" t="s">
        <v>484</v>
      </c>
      <c r="F7" s="61">
        <f>+ROUND(F6*B7,2)</f>
        <v>2351772195.4000001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204</v>
      </c>
      <c r="B11" s="14" t="str">
        <f>+VLOOKUP($A11,INS!$A$2:$F$166,3,FALSE)</f>
        <v>Cuadrilla 1:2 (1Of+2 Ay)</v>
      </c>
      <c r="C11" s="15" t="str">
        <f>+VLOOKUP($A11,INS!$A$2:$F$166,4,FALSE)</f>
        <v>JOR</v>
      </c>
      <c r="D11" s="163">
        <v>6.2432393911555621</v>
      </c>
      <c r="E11" s="16">
        <f>+VLOOKUP($A11,INS!$A$2:$F$166,6,FALSE)</f>
        <v>281435</v>
      </c>
      <c r="F11" s="16">
        <f>+ROUND($E11/$D11,2)</f>
        <v>45078.36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ROUND(+SUM(F11:F11),2)</f>
        <v>45078.36</v>
      </c>
      <c r="H12" s="33">
        <f>+F12</f>
        <v>45078.36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38" t="s">
        <v>244</v>
      </c>
      <c r="B14" s="64" t="str">
        <f>+VLOOKUP($A14,INS!$A$2:$F$164,3,FALSE)</f>
        <v>Herramienta menor</v>
      </c>
      <c r="C14" s="38" t="str">
        <f>+VLOOKUP($A14,INS!$A$2:$F$164,4,FALSE)</f>
        <v>(%)MO</v>
      </c>
      <c r="D14" s="165">
        <v>0.05</v>
      </c>
      <c r="E14" s="44">
        <f>+$F$12</f>
        <v>45078.36</v>
      </c>
      <c r="F14" s="16">
        <f>+ROUND($E14*$D14,2)</f>
        <v>2253.92</v>
      </c>
    </row>
    <row r="15" spans="1:8" x14ac:dyDescent="0.25">
      <c r="A15" s="6" t="s">
        <v>259</v>
      </c>
      <c r="B15" s="9" t="str">
        <f>+VLOOKUP($A15,INS!$A$2:$F$164,3,FALSE)</f>
        <v>Andamio Colgante</v>
      </c>
      <c r="C15" s="6" t="str">
        <f>+VLOOKUP($A15,INS!$A$2:$F$164,4,FALSE)</f>
        <v>DIA</v>
      </c>
      <c r="D15" s="114">
        <v>7</v>
      </c>
      <c r="E15" s="7">
        <f>+VLOOKUP($A15,INS!$A$2:$F$164,6,FALSE)</f>
        <v>23900</v>
      </c>
      <c r="F15" s="7">
        <f>+ROUND($E15/$D15,2)</f>
        <v>3414.29</v>
      </c>
    </row>
    <row r="16" spans="1:8" x14ac:dyDescent="0.25">
      <c r="A16" s="6" t="s">
        <v>508</v>
      </c>
      <c r="B16" s="9" t="str">
        <f>+VLOOKUP($A16,INS!$A$2:$F$164,3,FALSE)</f>
        <v>Broca de Perforación 4"</v>
      </c>
      <c r="C16" s="6" t="str">
        <f>+VLOOKUP($A16,INS!$A$2:$F$164,4,FALSE)</f>
        <v>Und</v>
      </c>
      <c r="D16" s="114">
        <v>300</v>
      </c>
      <c r="E16" s="7">
        <f>+VLOOKUP($A16,INS!$A$2:$F$164,6,FALSE)</f>
        <v>2000000</v>
      </c>
      <c r="F16" s="7">
        <f t="shared" ref="F16:F17" si="0">+ROUND($E16/$D16,2)</f>
        <v>6666.67</v>
      </c>
    </row>
    <row r="17" spans="1:8" s="5" customFormat="1" ht="25.5" x14ac:dyDescent="0.25">
      <c r="A17" s="6" t="s">
        <v>261</v>
      </c>
      <c r="B17" s="9" t="str">
        <f>+VLOOKUP($A17,INS!$A$2:$F$164,3,FALSE)</f>
        <v>Compresor 375CFM con Martillo de Perforacion</v>
      </c>
      <c r="C17" s="6" t="str">
        <f>+VLOOKUP($A17,INS!$A$2:$F$164,4,FALSE)</f>
        <v>HORA</v>
      </c>
      <c r="D17" s="114">
        <v>0.87499999432491937</v>
      </c>
      <c r="E17" s="7">
        <f>+VLOOKUP($A17,INS!$A$2:$F$164,6,FALSE)</f>
        <v>330000</v>
      </c>
      <c r="F17" s="7">
        <f t="shared" si="0"/>
        <v>377142.86</v>
      </c>
      <c r="H17" s="33">
        <f>+F17</f>
        <v>377142.86</v>
      </c>
    </row>
    <row r="18" spans="1:8" ht="9" customHeight="1" x14ac:dyDescent="0.25">
      <c r="A18" s="28"/>
      <c r="B18" s="51"/>
      <c r="C18" s="30"/>
      <c r="D18" s="65"/>
      <c r="E18" s="66"/>
      <c r="F18" s="42"/>
    </row>
    <row r="19" spans="1:8" s="5" customFormat="1" ht="26.25" customHeight="1" x14ac:dyDescent="0.25">
      <c r="A19" s="403" t="str">
        <f>+CONCATENATE("COSTO DIRECTRO ITEM ",F5," ",B5)</f>
        <v>COSTO DIRECTRO ITEM 6.02 Perforaciones horizontales para anclajes mayores a 20.00 m</v>
      </c>
      <c r="B19" s="403"/>
      <c r="C19" s="403"/>
      <c r="D19" s="403"/>
      <c r="E19" s="403"/>
      <c r="F19" s="62">
        <f>ROUND(+SUM(H10:H17),2)</f>
        <v>422221.22</v>
      </c>
    </row>
    <row r="21" spans="1:8" x14ac:dyDescent="0.25">
      <c r="F21" s="2"/>
    </row>
    <row r="23" spans="1:8" x14ac:dyDescent="0.25">
      <c r="F23" s="32"/>
    </row>
  </sheetData>
  <mergeCells count="8">
    <mergeCell ref="B7:D7"/>
    <mergeCell ref="A19:E19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Hoja58"/>
  <dimension ref="A1:H23"/>
  <sheetViews>
    <sheetView view="pageBreakPreview" zoomScaleNormal="100" zoomScaleSheetLayoutView="100" workbookViewId="0">
      <selection activeCell="F5" sqref="F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361</v>
      </c>
    </row>
    <row r="5" spans="1:8" ht="12.7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555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+F19</f>
        <v>164819.22999999998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189</v>
      </c>
      <c r="B10" s="52"/>
      <c r="C10" s="18"/>
      <c r="D10" s="18"/>
      <c r="E10" s="18"/>
      <c r="F10" s="24"/>
    </row>
    <row r="11" spans="1:8" x14ac:dyDescent="0.25">
      <c r="A11" s="15" t="s">
        <v>204</v>
      </c>
      <c r="B11" s="14" t="str">
        <f>+VLOOKUP($A11,INS!$A$2:$F$153,3,FALSE)</f>
        <v>Cuadrilla 1:2 (1Of+2 Ay)</v>
      </c>
      <c r="C11" s="15" t="str">
        <f>+VLOOKUP($A11,INS!$A$2:$F$153,4,FALSE)</f>
        <v>JOR</v>
      </c>
      <c r="D11" s="37">
        <v>0.28571000000000002</v>
      </c>
      <c r="E11" s="16">
        <f>+VLOOKUP($A11,INS!$A$2:$F$153,6,FALSE)</f>
        <v>281435</v>
      </c>
      <c r="F11" s="16">
        <f>+ROUND($E11*$D11,2)</f>
        <v>80408.789999999994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80408.789999999994</v>
      </c>
      <c r="H12" s="33">
        <f>+F12</f>
        <v>80408.789999999994</v>
      </c>
    </row>
    <row r="13" spans="1:8" s="5" customFormat="1" x14ac:dyDescent="0.25">
      <c r="A13" s="50" t="s">
        <v>486</v>
      </c>
      <c r="B13" s="52"/>
      <c r="C13" s="18"/>
      <c r="D13" s="18"/>
      <c r="E13" s="18"/>
      <c r="F13" s="24"/>
    </row>
    <row r="14" spans="1:8" x14ac:dyDescent="0.25">
      <c r="A14" s="6" t="s">
        <v>244</v>
      </c>
      <c r="B14" s="9" t="str">
        <f>+VLOOKUP($A14,INS!$A$2:$F$152,3,FALSE)</f>
        <v>Herramienta menor</v>
      </c>
      <c r="C14" s="6" t="str">
        <f>+VLOOKUP($A14,INS!$A$2:$F$152,4,FALSE)</f>
        <v>(%)MO</v>
      </c>
      <c r="D14" s="34">
        <v>5</v>
      </c>
      <c r="E14" s="7">
        <f>+$F$12</f>
        <v>80408.789999999994</v>
      </c>
      <c r="F14" s="7">
        <f>+ROUND($E14*$D14/100,2)</f>
        <v>4020.44</v>
      </c>
    </row>
    <row r="15" spans="1:8" x14ac:dyDescent="0.25">
      <c r="A15" s="6" t="s">
        <v>259</v>
      </c>
      <c r="B15" s="9" t="str">
        <f>+VLOOKUP($A15,INS!$A$2:$F$153,3,FALSE)</f>
        <v>Andamio Colgante</v>
      </c>
      <c r="C15" s="6" t="str">
        <f>+VLOOKUP($A15,INS!$A$2:$F$153,4,FALSE)</f>
        <v>DIA</v>
      </c>
      <c r="D15" s="34">
        <v>0.1</v>
      </c>
      <c r="E15" s="7">
        <f>+VLOOKUP($A15,INS!$A$2:$F$153,6,FALSE)</f>
        <v>23900</v>
      </c>
      <c r="F15" s="7">
        <f t="shared" ref="F15:F16" si="0">+ROUND($E15*$D15,2)</f>
        <v>2390</v>
      </c>
    </row>
    <row r="16" spans="1:8" x14ac:dyDescent="0.25">
      <c r="A16" s="6" t="s">
        <v>236</v>
      </c>
      <c r="B16" s="9" t="str">
        <f>+VLOOKUP($A16,INS!$A$2:$F$153,3,FALSE)</f>
        <v>Equipo para encamisado</v>
      </c>
      <c r="C16" s="6" t="str">
        <f>+VLOOKUP($A16,INS!$A$2:$F$153,4,FALSE)</f>
        <v>HORA</v>
      </c>
      <c r="D16" s="34">
        <v>0.1</v>
      </c>
      <c r="E16" s="7">
        <f>+VLOOKUP($A16,INS!$A$2:$F$153,6,FALSE)</f>
        <v>780000</v>
      </c>
      <c r="F16" s="7">
        <f t="shared" si="0"/>
        <v>78000</v>
      </c>
    </row>
    <row r="17" spans="1:8" s="5" customFormat="1" x14ac:dyDescent="0.25">
      <c r="A17" s="40"/>
      <c r="B17" s="54"/>
      <c r="C17" s="41"/>
      <c r="D17" s="45"/>
      <c r="E17" s="35" t="s">
        <v>305</v>
      </c>
      <c r="F17" s="25">
        <f>+SUM(F14:F16)</f>
        <v>84410.44</v>
      </c>
      <c r="H17" s="33">
        <f>+F17</f>
        <v>84410.44</v>
      </c>
    </row>
    <row r="18" spans="1:8" ht="9" customHeight="1" x14ac:dyDescent="0.25">
      <c r="A18" s="28"/>
      <c r="B18" s="51"/>
      <c r="C18" s="30"/>
      <c r="D18" s="65"/>
      <c r="E18" s="66"/>
      <c r="F18" s="42"/>
    </row>
    <row r="19" spans="1:8" s="5" customFormat="1" ht="26.25" customHeight="1" x14ac:dyDescent="0.25">
      <c r="A19" s="403" t="e">
        <f>+CONCATENATE("COSTO DIRECTRO ITEM ",F5," ",B5)</f>
        <v>#N/A</v>
      </c>
      <c r="B19" s="403"/>
      <c r="C19" s="403"/>
      <c r="D19" s="403"/>
      <c r="E19" s="403"/>
      <c r="F19" s="62">
        <f>+SUM(H10:H17)</f>
        <v>164819.22999999998</v>
      </c>
    </row>
    <row r="21" spans="1:8" x14ac:dyDescent="0.25">
      <c r="F21" s="2"/>
    </row>
    <row r="23" spans="1:8" x14ac:dyDescent="0.25">
      <c r="F23" s="32"/>
    </row>
  </sheetData>
  <mergeCells count="8">
    <mergeCell ref="B7:D7"/>
    <mergeCell ref="A19:E19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Hoja59">
    <pageSetUpPr fitToPage="1"/>
  </sheetPr>
  <dimension ref="A1:H28"/>
  <sheetViews>
    <sheetView view="pageBreakPreview" topLeftCell="A4" zoomScaleNormal="100" zoomScaleSheetLayoutView="100" workbookViewId="0">
      <selection activeCell="D22" sqref="D22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29.1" customHeight="1" x14ac:dyDescent="0.25">
      <c r="A5" s="57" t="s">
        <v>479</v>
      </c>
      <c r="B5" s="376" t="str">
        <f>+VLOOKUP(F5,PPTO!$A$9:$F$52,2,FALSE)</f>
        <v>Cuneta trapezoidal en manto de hormigón (B. Mayor: 0.9m; B. Menor: 0.5m; Altura: 0,2m)</v>
      </c>
      <c r="C5" s="376"/>
      <c r="D5" s="376"/>
      <c r="E5" s="10" t="s">
        <v>480</v>
      </c>
      <c r="F5" s="63" t="s">
        <v>368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+F24</f>
        <v>487280.93</v>
      </c>
    </row>
    <row r="7" spans="1:8" x14ac:dyDescent="0.25">
      <c r="A7" s="59" t="s">
        <v>483</v>
      </c>
      <c r="B7" s="407">
        <f>+VLOOKUP(F5,PPTO!$A$9:$F$52,4,FALSE)</f>
        <v>542.1</v>
      </c>
      <c r="C7" s="407"/>
      <c r="D7" s="407"/>
      <c r="E7" s="60" t="s">
        <v>484</v>
      </c>
      <c r="F7" s="61">
        <f>+ROUND(F6*B7,2)</f>
        <v>264154992.15000001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163">
        <v>0.05</v>
      </c>
      <c r="E11" s="16">
        <f>+F12+F13+F14</f>
        <v>436959.4</v>
      </c>
      <c r="F11" s="7">
        <f>+ROUND($E11*$D11,2)</f>
        <v>21847.97</v>
      </c>
    </row>
    <row r="12" spans="1:8" x14ac:dyDescent="0.25">
      <c r="A12" s="15" t="s">
        <v>132</v>
      </c>
      <c r="B12" s="14" t="str">
        <f>+VLOOKUP($A12,INS!$A$2:$F$166,3,FALSE)</f>
        <v>Puntilla Corriente de 2 1/2"</v>
      </c>
      <c r="C12" s="15" t="str">
        <f>+VLOOKUP($A12,INS!$A$2:$F$166,4,FALSE)</f>
        <v>lb</v>
      </c>
      <c r="D12" s="163">
        <v>0.11</v>
      </c>
      <c r="E12" s="16">
        <f>+VLOOKUP($A12,INS!$A$2:$F$166,6,FALSE)</f>
        <v>2600</v>
      </c>
      <c r="F12" s="16">
        <f>+ROUND($E12*$D12,2)</f>
        <v>286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114">
        <v>6</v>
      </c>
      <c r="E13" s="7">
        <f>+VLOOKUP($A13,INS!$A$2:$F$164,6,FALSE)</f>
        <v>4740.6499999999996</v>
      </c>
      <c r="F13" s="7">
        <f t="shared" ref="F13:F14" si="0">+ROUND($E13*$D13,2)</f>
        <v>28443.9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114">
        <v>1.5</v>
      </c>
      <c r="E14" s="7">
        <f>+VLOOKUP($A14,INS!$A$2:$F$164,6,FALSE)</f>
        <v>272153</v>
      </c>
      <c r="F14" s="7">
        <f t="shared" si="0"/>
        <v>408229.5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ROUND(+SUM(F11:F14),2)</f>
        <v>458807.37</v>
      </c>
      <c r="H15" s="33">
        <f>+F15</f>
        <v>458807.37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204</v>
      </c>
      <c r="B17" s="14" t="str">
        <f>+VLOOKUP($A17,INS!$A$2:$F$166,3,FALSE)</f>
        <v>Cuadrilla 1:2 (1Of+2 Ay)</v>
      </c>
      <c r="C17" s="15" t="str">
        <f>+VLOOKUP($A17,INS!$A$2:$F$166,4,FALSE)</f>
        <v>JOR</v>
      </c>
      <c r="D17" s="163">
        <v>13.378370430953657</v>
      </c>
      <c r="E17" s="16">
        <f>+VLOOKUP($A17,INS!$A$2:$F$166,6,FALSE)</f>
        <v>281435</v>
      </c>
      <c r="F17" s="16">
        <f>+ROUND($E17/$D17,2)</f>
        <v>21036.57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ROUND(+SUM(F17:F17),2)</f>
        <v>21036.57</v>
      </c>
      <c r="H18" s="33">
        <f>+F18</f>
        <v>21036.57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162">
        <v>0.1</v>
      </c>
      <c r="E20" s="7">
        <f>+$F$18</f>
        <v>21036.57</v>
      </c>
      <c r="F20" s="7">
        <f>+ROUND($E20*$D20,2)</f>
        <v>2103.66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114">
        <v>15</v>
      </c>
      <c r="E21" s="7">
        <f>+VLOOKUP($A21,INS!$A$2:$F$166,6,FALSE)</f>
        <v>80000</v>
      </c>
      <c r="F21" s="7">
        <f>+ROUND($E21/$D21,2)</f>
        <v>5333.33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ROUND(+SUM(F20:F21),2)</f>
        <v>7436.99</v>
      </c>
      <c r="H22" s="33">
        <f>+F22</f>
        <v>7436.99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str">
        <f>+CONCATENATE("COSTO DIRECTRO ITEM ",F5," ",B5)</f>
        <v>COSTO DIRECTRO ITEM 7.01 Cuneta trapezoidal en manto de hormigón (B. Mayor: 0.9m; B. Menor: 0.5m; Altura: 0,2m)</v>
      </c>
      <c r="B24" s="403"/>
      <c r="C24" s="403"/>
      <c r="D24" s="403"/>
      <c r="E24" s="403"/>
      <c r="F24" s="62">
        <f>ROUND(+SUM(H11:H22),2)</f>
        <v>487280.93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Hoja60"/>
  <dimension ref="A1:H29"/>
  <sheetViews>
    <sheetView view="pageBreakPreview" zoomScaleNormal="100" zoomScaleSheetLayoutView="100" workbookViewId="0">
      <selection activeCell="G7" sqref="G7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67" t="s">
        <v>367</v>
      </c>
    </row>
    <row r="5" spans="1:6" ht="27" customHeight="1" x14ac:dyDescent="0.25">
      <c r="A5" s="57" t="s">
        <v>479</v>
      </c>
      <c r="B5" s="376" t="str">
        <f>+VLOOKUP(F5,PPTO!$A$9:$F$52,2,FALSE)</f>
        <v>Filtro en Geotextil (NT-1600 o Similar) - 1,50 * 0,5 Mts.</v>
      </c>
      <c r="C5" s="376"/>
      <c r="D5" s="376"/>
      <c r="E5" s="10" t="s">
        <v>480</v>
      </c>
      <c r="F5" s="63" t="s">
        <v>369</v>
      </c>
    </row>
    <row r="6" spans="1:6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+F25</f>
        <v>504376.93000000005</v>
      </c>
    </row>
    <row r="7" spans="1:6" x14ac:dyDescent="0.25">
      <c r="A7" s="59" t="s">
        <v>483</v>
      </c>
      <c r="B7" s="407">
        <f>+VLOOKUP(F5,PPTO!$A$9:$F$52,4,FALSE)</f>
        <v>542.1</v>
      </c>
      <c r="C7" s="407"/>
      <c r="D7" s="407"/>
      <c r="E7" s="60" t="s">
        <v>484</v>
      </c>
      <c r="F7" s="61">
        <f>+ROUND(F6*B7,2)</f>
        <v>273422733.75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7</v>
      </c>
      <c r="B11" s="14" t="str">
        <f>+VLOOKUP($A11,INS!$A$2:$F$166,3,FALSE)</f>
        <v>Suministro de Acero de 60000 psi y figurado</v>
      </c>
      <c r="C11" s="15" t="str">
        <f>+VLOOKUP($A11,INS!$A$2:$F$166,4,FALSE)</f>
        <v>Kg</v>
      </c>
      <c r="D11" s="37">
        <v>2.5</v>
      </c>
      <c r="E11" s="16">
        <f>+VLOOKUP($A11,INS!$A$2:$F$166,6,FALSE)</f>
        <v>4740.6499999999996</v>
      </c>
      <c r="F11" s="16">
        <f>+ROUND($E11*$D11,2)</f>
        <v>11851.63</v>
      </c>
    </row>
    <row r="12" spans="1:6" x14ac:dyDescent="0.25">
      <c r="A12" s="6" t="s">
        <v>32</v>
      </c>
      <c r="B12" s="9" t="str">
        <f>+VLOOKUP($A12,INS!$A$2:$F$164,3,FALSE)</f>
        <v>Piedra Bolo</v>
      </c>
      <c r="C12" s="6" t="str">
        <f>+VLOOKUP($A12,INS!$A$2:$F$164,4,FALSE)</f>
        <v>m3</v>
      </c>
      <c r="D12" s="34">
        <v>1.2</v>
      </c>
      <c r="E12" s="7">
        <f>+VLOOKUP($A12,INS!$A$2:$F$164,6,FALSE)</f>
        <v>79550</v>
      </c>
      <c r="F12" s="7">
        <f t="shared" ref="F12:F16" si="0">+ROUND($E12*$D12,2)</f>
        <v>95460</v>
      </c>
    </row>
    <row r="13" spans="1:6" x14ac:dyDescent="0.25">
      <c r="A13" s="6" t="s">
        <v>21</v>
      </c>
      <c r="B13" s="9" t="str">
        <f>+VLOOKUP($A13,INS!$A$2:$F$164,3,FALSE)</f>
        <v>Alambre negro Calibre 18</v>
      </c>
      <c r="C13" s="6" t="str">
        <f>+VLOOKUP($A13,INS!$A$2:$F$164,4,FALSE)</f>
        <v>Kg</v>
      </c>
      <c r="D13" s="34">
        <v>0.1</v>
      </c>
      <c r="E13" s="7">
        <f>+VLOOKUP($A13,INS!$A$2:$F$164,6,FALSE)</f>
        <v>5100</v>
      </c>
      <c r="F13" s="7">
        <f t="shared" si="0"/>
        <v>510</v>
      </c>
    </row>
    <row r="14" spans="1:6" ht="27" customHeight="1" x14ac:dyDescent="0.25">
      <c r="A14" s="6" t="s">
        <v>106</v>
      </c>
      <c r="B14" s="9" t="str">
        <f>+VLOOKUP($A14,INS!$A$2:$F$164,3,FALSE)</f>
        <v>Caja en Malla Triple torsión Cal. 10 (dim. 2x1x1)</v>
      </c>
      <c r="C14" s="6" t="str">
        <f>+VLOOKUP($A14,INS!$A$2:$F$164,4,FALSE)</f>
        <v>Und</v>
      </c>
      <c r="D14" s="34">
        <v>0.5</v>
      </c>
      <c r="E14" s="7">
        <f>+VLOOKUP($A14,INS!$A$2:$F$164,6,FALSE)</f>
        <v>85000</v>
      </c>
      <c r="F14" s="7">
        <f t="shared" si="0"/>
        <v>42500</v>
      </c>
    </row>
    <row r="15" spans="1:6" x14ac:dyDescent="0.25">
      <c r="A15" s="6" t="s">
        <v>174</v>
      </c>
      <c r="B15" s="9" t="str">
        <f>+VLOOKUP($A15,INS!$A$2:$F$164,3,FALSE)</f>
        <v>Desperdicio materiales</v>
      </c>
      <c r="C15" s="6" t="str">
        <f>+VLOOKUP($A15,INS!$A$2:$F$164,4,FALSE)</f>
        <v>(%)MAT</v>
      </c>
      <c r="D15" s="34">
        <v>4</v>
      </c>
      <c r="E15" s="7">
        <f>+F16+F14+F13+F12+F11</f>
        <v>209821.63</v>
      </c>
      <c r="F15" s="7">
        <f>+ROUND($E15*$D15/100,2)</f>
        <v>8392.8700000000008</v>
      </c>
    </row>
    <row r="16" spans="1:6" ht="24.75" customHeight="1" x14ac:dyDescent="0.25">
      <c r="A16" s="6" t="s">
        <v>48</v>
      </c>
      <c r="B16" s="9" t="str">
        <f>+VLOOKUP($A16,INS!$A$2:$F$164,3,FALSE)</f>
        <v>Concreto de 3000 psi de planta</v>
      </c>
      <c r="C16" s="6" t="str">
        <f>+VLOOKUP($A16,INS!$A$2:$F$164,4,FALSE)</f>
        <v>m3</v>
      </c>
      <c r="D16" s="34">
        <v>0.1</v>
      </c>
      <c r="E16" s="7">
        <f>+VLOOKUP($A16,INS!$A$2:$F$164,6,FALSE)</f>
        <v>595000</v>
      </c>
      <c r="F16" s="7">
        <f t="shared" si="0"/>
        <v>59500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+SUM(F11:F16)</f>
        <v>218214.5</v>
      </c>
      <c r="H17" s="33">
        <f>+F17</f>
        <v>218214.5</v>
      </c>
    </row>
    <row r="18" spans="1:8" s="5" customFormat="1" x14ac:dyDescent="0.25">
      <c r="A18" s="50" t="s">
        <v>189</v>
      </c>
      <c r="B18" s="52"/>
      <c r="C18" s="18"/>
      <c r="D18" s="18"/>
      <c r="E18" s="18"/>
      <c r="F18" s="24"/>
    </row>
    <row r="19" spans="1:8" x14ac:dyDescent="0.25">
      <c r="A19" s="15" t="s">
        <v>208</v>
      </c>
      <c r="B19" s="14" t="str">
        <f>+VLOOKUP($A19,INS!$A$2:$F$166,3,FALSE)</f>
        <v>Cuadrilla 1:4 (1Of+4 Ay)</v>
      </c>
      <c r="C19" s="15" t="str">
        <f>+VLOOKUP($A19,INS!$A$2:$F$166,4,FALSE)</f>
        <v>JOR</v>
      </c>
      <c r="D19" s="37">
        <v>0.58823000000000003</v>
      </c>
      <c r="E19" s="16">
        <f>+VLOOKUP($A19,INS!$A$2:$F$166,6,FALSE)</f>
        <v>442255</v>
      </c>
      <c r="F19" s="16">
        <f>+ROUND($E19*$D19,2)</f>
        <v>260147.66</v>
      </c>
    </row>
    <row r="20" spans="1:8" s="5" customFormat="1" x14ac:dyDescent="0.25">
      <c r="A20" s="46"/>
      <c r="B20" s="53"/>
      <c r="C20" s="47"/>
      <c r="D20" s="48"/>
      <c r="E20" s="36" t="s">
        <v>305</v>
      </c>
      <c r="F20" s="25">
        <f>+SUM(F19:F19)</f>
        <v>260147.66</v>
      </c>
      <c r="H20" s="33">
        <f>+F20</f>
        <v>260147.66</v>
      </c>
    </row>
    <row r="21" spans="1:8" s="5" customFormat="1" x14ac:dyDescent="0.25">
      <c r="A21" s="50" t="s">
        <v>486</v>
      </c>
      <c r="B21" s="52"/>
      <c r="C21" s="18"/>
      <c r="D21" s="18"/>
      <c r="E21" s="18"/>
      <c r="F21" s="24"/>
    </row>
    <row r="22" spans="1:8" x14ac:dyDescent="0.25">
      <c r="A22" s="6" t="s">
        <v>244</v>
      </c>
      <c r="B22" s="9" t="str">
        <f>+VLOOKUP($A22,INS!$A$2:$F$164,3,FALSE)</f>
        <v>Herramienta menor</v>
      </c>
      <c r="C22" s="6" t="str">
        <f>+VLOOKUP($A22,INS!$A$2:$F$164,4,FALSE)</f>
        <v>(%)MO</v>
      </c>
      <c r="D22" s="34">
        <v>10</v>
      </c>
      <c r="E22" s="7">
        <f>+$F$20</f>
        <v>260147.66</v>
      </c>
      <c r="F22" s="7">
        <f>+ROUND($E22*$D22/100,2)</f>
        <v>26014.77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+SUM(F22:F22)</f>
        <v>26014.77</v>
      </c>
      <c r="H23" s="33">
        <f>+F23</f>
        <v>26014.77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str">
        <f>+CONCATENATE("COSTO DIRECTRO ITEM ",F5," ",B5)</f>
        <v>COSTO DIRECTRO ITEM 7.02 Filtro en Geotextil (NT-1600 o Similar) - 1,50 * 0,5 Mts.</v>
      </c>
      <c r="B25" s="403"/>
      <c r="C25" s="403"/>
      <c r="D25" s="403"/>
      <c r="E25" s="403"/>
      <c r="F25" s="62">
        <f>+SUM(H11:H23)</f>
        <v>504376.93000000005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Hoja61">
    <pageSetUpPr fitToPage="1"/>
  </sheetPr>
  <dimension ref="A1:L28"/>
  <sheetViews>
    <sheetView view="pageBreakPreview" topLeftCell="A4" zoomScaleNormal="100" zoomScaleSheetLayoutView="100" workbookViewId="0">
      <selection activeCell="F18" sqref="F18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12" x14ac:dyDescent="0.25">
      <c r="A1" s="406" t="s">
        <v>475</v>
      </c>
      <c r="B1" s="406"/>
      <c r="C1" s="406"/>
      <c r="D1" s="406"/>
      <c r="E1" s="406"/>
      <c r="F1" s="406"/>
    </row>
    <row r="2" spans="1:12" x14ac:dyDescent="0.25">
      <c r="A2" s="406" t="s">
        <v>476</v>
      </c>
      <c r="B2" s="406"/>
      <c r="C2" s="406"/>
      <c r="D2" s="406"/>
      <c r="E2" s="406"/>
      <c r="F2" s="406"/>
      <c r="J2" s="1">
        <f>1.5*0.5</f>
        <v>0.75</v>
      </c>
      <c r="K2" s="1">
        <f>+J2/2</f>
        <v>0.375</v>
      </c>
      <c r="L2" s="173">
        <f>1.5*1*2+0.5*1*2</f>
        <v>4</v>
      </c>
    </row>
    <row r="3" spans="1:12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2" ht="39" customHeight="1" x14ac:dyDescent="0.25">
      <c r="A4" s="405"/>
      <c r="B4" s="404"/>
      <c r="C4" s="404"/>
      <c r="D4" s="404"/>
      <c r="E4" s="404"/>
      <c r="F4" s="67" t="s">
        <v>367</v>
      </c>
    </row>
    <row r="5" spans="1:12" x14ac:dyDescent="0.25">
      <c r="A5" s="57" t="s">
        <v>479</v>
      </c>
      <c r="B5" s="376" t="str">
        <f>+VLOOKUP(F5,PPTO!$A$9:$F$52,2,FALSE)</f>
        <v>Filtro en Geotextil (NT-1600 o Similar) - 1,50 * 0,5 Mts.</v>
      </c>
      <c r="C5" s="376"/>
      <c r="D5" s="376"/>
      <c r="E5" s="10" t="s">
        <v>480</v>
      </c>
      <c r="F5" s="63" t="s">
        <v>369</v>
      </c>
    </row>
    <row r="6" spans="1:12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+F24</f>
        <v>211580.14</v>
      </c>
    </row>
    <row r="7" spans="1:12" x14ac:dyDescent="0.25">
      <c r="A7" s="59" t="s">
        <v>483</v>
      </c>
      <c r="B7" s="407">
        <f>+VLOOKUP(F5,PPTO!$A$9:$F$52,4,FALSE)</f>
        <v>542.1</v>
      </c>
      <c r="C7" s="407"/>
      <c r="D7" s="407"/>
      <c r="E7" s="60" t="s">
        <v>484</v>
      </c>
      <c r="F7" s="61">
        <f>+ROUND(F6*B7,2)</f>
        <v>114697593.89</v>
      </c>
    </row>
    <row r="8" spans="1:12" ht="9" customHeight="1" x14ac:dyDescent="0.25">
      <c r="A8" s="28"/>
      <c r="B8" s="51"/>
      <c r="C8" s="30"/>
      <c r="D8" s="30"/>
      <c r="E8" s="30"/>
      <c r="F8" s="31"/>
    </row>
    <row r="9" spans="1:12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12" s="5" customFormat="1" x14ac:dyDescent="0.25">
      <c r="A10" s="50" t="s">
        <v>8</v>
      </c>
      <c r="B10" s="52"/>
      <c r="C10" s="18"/>
      <c r="D10" s="18"/>
      <c r="E10" s="18"/>
      <c r="F10" s="24"/>
    </row>
    <row r="11" spans="1:12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163">
        <v>0.05</v>
      </c>
      <c r="E11" s="16">
        <f>+F12+F13+F14+F15</f>
        <v>116500</v>
      </c>
      <c r="F11" s="7">
        <f>+ROUND($E11*$D11,2)</f>
        <v>5825</v>
      </c>
    </row>
    <row r="12" spans="1:12" x14ac:dyDescent="0.25">
      <c r="A12" s="6" t="s">
        <v>149</v>
      </c>
      <c r="B12" s="9" t="str">
        <f>+VLOOKUP($A12,INS!$A$2:$F$164,3,FALSE)</f>
        <v>Triturado de 3/4"</v>
      </c>
      <c r="C12" s="6" t="str">
        <f>+VLOOKUP($A12,INS!$A$2:$F$164,4,FALSE)</f>
        <v>m3</v>
      </c>
      <c r="D12" s="162">
        <v>0.375</v>
      </c>
      <c r="E12" s="7">
        <f>+VLOOKUP($A12,INS!$A$2:$F$164,6,FALSE)</f>
        <v>120000</v>
      </c>
      <c r="F12" s="7">
        <f t="shared" ref="F12:F15" si="0">+ROUND($E12*$D12,2)</f>
        <v>45000</v>
      </c>
    </row>
    <row r="13" spans="1:12" x14ac:dyDescent="0.25">
      <c r="A13" s="6" t="s">
        <v>147</v>
      </c>
      <c r="B13" s="9" t="str">
        <f>+VLOOKUP($A13,INS!$A$2:$F$164,3,FALSE)</f>
        <v>Triturado de 1/2"</v>
      </c>
      <c r="C13" s="6" t="str">
        <f>+VLOOKUP($A13,INS!$A$2:$F$164,4,FALSE)</f>
        <v>m3</v>
      </c>
      <c r="D13" s="114">
        <f>+D12</f>
        <v>0.375</v>
      </c>
      <c r="E13" s="7">
        <f>+VLOOKUP($A13,INS!$A$2:$F$164,6,FALSE)</f>
        <v>100000</v>
      </c>
      <c r="F13" s="7">
        <f t="shared" si="0"/>
        <v>37500</v>
      </c>
    </row>
    <row r="14" spans="1:12" x14ac:dyDescent="0.25">
      <c r="A14" s="6" t="s">
        <v>81</v>
      </c>
      <c r="B14" s="9" t="str">
        <f>+VLOOKUP($A14,INS!$A$2:$F$164,3,FALSE)</f>
        <v>Geotextil No Tejido 1600 Pavco</v>
      </c>
      <c r="C14" s="6" t="str">
        <f>+VLOOKUP($A14,INS!$A$2:$F$164,4,FALSE)</f>
        <v>m2</v>
      </c>
      <c r="D14" s="114">
        <v>4</v>
      </c>
      <c r="E14" s="7">
        <f>+VLOOKUP($A14,INS!$A$2:$F$164,6,FALSE)</f>
        <v>3500</v>
      </c>
      <c r="F14" s="7">
        <f t="shared" si="0"/>
        <v>14000</v>
      </c>
    </row>
    <row r="15" spans="1:12" x14ac:dyDescent="0.25">
      <c r="A15" s="6" t="s">
        <v>162</v>
      </c>
      <c r="B15" s="9" t="str">
        <f>+VLOOKUP($A15,INS!$A$2:$F$164,3,FALSE)</f>
        <v>Tubo Pvc Sanitario 4"</v>
      </c>
      <c r="C15" s="6" t="str">
        <f>+VLOOKUP($A15,INS!$A$2:$F$164,4,FALSE)</f>
        <v>m</v>
      </c>
      <c r="D15" s="114">
        <v>1</v>
      </c>
      <c r="E15" s="7">
        <f>+VLOOKUP($A15,INS!$A$2:$F$164,6,FALSE)</f>
        <v>20000</v>
      </c>
      <c r="F15" s="7">
        <f t="shared" si="0"/>
        <v>20000</v>
      </c>
    </row>
    <row r="16" spans="1:12" s="5" customFormat="1" x14ac:dyDescent="0.25">
      <c r="A16" s="46"/>
      <c r="B16" s="53"/>
      <c r="C16" s="47"/>
      <c r="D16" s="48"/>
      <c r="E16" s="36" t="s">
        <v>305</v>
      </c>
      <c r="F16" s="25">
        <f>ROUND(+SUM(F11:F15),2)</f>
        <v>122325</v>
      </c>
      <c r="H16" s="33">
        <f>+F16</f>
        <v>122325</v>
      </c>
    </row>
    <row r="17" spans="1:8" s="5" customFormat="1" x14ac:dyDescent="0.25">
      <c r="A17" s="50" t="s">
        <v>189</v>
      </c>
      <c r="B17" s="52"/>
      <c r="C17" s="18"/>
      <c r="D17" s="18"/>
      <c r="E17" s="18"/>
      <c r="F17" s="24"/>
    </row>
    <row r="18" spans="1:8" x14ac:dyDescent="0.25">
      <c r="A18" s="15" t="s">
        <v>198</v>
      </c>
      <c r="B18" s="14" t="str">
        <f>+VLOOKUP($A18,INS!$A$2:$F$166,3,FALSE)</f>
        <v>Cuadrilla 1:3 (1Of+3 Ay)</v>
      </c>
      <c r="C18" s="15" t="str">
        <f>+VLOOKUP($A18,INS!$A$2:$F$166,4,FALSE)</f>
        <v>JOR</v>
      </c>
      <c r="D18" s="163">
        <v>4.4594572898634546</v>
      </c>
      <c r="E18" s="16">
        <f>+VLOOKUP($A18,INS!$A$2:$F$166,6,FALSE)</f>
        <v>361845</v>
      </c>
      <c r="F18" s="16">
        <f>+ROUND($E18/$D18,2)</f>
        <v>81141.039999999994</v>
      </c>
    </row>
    <row r="19" spans="1:8" s="5" customFormat="1" x14ac:dyDescent="0.25">
      <c r="A19" s="46"/>
      <c r="B19" s="53"/>
      <c r="C19" s="47"/>
      <c r="D19" s="48"/>
      <c r="E19" s="36" t="s">
        <v>305</v>
      </c>
      <c r="F19" s="25">
        <f>ROUND(+SUM(F18:F18),2)</f>
        <v>81141.039999999994</v>
      </c>
      <c r="H19" s="33">
        <f>+F19</f>
        <v>81141.039999999994</v>
      </c>
    </row>
    <row r="20" spans="1:8" s="5" customFormat="1" x14ac:dyDescent="0.25">
      <c r="A20" s="50" t="s">
        <v>486</v>
      </c>
      <c r="B20" s="52"/>
      <c r="C20" s="18"/>
      <c r="D20" s="18"/>
      <c r="E20" s="18"/>
      <c r="F20" s="24"/>
    </row>
    <row r="21" spans="1:8" x14ac:dyDescent="0.25">
      <c r="A21" s="6" t="s">
        <v>244</v>
      </c>
      <c r="B21" s="9" t="str">
        <f>+VLOOKUP($A21,INS!$A$2:$F$164,3,FALSE)</f>
        <v>Herramienta menor</v>
      </c>
      <c r="C21" s="6" t="str">
        <f>+VLOOKUP($A21,INS!$A$2:$F$164,4,FALSE)</f>
        <v>(%)MO</v>
      </c>
      <c r="D21" s="162">
        <v>0.1</v>
      </c>
      <c r="E21" s="7">
        <f>+$F$19</f>
        <v>81141.039999999994</v>
      </c>
      <c r="F21" s="7">
        <f>+ROUND($E21*$D21,2)</f>
        <v>8114.1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ROUND(+SUM(F21:F21),2)</f>
        <v>8114.1</v>
      </c>
      <c r="H22" s="33">
        <f>+F22</f>
        <v>8114.1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str">
        <f>+CONCATENATE("COSTO DIRECTRO ITEM ",F5," ",B5)</f>
        <v>COSTO DIRECTRO ITEM 7.02 Filtro en Geotextil (NT-1600 o Similar) - 1,50 * 0,5 Mts.</v>
      </c>
      <c r="B24" s="403"/>
      <c r="C24" s="403"/>
      <c r="D24" s="403"/>
      <c r="E24" s="403"/>
      <c r="F24" s="62">
        <f>ROUND(+SUM(H11:H22),2)</f>
        <v>211580.14</v>
      </c>
    </row>
    <row r="26" spans="1:8" x14ac:dyDescent="0.25">
      <c r="F26" s="2"/>
    </row>
    <row r="27" spans="1:8" x14ac:dyDescent="0.25">
      <c r="D27" s="115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Hoja62"/>
  <dimension ref="A1:H26"/>
  <sheetViews>
    <sheetView view="pageBreakPreview" zoomScaleNormal="100" zoomScaleSheetLayoutView="100" workbookViewId="0">
      <selection activeCell="G9" sqref="G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str">
        <f>+VLOOKUP(F5,PPTO!$A$9:$F$52,2,FALSE)</f>
        <v>Canal disipador en concreto de 4000 PSI (Alto: 2.0 m, Base: 2.0m, E=0.2m)</v>
      </c>
      <c r="C5" s="376"/>
      <c r="D5" s="376"/>
      <c r="E5" s="10" t="s">
        <v>480</v>
      </c>
      <c r="F5" s="63" t="s">
        <v>371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+F22</f>
        <v>21569.239999999998</v>
      </c>
    </row>
    <row r="7" spans="1:8" x14ac:dyDescent="0.25">
      <c r="A7" s="59" t="s">
        <v>483</v>
      </c>
      <c r="B7" s="407">
        <f>+VLOOKUP(F5,PPTO!$A$9:$F$52,4,FALSE)</f>
        <v>160.13999999999999</v>
      </c>
      <c r="C7" s="407"/>
      <c r="D7" s="407"/>
      <c r="E7" s="60" t="s">
        <v>484</v>
      </c>
      <c r="F7" s="61">
        <f>+ROUND(F6*B7,2)</f>
        <v>3454098.09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139</v>
      </c>
      <c r="B11" s="14" t="str">
        <f>+VLOOKUP($A11,INS!$A$2:$F$166,3,FALSE)</f>
        <v>Semillas para empradizar</v>
      </c>
      <c r="C11" s="15" t="str">
        <f>+VLOOKUP($A11,INS!$A$2:$F$166,4,FALSE)</f>
        <v>Kg</v>
      </c>
      <c r="D11" s="37">
        <v>0.2</v>
      </c>
      <c r="E11" s="16">
        <f>+VLOOKUP($A11,INS!$A$2:$F$166,6,FALSE)</f>
        <v>39150</v>
      </c>
      <c r="F11" s="16">
        <f>+ROUND($E11*$D11,2)</f>
        <v>7830</v>
      </c>
    </row>
    <row r="12" spans="1:8" x14ac:dyDescent="0.25">
      <c r="A12" s="6" t="s">
        <v>145</v>
      </c>
      <c r="B12" s="9" t="str">
        <f>+VLOOKUP($A12,INS!$A$2:$F$164,3,FALSE)</f>
        <v>Tierra negra abonada</v>
      </c>
      <c r="C12" s="6" t="str">
        <f>+VLOOKUP($A12,INS!$A$2:$F$164,4,FALSE)</f>
        <v>m3</v>
      </c>
      <c r="D12" s="34">
        <v>0.01</v>
      </c>
      <c r="E12" s="7">
        <f>+VLOOKUP($A12,INS!$A$2:$F$164,6,FALSE)</f>
        <v>150000</v>
      </c>
      <c r="F12" s="7">
        <f t="shared" ref="F12" si="0">+ROUND($E12*$D12,2)</f>
        <v>1500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9330</v>
      </c>
      <c r="H13" s="33">
        <f>+F13</f>
        <v>9330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204</v>
      </c>
      <c r="B15" s="14" t="str">
        <f>+VLOOKUP($A15,INS!$A$2:$F$166,3,FALSE)</f>
        <v>Cuadrilla 1:2 (1Of+2 Ay)</v>
      </c>
      <c r="C15" s="15" t="str">
        <f>+VLOOKUP($A15,INS!$A$2:$F$166,4,FALSE)</f>
        <v>JOR</v>
      </c>
      <c r="D15" s="37">
        <v>3.3329999999999999E-2</v>
      </c>
      <c r="E15" s="16">
        <f>+VLOOKUP($A15,INS!$A$2:$F$166,6,FALSE)</f>
        <v>281435</v>
      </c>
      <c r="F15" s="16">
        <f>+ROUND($E15*$D15,2)</f>
        <v>9380.23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9380.23</v>
      </c>
      <c r="H16" s="33">
        <f>+F16</f>
        <v>9380.23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6" t="s">
        <v>244</v>
      </c>
      <c r="B18" s="9" t="str">
        <f>+VLOOKUP($A18,INS!$A$2:$F$164,3,FALSE)</f>
        <v>Herramienta menor</v>
      </c>
      <c r="C18" s="6" t="str">
        <f>+VLOOKUP($A18,INS!$A$2:$F$164,4,FALSE)</f>
        <v>(%)MO</v>
      </c>
      <c r="D18" s="34">
        <v>5</v>
      </c>
      <c r="E18" s="7">
        <f>+$F$16</f>
        <v>9380.23</v>
      </c>
      <c r="F18" s="7">
        <f>+ROUND($E18*$D18/100,2)</f>
        <v>469.01</v>
      </c>
    </row>
    <row r="19" spans="1:8" x14ac:dyDescent="0.25">
      <c r="A19" s="6" t="s">
        <v>259</v>
      </c>
      <c r="B19" s="9" t="str">
        <f>+VLOOKUP($A19,INS!$A$2:$F$166,3,FALSE)</f>
        <v>Andamio Colgante</v>
      </c>
      <c r="C19" s="6" t="str">
        <f>+VLOOKUP($A19,INS!$A$2:$F$166,4,FALSE)</f>
        <v>DIA</v>
      </c>
      <c r="D19" s="34">
        <v>0.1</v>
      </c>
      <c r="E19" s="7">
        <f>+VLOOKUP($A19,INS!$A$2:$F$166,6,FALSE)</f>
        <v>23900</v>
      </c>
      <c r="F19" s="7">
        <f t="shared" ref="F19" si="1">+ROUND($E19*$D19,2)</f>
        <v>2390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+SUM(F18:F19)</f>
        <v>2859.01</v>
      </c>
      <c r="H20" s="33">
        <f>+F20</f>
        <v>2859.01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str">
        <f>+CONCATENATE("COSTO DIRECTRO ITEM ",F5," ",B5)</f>
        <v>COSTO DIRECTRO ITEM 7.04 Canal disipador en concreto de 4000 PSI (Alto: 2.0 m, Base: 2.0m, E=0.2m)</v>
      </c>
      <c r="B22" s="403"/>
      <c r="C22" s="403"/>
      <c r="D22" s="403"/>
      <c r="E22" s="403"/>
      <c r="F22" s="62">
        <f>+SUM(H11:H20)</f>
        <v>21569.239999999998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Hoja63"/>
  <dimension ref="A1:H28"/>
  <sheetViews>
    <sheetView view="pageBreakPreview" zoomScaleNormal="100" zoomScaleSheetLayoutView="100" workbookViewId="0">
      <selection activeCell="F3" sqref="A3:XFD4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9" style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+PPTO!#REF!</f>
        <v>#REF!</v>
      </c>
      <c r="C5" s="376"/>
      <c r="D5" s="376"/>
      <c r="E5" s="10" t="s">
        <v>480</v>
      </c>
      <c r="F5" s="63" t="s">
        <v>372</v>
      </c>
    </row>
    <row r="6" spans="1:8" x14ac:dyDescent="0.25">
      <c r="A6" s="57" t="s">
        <v>481</v>
      </c>
      <c r="B6" s="408" t="s">
        <v>31</v>
      </c>
      <c r="C6" s="408"/>
      <c r="D6" s="408"/>
      <c r="E6" s="10" t="s">
        <v>482</v>
      </c>
      <c r="F6" s="58">
        <f>+F24</f>
        <v>979680.26</v>
      </c>
    </row>
    <row r="7" spans="1:8" x14ac:dyDescent="0.25">
      <c r="A7" s="59" t="s">
        <v>483</v>
      </c>
      <c r="B7" s="407">
        <v>2</v>
      </c>
      <c r="C7" s="407"/>
      <c r="D7" s="407"/>
      <c r="E7" s="60" t="s">
        <v>484</v>
      </c>
      <c r="F7" s="61">
        <f>+ROUND(F6*B7,2)</f>
        <v>1959360.52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12.75" customHeight="1" x14ac:dyDescent="0.25">
      <c r="A11" s="15" t="s">
        <v>47</v>
      </c>
      <c r="B11" s="14" t="s">
        <v>540</v>
      </c>
      <c r="C11" s="15" t="s">
        <v>27</v>
      </c>
      <c r="D11" s="37">
        <f>+(1.2*1.2*1.2)-(1*1*1)</f>
        <v>0.72799999999999998</v>
      </c>
      <c r="E11" s="16">
        <v>626000</v>
      </c>
      <c r="F11" s="16">
        <f>+ROUND($E11*$D11,2)</f>
        <v>455728</v>
      </c>
    </row>
    <row r="12" spans="1:8" x14ac:dyDescent="0.25">
      <c r="A12" s="6" t="s">
        <v>7</v>
      </c>
      <c r="B12" s="9" t="s">
        <v>547</v>
      </c>
      <c r="C12" s="6" t="s">
        <v>9</v>
      </c>
      <c r="D12" s="34">
        <v>51.9</v>
      </c>
      <c r="E12" s="7">
        <v>7550</v>
      </c>
      <c r="F12" s="7">
        <f t="shared" ref="F12:F14" si="0">+ROUND($E12*$D12,2)</f>
        <v>391845</v>
      </c>
    </row>
    <row r="13" spans="1:8" x14ac:dyDescent="0.25">
      <c r="A13" s="6" t="s">
        <v>174</v>
      </c>
      <c r="B13" s="9" t="s">
        <v>175</v>
      </c>
      <c r="C13" s="6" t="s">
        <v>176</v>
      </c>
      <c r="D13" s="34">
        <v>4</v>
      </c>
      <c r="E13" s="7">
        <f>+F11+F12+F14</f>
        <v>857169.1</v>
      </c>
      <c r="F13" s="7">
        <f>+ROUND($E13*$D13/100,2)</f>
        <v>34286.76</v>
      </c>
    </row>
    <row r="14" spans="1:8" x14ac:dyDescent="0.25">
      <c r="A14" s="6" t="s">
        <v>141</v>
      </c>
      <c r="B14" s="9" t="s">
        <v>142</v>
      </c>
      <c r="C14" s="6" t="s">
        <v>9</v>
      </c>
      <c r="D14" s="34">
        <v>1.45</v>
      </c>
      <c r="E14" s="7">
        <v>6618</v>
      </c>
      <c r="F14" s="7">
        <f t="shared" si="0"/>
        <v>9596.1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891455.86</v>
      </c>
      <c r="H15" s="33">
        <f>+F15</f>
        <v>891455.86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202</v>
      </c>
      <c r="B17" s="14" t="s">
        <v>203</v>
      </c>
      <c r="C17" s="15" t="s">
        <v>191</v>
      </c>
      <c r="D17" s="37">
        <v>0.4</v>
      </c>
      <c r="E17" s="16">
        <v>200510</v>
      </c>
      <c r="F17" s="16">
        <f>+ROUND($E17*$D17,2)</f>
        <v>80204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80204</v>
      </c>
      <c r="H18" s="33">
        <f>+F18</f>
        <v>80204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">
        <v>245</v>
      </c>
      <c r="C20" s="6" t="s">
        <v>246</v>
      </c>
      <c r="D20" s="34">
        <v>10</v>
      </c>
      <c r="E20" s="7">
        <f>+$F$18</f>
        <v>80204</v>
      </c>
      <c r="F20" s="7">
        <f>+ROUND($E20*$D20/100,2)</f>
        <v>8020.4</v>
      </c>
    </row>
    <row r="21" spans="1:8" x14ac:dyDescent="0.25">
      <c r="A21" s="6" t="s">
        <v>254</v>
      </c>
      <c r="B21" s="9" t="s">
        <v>255</v>
      </c>
      <c r="C21" s="6" t="s">
        <v>37</v>
      </c>
      <c r="D21" s="34">
        <f>+D17*8</f>
        <v>3.2</v>
      </c>
      <c r="E21" s="7">
        <v>11000</v>
      </c>
      <c r="F21" s="7">
        <f t="shared" ref="F21" si="1">+ROUND($E21*$D21,2)</f>
        <v>35200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+SUM(F20:F20)</f>
        <v>8020.4</v>
      </c>
      <c r="H22" s="33">
        <f>+F22</f>
        <v>8020.4</v>
      </c>
    </row>
    <row r="23" spans="1:8" x14ac:dyDescent="0.25">
      <c r="A23" s="28"/>
      <c r="B23" s="51"/>
      <c r="C23" s="30"/>
      <c r="D23" s="65"/>
      <c r="E23" s="66"/>
      <c r="F23" s="42"/>
    </row>
    <row r="24" spans="1:8" s="5" customFormat="1" ht="29.25" customHeight="1" x14ac:dyDescent="0.25">
      <c r="A24" s="403" t="e">
        <f>+CONCATENATE("COSTO DIRECTRO ITEM ",F5," ",B5)</f>
        <v>#REF!</v>
      </c>
      <c r="B24" s="403"/>
      <c r="C24" s="403"/>
      <c r="D24" s="403"/>
      <c r="E24" s="403"/>
      <c r="F24" s="62">
        <f>+SUM(H11:H22)</f>
        <v>979680.26</v>
      </c>
    </row>
    <row r="25" spans="1:8" ht="9" customHeight="1" x14ac:dyDescent="0.25"/>
    <row r="26" spans="1:8" ht="26.25" customHeight="1" x14ac:dyDescent="0.25">
      <c r="F26" s="2"/>
    </row>
    <row r="28" spans="1:8" x14ac:dyDescent="0.25">
      <c r="F28" s="32"/>
    </row>
  </sheetData>
  <mergeCells count="8">
    <mergeCell ref="A24:E24"/>
    <mergeCell ref="B7:D7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Hoja64">
    <pageSetUpPr fitToPage="1"/>
  </sheetPr>
  <dimension ref="A1:H21"/>
  <sheetViews>
    <sheetView view="pageBreakPreview" topLeftCell="A2" zoomScaleNormal="100" zoomScaleSheetLayoutView="100" workbookViewId="0">
      <selection activeCell="G11" sqref="G11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str">
        <f>+VLOOKUP(F5,PPTO!$A$9:$F$52,2,FALSE)</f>
        <v>Limpieza general de la Obra</v>
      </c>
      <c r="C5" s="376"/>
      <c r="D5" s="376"/>
      <c r="E5" s="10" t="s">
        <v>480</v>
      </c>
      <c r="F5" s="63" t="s">
        <v>370</v>
      </c>
    </row>
    <row r="6" spans="1:8" x14ac:dyDescent="0.25">
      <c r="A6" s="57" t="s">
        <v>481</v>
      </c>
      <c r="B6" s="408" t="str">
        <f>+VLOOKUP(F5,PPTO!$A$9:$F$52,3,FALSE)</f>
        <v>M2</v>
      </c>
      <c r="C6" s="408"/>
      <c r="D6" s="408"/>
      <c r="E6" s="10" t="s">
        <v>482</v>
      </c>
      <c r="F6" s="58">
        <f>+F17</f>
        <v>1922.61</v>
      </c>
    </row>
    <row r="7" spans="1:8" x14ac:dyDescent="0.25">
      <c r="A7" s="59" t="s">
        <v>483</v>
      </c>
      <c r="B7" s="407">
        <f>+VLOOKUP(F5,PPTO!$A$9:$F$52,4,FALSE)</f>
        <v>4314.07</v>
      </c>
      <c r="C7" s="407"/>
      <c r="D7" s="407"/>
      <c r="E7" s="60" t="s">
        <v>484</v>
      </c>
      <c r="F7" s="61">
        <f>+ROUND(F6*B7,2)</f>
        <v>8294274.1200000001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51</v>
      </c>
      <c r="B11" s="14" t="str">
        <f>+VLOOKUP($A11,INS!$A$2:$F$166,3,FALSE)</f>
        <v>Detergentes y acidos</v>
      </c>
      <c r="C11" s="15" t="str">
        <f>+VLOOKUP($A11,INS!$A$2:$F$166,4,FALSE)</f>
        <v>Und</v>
      </c>
      <c r="D11" s="163">
        <v>0.04</v>
      </c>
      <c r="E11" s="16">
        <f>+VLOOKUP($A11,INS!$A$2:$F$166,6,FALSE)</f>
        <v>10500</v>
      </c>
      <c r="F11" s="16">
        <f>+ROUND($E11*$D11,2)</f>
        <v>420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420</v>
      </c>
      <c r="H12" s="33">
        <f>+F12</f>
        <v>420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+VLOOKUP($A14,INS!$A$2:$F$166,3,FALSE)</f>
        <v>Cuadrilla 1:2 (1Of+2 Ay)</v>
      </c>
      <c r="C14" s="15" t="str">
        <f>+VLOOKUP($A14,INS!$A$2:$F$166,4,FALSE)</f>
        <v>JOR</v>
      </c>
      <c r="D14" s="163">
        <v>187.29711060667955</v>
      </c>
      <c r="E14" s="16">
        <f>+VLOOKUP($A14,INS!$A$2:$F$166,6,FALSE)</f>
        <v>281435</v>
      </c>
      <c r="F14" s="16">
        <f>+ROUND($E14/$D14,2)</f>
        <v>1502.61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1502.61</v>
      </c>
      <c r="H15" s="33">
        <f>+F15</f>
        <v>1502.61</v>
      </c>
    </row>
    <row r="16" spans="1:8" ht="9" customHeight="1" x14ac:dyDescent="0.25">
      <c r="A16" s="28"/>
      <c r="B16" s="51"/>
      <c r="C16" s="30"/>
      <c r="D16" s="65"/>
      <c r="E16" s="66"/>
      <c r="F16" s="42"/>
    </row>
    <row r="17" spans="1:6" s="5" customFormat="1" ht="26.25" customHeight="1" x14ac:dyDescent="0.25">
      <c r="A17" s="403" t="str">
        <f>+CONCATENATE("COSTO DIRECTRO ITEM ",F5," ",B5)</f>
        <v>COSTO DIRECTRO ITEM 7.03 Limpieza general de la Obra</v>
      </c>
      <c r="B17" s="403"/>
      <c r="C17" s="403"/>
      <c r="D17" s="403"/>
      <c r="E17" s="403"/>
      <c r="F17" s="62">
        <f>+SUM(H11:H15)</f>
        <v>1922.61</v>
      </c>
    </row>
    <row r="19" spans="1:6" x14ac:dyDescent="0.25">
      <c r="F19" s="2"/>
    </row>
    <row r="21" spans="1:6" x14ac:dyDescent="0.25">
      <c r="F21" s="32"/>
    </row>
  </sheetData>
  <mergeCells count="8">
    <mergeCell ref="B7:D7"/>
    <mergeCell ref="A17:E17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Hoja65"/>
  <dimension ref="A1:H37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67" t="s">
        <v>367</v>
      </c>
    </row>
    <row r="5" spans="1: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374</v>
      </c>
    </row>
    <row r="6" spans="1: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+F33</f>
        <v>408892.54000000004</v>
      </c>
    </row>
    <row r="7" spans="1: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42</v>
      </c>
      <c r="B11" s="14" t="str">
        <f>+VLOOKUP($A11,INS!$A$2:$F$166,3,FALSE)</f>
        <v>Cemento gris x 50 Kg</v>
      </c>
      <c r="C11" s="15" t="str">
        <f>+VLOOKUP($A11,INS!$A$2:$F$166,4,FALSE)</f>
        <v>BLT</v>
      </c>
      <c r="D11" s="37">
        <v>5</v>
      </c>
      <c r="E11" s="16">
        <f>+VLOOKUP($A11,INS!$A$2:$F$166,6,FALSE)</f>
        <v>32500</v>
      </c>
      <c r="F11" s="16">
        <f>+ROUND($E11*$D11,2)</f>
        <v>162500</v>
      </c>
    </row>
    <row r="12" spans="1:6" x14ac:dyDescent="0.25">
      <c r="A12" s="6" t="s">
        <v>130</v>
      </c>
      <c r="B12" s="9" t="str">
        <f>+VLOOKUP($A12,INS!$A$2:$F$164,3,FALSE)</f>
        <v>Puntilla corriente de 3"</v>
      </c>
      <c r="C12" s="6" t="str">
        <f>+VLOOKUP($A12,INS!$A$2:$F$164,4,FALSE)</f>
        <v>lb</v>
      </c>
      <c r="D12" s="34">
        <v>0.5</v>
      </c>
      <c r="E12" s="7">
        <f>+VLOOKUP($A12,INS!$A$2:$F$164,6,FALSE)</f>
        <v>2600</v>
      </c>
      <c r="F12" s="7">
        <f t="shared" ref="F12:F18" si="0">+ROUND($E12*$D12,2)</f>
        <v>1300</v>
      </c>
    </row>
    <row r="13" spans="1:6" x14ac:dyDescent="0.25">
      <c r="A13" s="6" t="s">
        <v>34</v>
      </c>
      <c r="B13" s="9" t="str">
        <f>+VLOOKUP($A13,INS!$A$2:$F$164,3,FALSE)</f>
        <v>Bolsacreto (2.40x1.20*0.35m)</v>
      </c>
      <c r="C13" s="6" t="str">
        <f>+VLOOKUP($A13,INS!$A$2:$F$164,4,FALSE)</f>
        <v>Und</v>
      </c>
      <c r="D13" s="34">
        <v>1</v>
      </c>
      <c r="E13" s="7">
        <f>+VLOOKUP($A13,INS!$A$2:$F$164,6,FALSE)</f>
        <v>35800</v>
      </c>
      <c r="F13" s="7">
        <f t="shared" si="0"/>
        <v>35800</v>
      </c>
    </row>
    <row r="14" spans="1:6" x14ac:dyDescent="0.25">
      <c r="A14" s="6" t="s">
        <v>158</v>
      </c>
      <c r="B14" s="9" t="str">
        <f>+VLOOKUP($A14,INS!$A$2:$F$164,3,FALSE)</f>
        <v>Tuberia PVC Sanitario 6"</v>
      </c>
      <c r="C14" s="6" t="str">
        <f>+VLOOKUP($A14,INS!$A$2:$F$164,4,FALSE)</f>
        <v>m</v>
      </c>
      <c r="D14" s="34">
        <v>0.40500000000000003</v>
      </c>
      <c r="E14" s="7">
        <f>+VLOOKUP($A14,INS!$A$2:$F$164,6,FALSE)</f>
        <v>20000</v>
      </c>
      <c r="F14" s="7">
        <f t="shared" si="0"/>
        <v>8100</v>
      </c>
    </row>
    <row r="15" spans="1:6" x14ac:dyDescent="0.25">
      <c r="A15" s="6" t="s">
        <v>13</v>
      </c>
      <c r="B15" s="9" t="str">
        <f>+VLOOKUP($A15,INS!$A$2:$F$164,3,FALSE)</f>
        <v>Agua</v>
      </c>
      <c r="C15" s="6" t="str">
        <f>+VLOOKUP($A15,INS!$A$2:$F$164,4,FALSE)</f>
        <v>L</v>
      </c>
      <c r="D15" s="34">
        <v>160</v>
      </c>
      <c r="E15" s="7">
        <f>+VLOOKUP($A15,INS!$A$2:$F$164,6,FALSE)</f>
        <v>50</v>
      </c>
      <c r="F15" s="7">
        <f t="shared" si="0"/>
        <v>8000</v>
      </c>
    </row>
    <row r="16" spans="1:6" x14ac:dyDescent="0.25">
      <c r="A16" s="6" t="s">
        <v>28</v>
      </c>
      <c r="B16" s="9" t="str">
        <f>+VLOOKUP($A16,INS!$A$2:$F$164,3,FALSE)</f>
        <v>Arena de rio</v>
      </c>
      <c r="C16" s="6" t="str">
        <f>+VLOOKUP($A16,INS!$A$2:$F$164,4,FALSE)</f>
        <v>m3</v>
      </c>
      <c r="D16" s="34">
        <v>0.36</v>
      </c>
      <c r="E16" s="7">
        <f>+VLOOKUP($A16,INS!$A$2:$F$164,6,FALSE)</f>
        <v>74106</v>
      </c>
      <c r="F16" s="7">
        <f t="shared" si="0"/>
        <v>26678.16</v>
      </c>
    </row>
    <row r="17" spans="1:8" x14ac:dyDescent="0.25">
      <c r="A17" s="6" t="s">
        <v>16</v>
      </c>
      <c r="B17" s="9" t="str">
        <f>+VLOOKUP($A17,INS!$A$2:$F$164,3,FALSE)</f>
        <v>Alambron</v>
      </c>
      <c r="C17" s="6" t="str">
        <f>+VLOOKUP($A17,INS!$A$2:$F$164,4,FALSE)</f>
        <v>Kg</v>
      </c>
      <c r="D17" s="34">
        <v>0.7</v>
      </c>
      <c r="E17" s="7">
        <f>+VLOOKUP($A17,INS!$A$2:$F$164,6,FALSE)</f>
        <v>4500</v>
      </c>
      <c r="F17" s="7">
        <f t="shared" si="0"/>
        <v>3150</v>
      </c>
    </row>
    <row r="18" spans="1:8" x14ac:dyDescent="0.25">
      <c r="A18" s="6" t="s">
        <v>7</v>
      </c>
      <c r="B18" s="9" t="str">
        <f>+VLOOKUP($A18,INS!$A$2:$F$164,3,FALSE)</f>
        <v>Suministro de Acero de 60000 psi y figurado</v>
      </c>
      <c r="C18" s="6" t="str">
        <f>+VLOOKUP($A18,INS!$A$2:$F$164,4,FALSE)</f>
        <v>Kg</v>
      </c>
      <c r="D18" s="34">
        <v>2</v>
      </c>
      <c r="E18" s="7">
        <f>+VLOOKUP($A18,INS!$A$2:$F$164,6,FALSE)</f>
        <v>4740.6499999999996</v>
      </c>
      <c r="F18" s="7">
        <f t="shared" si="0"/>
        <v>9481.2999999999993</v>
      </c>
    </row>
    <row r="19" spans="1:8" s="5" customFormat="1" x14ac:dyDescent="0.25">
      <c r="A19" s="46"/>
      <c r="B19" s="53"/>
      <c r="C19" s="47"/>
      <c r="D19" s="48"/>
      <c r="E19" s="36" t="s">
        <v>305</v>
      </c>
      <c r="F19" s="25">
        <f>+SUM(F11:F18)</f>
        <v>255009.46</v>
      </c>
      <c r="H19" s="33">
        <f>+F19</f>
        <v>255009.46</v>
      </c>
    </row>
    <row r="20" spans="1:8" s="5" customFormat="1" x14ac:dyDescent="0.25">
      <c r="A20" s="50" t="s">
        <v>189</v>
      </c>
      <c r="B20" s="52"/>
      <c r="C20" s="18"/>
      <c r="D20" s="18"/>
      <c r="E20" s="18"/>
      <c r="F20" s="24"/>
    </row>
    <row r="21" spans="1:8" x14ac:dyDescent="0.25">
      <c r="A21" s="15" t="s">
        <v>210</v>
      </c>
      <c r="B21" s="14" t="str">
        <f>+VLOOKUP($A21,INS!$A$2:$F$166,3,FALSE)</f>
        <v>Cuadrilla 1:7 (1Of+7 Ay)</v>
      </c>
      <c r="C21" s="15" t="str">
        <f>+VLOOKUP($A21,INS!$A$2:$F$166,4,FALSE)</f>
        <v>JOR</v>
      </c>
      <c r="D21" s="37">
        <v>0.16667000000000001</v>
      </c>
      <c r="E21" s="16">
        <f>+VLOOKUP($A21,INS!$A$2:$F$166,6,FALSE)</f>
        <v>683485</v>
      </c>
      <c r="F21" s="16">
        <f>+ROUND($E21*$D21,2)</f>
        <v>113916.44</v>
      </c>
    </row>
    <row r="22" spans="1:8" s="5" customFormat="1" x14ac:dyDescent="0.25">
      <c r="A22" s="46"/>
      <c r="B22" s="53"/>
      <c r="C22" s="47"/>
      <c r="D22" s="48"/>
      <c r="E22" s="36" t="s">
        <v>305</v>
      </c>
      <c r="F22" s="25">
        <f>+SUM(F21:F21)</f>
        <v>113916.44</v>
      </c>
      <c r="H22" s="33">
        <f>+F22</f>
        <v>113916.44</v>
      </c>
    </row>
    <row r="23" spans="1:8" s="5" customFormat="1" x14ac:dyDescent="0.25">
      <c r="A23" s="50" t="s">
        <v>486</v>
      </c>
      <c r="B23" s="52"/>
      <c r="C23" s="18"/>
      <c r="D23" s="18"/>
      <c r="E23" s="18"/>
      <c r="F23" s="24"/>
    </row>
    <row r="24" spans="1:8" x14ac:dyDescent="0.25">
      <c r="A24" s="6" t="s">
        <v>244</v>
      </c>
      <c r="B24" s="9" t="str">
        <f>+VLOOKUP($A24,INS!$A$2:$F$164,3,FALSE)</f>
        <v>Herramienta menor</v>
      </c>
      <c r="C24" s="6" t="str">
        <f>+VLOOKUP($A24,INS!$A$2:$F$164,4,FALSE)</f>
        <v>(%)MO</v>
      </c>
      <c r="D24" s="34">
        <v>10</v>
      </c>
      <c r="E24" s="7">
        <f>+$F$22</f>
        <v>113916.44</v>
      </c>
      <c r="F24" s="7">
        <f>+ROUND($E24*$D24/100,2)</f>
        <v>11391.64</v>
      </c>
    </row>
    <row r="25" spans="1:8" x14ac:dyDescent="0.25">
      <c r="A25" s="6" t="s">
        <v>262</v>
      </c>
      <c r="B25" s="9" t="str">
        <f>+VLOOKUP($A25,INS!$A$2:$F$166,3,FALSE)</f>
        <v>Planta generadora 7KVA</v>
      </c>
      <c r="C25" s="6" t="str">
        <f>+VLOOKUP($A25,INS!$A$2:$F$166,4,FALSE)</f>
        <v>DIA</v>
      </c>
      <c r="D25" s="34">
        <v>0.05</v>
      </c>
      <c r="E25" s="7">
        <f>+VLOOKUP($A25,INS!$A$2:$F$166,6,FALSE)</f>
        <v>55000</v>
      </c>
      <c r="F25" s="7">
        <f t="shared" ref="F25:F27" si="1">+ROUND($E25*$D25,2)</f>
        <v>2750</v>
      </c>
    </row>
    <row r="26" spans="1:8" x14ac:dyDescent="0.25">
      <c r="A26" s="6" t="s">
        <v>264</v>
      </c>
      <c r="B26" s="9" t="str">
        <f>+VLOOKUP($A26,INS!$A$2:$F$166,3,FALSE)</f>
        <v>karmix</v>
      </c>
      <c r="C26" s="6" t="str">
        <f>+VLOOKUP($A26,INS!$A$2:$F$166,4,FALSE)</f>
        <v>DIA</v>
      </c>
      <c r="D26" s="34">
        <v>0.08</v>
      </c>
      <c r="E26" s="7">
        <f>+VLOOKUP($A26,INS!$A$2:$F$166,6,FALSE)</f>
        <v>240000</v>
      </c>
      <c r="F26" s="7">
        <f t="shared" si="1"/>
        <v>19200</v>
      </c>
    </row>
    <row r="27" spans="1:8" x14ac:dyDescent="0.25">
      <c r="A27" s="6" t="s">
        <v>266</v>
      </c>
      <c r="B27" s="9" t="str">
        <f>+VLOOKUP($A27,INS!$A$2:$F$166,3,FALSE)</f>
        <v>Equipo de bombeo</v>
      </c>
      <c r="C27" s="6" t="str">
        <f>+VLOOKUP($A27,INS!$A$2:$F$166,4,FALSE)</f>
        <v>HORA</v>
      </c>
      <c r="D27" s="34">
        <v>0.25</v>
      </c>
      <c r="E27" s="7">
        <f>+VLOOKUP($A27,INS!$A$2:$F$166,6,FALSE)</f>
        <v>20000</v>
      </c>
      <c r="F27" s="7">
        <f t="shared" si="1"/>
        <v>5000</v>
      </c>
    </row>
    <row r="28" spans="1:8" s="5" customFormat="1" x14ac:dyDescent="0.25">
      <c r="A28" s="40"/>
      <c r="B28" s="54"/>
      <c r="C28" s="41"/>
      <c r="D28" s="45"/>
      <c r="E28" s="35" t="s">
        <v>305</v>
      </c>
      <c r="F28" s="25">
        <f>+SUM(F24:F27)</f>
        <v>38341.64</v>
      </c>
      <c r="H28" s="33">
        <f>+F28</f>
        <v>38341.64</v>
      </c>
    </row>
    <row r="29" spans="1:8" s="5" customFormat="1" x14ac:dyDescent="0.25">
      <c r="A29" s="50" t="s">
        <v>487</v>
      </c>
      <c r="B29" s="52"/>
      <c r="C29" s="18"/>
      <c r="D29" s="18"/>
      <c r="E29" s="18"/>
      <c r="F29" s="24"/>
      <c r="H29" s="33"/>
    </row>
    <row r="30" spans="1:8" s="5" customFormat="1" x14ac:dyDescent="0.25">
      <c r="A30" s="15" t="s">
        <v>281</v>
      </c>
      <c r="B30" s="14" t="str">
        <f>+VLOOKUP($A30,INS!$A$2:$F$192,3,FALSE)</f>
        <v>Transporte de material en sitio</v>
      </c>
      <c r="C30" s="15" t="str">
        <f>+VLOOKUP($A30,INS!$A$2:$F$192,4,FALSE)</f>
        <v>m3-Km</v>
      </c>
      <c r="D30" s="37">
        <v>1.25</v>
      </c>
      <c r="E30" s="16">
        <f>+VLOOKUP($A30,INS!$A$2:$F$192,6,FALSE)</f>
        <v>1300</v>
      </c>
      <c r="F30" s="16">
        <f>+ROUND($E30*$D30,2)</f>
        <v>1625</v>
      </c>
      <c r="H30" s="33"/>
    </row>
    <row r="31" spans="1:8" s="5" customFormat="1" x14ac:dyDescent="0.25">
      <c r="A31" s="46"/>
      <c r="B31" s="53"/>
      <c r="C31" s="47"/>
      <c r="D31" s="48"/>
      <c r="E31" s="36" t="s">
        <v>305</v>
      </c>
      <c r="F31" s="25">
        <f>+SUM(F30:F30)</f>
        <v>1625</v>
      </c>
      <c r="H31" s="33">
        <f>+F31</f>
        <v>1625</v>
      </c>
    </row>
    <row r="32" spans="1:8" ht="9" customHeight="1" x14ac:dyDescent="0.25">
      <c r="A32" s="28"/>
      <c r="B32" s="51"/>
      <c r="C32" s="30"/>
      <c r="D32" s="65"/>
      <c r="E32" s="66"/>
      <c r="F32" s="42"/>
    </row>
    <row r="33" spans="1:6" s="5" customFormat="1" ht="26.25" customHeight="1" x14ac:dyDescent="0.25">
      <c r="A33" s="403" t="e">
        <f>+CONCATENATE("COSTO DIRECTRO ITEM ",F5," ",B5)</f>
        <v>#N/A</v>
      </c>
      <c r="B33" s="403"/>
      <c r="C33" s="403"/>
      <c r="D33" s="403"/>
      <c r="E33" s="403"/>
      <c r="F33" s="62">
        <f>+SUM(H11:H31)</f>
        <v>408892.54000000004</v>
      </c>
    </row>
    <row r="35" spans="1:6" x14ac:dyDescent="0.25">
      <c r="F35" s="2"/>
    </row>
    <row r="37" spans="1:6" x14ac:dyDescent="0.25">
      <c r="F37" s="32"/>
    </row>
  </sheetData>
  <mergeCells count="8">
    <mergeCell ref="B7:D7"/>
    <mergeCell ref="A33:E3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Hoja66"/>
  <dimension ref="A1:H31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25.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375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256354.5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133527.15</v>
      </c>
      <c r="F11" s="16">
        <f>+ROUND($E11*$D11/100,2)</f>
        <v>13352.72</v>
      </c>
    </row>
    <row r="12" spans="1:8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v>0.13</v>
      </c>
      <c r="E12" s="16">
        <f>+VLOOKUP($A12,INS!$A$2:$F$166,6,FALSE)</f>
        <v>626000</v>
      </c>
      <c r="F12" s="16">
        <f>+ROUND($E12*$D12,2)</f>
        <v>81380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11</v>
      </c>
      <c r="E13" s="7">
        <f>+VLOOKUP($A13,INS!$A$2:$F$164,6,FALSE)</f>
        <v>4740.6499999999996</v>
      </c>
      <c r="F13" s="7">
        <f t="shared" ref="F13" si="0">+ROUND($E13*$D13,2)</f>
        <v>52147.15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146879.87</v>
      </c>
      <c r="H14" s="33">
        <f>+F14</f>
        <v>146879.87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37">
        <v>0.25</v>
      </c>
      <c r="E16" s="16">
        <f>+VLOOKUP($A16,INS!$A$2:$F$166,6,FALSE)</f>
        <v>281435</v>
      </c>
      <c r="F16" s="16">
        <f>+ROUND($E16*$D16,2)</f>
        <v>70358.75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70358.75</v>
      </c>
      <c r="H17" s="33">
        <f>+F17</f>
        <v>70358.75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70358.75</v>
      </c>
      <c r="F19" s="7">
        <f>+ROUND($E19*$D19/100,2)</f>
        <v>7035.88</v>
      </c>
    </row>
    <row r="20" spans="1:8" ht="27" customHeight="1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f>1.4*1.2</f>
        <v>1.68</v>
      </c>
      <c r="E20" s="7">
        <f>+VLOOKUP($A20,INS!$A$2:$F$166,6,FALSE)</f>
        <v>6000</v>
      </c>
      <c r="F20" s="7">
        <f t="shared" ref="F20:F21" si="1">+ROUND($E20*$D20,2)</f>
        <v>10080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+ROUND(D16*8,5)</f>
        <v>2</v>
      </c>
      <c r="E21" s="7">
        <f>+VLOOKUP($A21,INS!$A$2:$F$166,6,FALSE)</f>
        <v>11000</v>
      </c>
      <c r="F21" s="7">
        <f t="shared" si="1"/>
        <v>22000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39115.880000000005</v>
      </c>
      <c r="H22" s="33">
        <f>+F22</f>
        <v>39115.880000000005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256354.5</v>
      </c>
    </row>
    <row r="26" spans="1:8" x14ac:dyDescent="0.25">
      <c r="F26" s="2"/>
    </row>
    <row r="28" spans="1:8" x14ac:dyDescent="0.25">
      <c r="F28" s="32"/>
    </row>
    <row r="30" spans="1:8" x14ac:dyDescent="0.25">
      <c r="E30" s="1">
        <f>+D16*10</f>
        <v>2.5</v>
      </c>
      <c r="H30" s="1">
        <f>3/8</f>
        <v>0.375</v>
      </c>
    </row>
    <row r="31" spans="1:8" x14ac:dyDescent="0.25">
      <c r="C31" s="1">
        <f>1/D16</f>
        <v>4</v>
      </c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Hoja67"/>
  <dimension ref="A1:H28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376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209701.93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128786.5</v>
      </c>
      <c r="F11" s="16">
        <f>+ROUND($E11*$D11/100,2)</f>
        <v>12878.65</v>
      </c>
    </row>
    <row r="12" spans="1:8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v>0.13</v>
      </c>
      <c r="E12" s="16">
        <f>+VLOOKUP($A12,INS!$A$2:$F$166,6,FALSE)</f>
        <v>626000</v>
      </c>
      <c r="F12" s="16">
        <f>+ROUND($E12*$D12,2)</f>
        <v>81380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10</v>
      </c>
      <c r="E13" s="7">
        <f>+VLOOKUP($A13,INS!$A$2:$F$164,6,FALSE)</f>
        <v>4740.6499999999996</v>
      </c>
      <c r="F13" s="7">
        <f t="shared" ref="F13" si="0">+ROUND($E13*$D13,2)</f>
        <v>47406.5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141665.15</v>
      </c>
      <c r="H14" s="33">
        <f>+F14</f>
        <v>141665.15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37">
        <v>0.15</v>
      </c>
      <c r="E16" s="16">
        <f>+VLOOKUP($A16,INS!$A$2:$F$166,6,FALSE)</f>
        <v>281435</v>
      </c>
      <c r="F16" s="16">
        <f>+ROUND($E16*$D16,2)</f>
        <v>42215.25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42215.25</v>
      </c>
      <c r="H17" s="33">
        <f>+F17</f>
        <v>42215.25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42215.25</v>
      </c>
      <c r="F19" s="7">
        <f>+ROUND($E19*$D19/100,2)</f>
        <v>4221.53</v>
      </c>
    </row>
    <row r="20" spans="1:8" ht="25.5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v>1.4</v>
      </c>
      <c r="E20" s="7">
        <f>+VLOOKUP($A20,INS!$A$2:$F$166,6,FALSE)</f>
        <v>6000</v>
      </c>
      <c r="F20" s="7">
        <f t="shared" ref="F20:F21" si="1">+ROUND($E20*$D20,2)</f>
        <v>8400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+ROUND(D16*8,5)</f>
        <v>1.2</v>
      </c>
      <c r="E21" s="7">
        <f>+VLOOKUP($A21,INS!$A$2:$F$166,6,FALSE)</f>
        <v>11000</v>
      </c>
      <c r="F21" s="7">
        <f t="shared" si="1"/>
        <v>13200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25821.53</v>
      </c>
      <c r="H22" s="33">
        <f>+F22</f>
        <v>25821.53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209701.93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Hoja68"/>
  <dimension ref="A1:H26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377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289656.58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32</v>
      </c>
      <c r="B11" s="14" t="str">
        <f>+VLOOKUP($A11,INS!$A$2:$F$166,3,FALSE)</f>
        <v>Piedra Bolo</v>
      </c>
      <c r="C11" s="15" t="str">
        <f>+VLOOKUP($A11,INS!$A$2:$F$166,4,FALSE)</f>
        <v>m3</v>
      </c>
      <c r="D11" s="37">
        <v>0.2</v>
      </c>
      <c r="E11" s="16">
        <f>+VLOOKUP($A11,INS!$A$2:$F$166,6,FALSE)</f>
        <v>79550</v>
      </c>
      <c r="F11" s="16">
        <f>+ROUND($E11*$D11,2)</f>
        <v>15910</v>
      </c>
    </row>
    <row r="12" spans="1:8" ht="55.5" customHeight="1" x14ac:dyDescent="0.25">
      <c r="A12" s="6" t="s">
        <v>70</v>
      </c>
      <c r="B12" s="9" t="str">
        <f>+VLOOKUP($A12,INS!$A$2:$F$164,3,FALSE)</f>
        <v>Geoesteras prefabricadas con hidromalla geoestera 50, de 0.20 m de espesor con funda para izado (incluye geocable de poliester para cierres, tensores y amarres)</v>
      </c>
      <c r="C12" s="6" t="str">
        <f>+VLOOKUP($A12,INS!$A$2:$F$164,4,FALSE)</f>
        <v>m2</v>
      </c>
      <c r="D12" s="34">
        <v>1</v>
      </c>
      <c r="E12" s="7">
        <f>+VLOOKUP($A12,INS!$A$2:$F$164,6,FALSE)</f>
        <v>225000</v>
      </c>
      <c r="F12" s="7">
        <f t="shared" ref="F12" si="0">+ROUND($E12*$D12,2)</f>
        <v>225000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240910</v>
      </c>
      <c r="H13" s="33">
        <f>+F13</f>
        <v>240910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212</v>
      </c>
      <c r="B15" s="14" t="str">
        <f>+VLOOKUP($A15,INS!$A$2:$F$166,3,FALSE)</f>
        <v>Cuadrilla 1:5 (1Of+5 Ay)</v>
      </c>
      <c r="C15" s="15" t="str">
        <f>+VLOOKUP($A15,INS!$A$2:$F$166,4,FALSE)</f>
        <v>JOR</v>
      </c>
      <c r="D15" s="37">
        <v>0.05</v>
      </c>
      <c r="E15" s="16">
        <f>+VLOOKUP($A15,INS!$A$2:$F$166,6,FALSE)</f>
        <v>522665</v>
      </c>
      <c r="F15" s="16">
        <f>+ROUND($E15*$D15,2)</f>
        <v>26133.25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26133.25</v>
      </c>
      <c r="H16" s="33">
        <f>+F16</f>
        <v>26133.25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6" t="s">
        <v>244</v>
      </c>
      <c r="B18" s="9" t="str">
        <f>+VLOOKUP($A18,INS!$A$2:$F$164,3,FALSE)</f>
        <v>Herramienta menor</v>
      </c>
      <c r="C18" s="6" t="str">
        <f>+VLOOKUP($A18,INS!$A$2:$F$164,4,FALSE)</f>
        <v>(%)MO</v>
      </c>
      <c r="D18" s="34">
        <v>10</v>
      </c>
      <c r="E18" s="7">
        <f>+$F$16</f>
        <v>26133.25</v>
      </c>
      <c r="F18" s="7">
        <f>+ROUND($E18*$D18/100,2)</f>
        <v>2613.33</v>
      </c>
    </row>
    <row r="19" spans="1:8" x14ac:dyDescent="0.25">
      <c r="A19" s="6" t="s">
        <v>268</v>
      </c>
      <c r="B19" s="9" t="str">
        <f>+VLOOKUP($A19,INS!$A$2:$F$166,3,FALSE)</f>
        <v>Equipo para izado</v>
      </c>
      <c r="C19" s="6" t="str">
        <f>+VLOOKUP($A19,INS!$A$2:$F$166,4,FALSE)</f>
        <v>HORA</v>
      </c>
      <c r="D19" s="34">
        <v>0.08</v>
      </c>
      <c r="E19" s="7">
        <f>+VLOOKUP($A19,INS!$A$2:$F$166,6,FALSE)</f>
        <v>250000</v>
      </c>
      <c r="F19" s="7">
        <f t="shared" ref="F19" si="1">+ROUND($E19*$D19,2)</f>
        <v>20000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+SUM(F18:F19)</f>
        <v>22613.33</v>
      </c>
      <c r="H20" s="33">
        <f>+F20</f>
        <v>22613.33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289656.58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Hoja69"/>
  <dimension ref="A1:P28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4.5703125" style="1" customWidth="1"/>
    <col min="9" max="9" width="16.28515625" style="1" customWidth="1"/>
    <col min="10" max="12" width="14" style="1" bestFit="1" customWidth="1"/>
    <col min="13" max="13" width="16.28515625" style="1" customWidth="1"/>
    <col min="14" max="16384" width="11.42578125" style="1"/>
  </cols>
  <sheetData>
    <row r="1" spans="1:16" x14ac:dyDescent="0.25">
      <c r="A1" s="406" t="s">
        <v>475</v>
      </c>
      <c r="B1" s="406"/>
      <c r="C1" s="406"/>
      <c r="D1" s="406"/>
      <c r="E1" s="406"/>
      <c r="F1" s="406"/>
    </row>
    <row r="2" spans="1:16" x14ac:dyDescent="0.25">
      <c r="A2" s="406" t="s">
        <v>476</v>
      </c>
      <c r="B2" s="406"/>
      <c r="C2" s="406"/>
      <c r="D2" s="406"/>
      <c r="E2" s="406"/>
      <c r="F2" s="406"/>
    </row>
    <row r="3" spans="1:1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6" ht="39" customHeight="1" x14ac:dyDescent="0.25">
      <c r="A4" s="405"/>
      <c r="B4" s="404"/>
      <c r="C4" s="404"/>
      <c r="D4" s="404"/>
      <c r="E4" s="404"/>
      <c r="F4" s="67" t="s">
        <v>367</v>
      </c>
    </row>
    <row r="5" spans="1:1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378</v>
      </c>
    </row>
    <row r="6" spans="1:1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2929281.83</v>
      </c>
      <c r="N6" s="1">
        <v>0.2</v>
      </c>
    </row>
    <row r="7" spans="1:1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16" ht="9" customHeight="1" x14ac:dyDescent="0.25">
      <c r="A8" s="28"/>
      <c r="B8" s="51"/>
      <c r="C8" s="30"/>
      <c r="D8" s="30"/>
      <c r="E8" s="30"/>
      <c r="F8" s="31"/>
      <c r="M8" s="1" t="s">
        <v>507</v>
      </c>
      <c r="N8" s="1">
        <f>1.5+$N$6</f>
        <v>1.7</v>
      </c>
      <c r="O8" s="1">
        <f>1.5+$N$6</f>
        <v>1.7</v>
      </c>
      <c r="P8" s="1">
        <f>1.2+$N$6</f>
        <v>1.4</v>
      </c>
    </row>
    <row r="9" spans="1:1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  <c r="M9" s="1" t="s">
        <v>505</v>
      </c>
      <c r="N9" s="1">
        <v>20</v>
      </c>
      <c r="O9" s="1">
        <v>18</v>
      </c>
      <c r="P9" s="1">
        <v>12</v>
      </c>
    </row>
    <row r="10" spans="1:16" s="5" customFormat="1" x14ac:dyDescent="0.25">
      <c r="A10" s="50" t="s">
        <v>8</v>
      </c>
      <c r="B10" s="52"/>
      <c r="C10" s="18"/>
      <c r="D10" s="18"/>
      <c r="E10" s="18"/>
      <c r="F10" s="24"/>
      <c r="N10" s="5" t="s">
        <v>501</v>
      </c>
      <c r="O10" s="5" t="s">
        <v>500</v>
      </c>
      <c r="P10" s="5" t="s">
        <v>502</v>
      </c>
    </row>
    <row r="11" spans="1:16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2610989.2800000003</v>
      </c>
      <c r="F11" s="7">
        <f>+ROUND($E11*$D11/100,2)</f>
        <v>104439.57</v>
      </c>
      <c r="M11" s="1" t="s">
        <v>504</v>
      </c>
      <c r="N11" s="1">
        <f>+((PI()*N8^2)/4)*N9</f>
        <v>45.396013844372504</v>
      </c>
      <c r="O11" s="1">
        <f t="shared" ref="O11" si="0">+((PI()*O8^2)/4)*O9</f>
        <v>40.85641245993525</v>
      </c>
      <c r="P11" s="1">
        <f>+((PI()*P8^2)/4)*P9</f>
        <v>18.472564803107979</v>
      </c>
    </row>
    <row r="12" spans="1:16" x14ac:dyDescent="0.25">
      <c r="A12" s="6" t="s">
        <v>47</v>
      </c>
      <c r="B12" s="9" t="str">
        <f>+VLOOKUP($A12,INS!$A$2:$F$164,3,FALSE)</f>
        <v>Concreto de 4000 psi de planta</v>
      </c>
      <c r="C12" s="6" t="str">
        <f>+VLOOKUP($A12,INS!$A$2:$F$164,4,FALSE)</f>
        <v>m3</v>
      </c>
      <c r="D12" s="34">
        <f>+ROUND(((PI()*(1.2+0.1+0.1)^2)/4)*1,5)</f>
        <v>1.53938</v>
      </c>
      <c r="E12" s="7">
        <f>+VLOOKUP($A12,INS!$A$2:$F$164,6,FALSE)</f>
        <v>626000</v>
      </c>
      <c r="F12" s="7">
        <f>+ROUND($E12*$D12,2)</f>
        <v>963651.88</v>
      </c>
      <c r="M12" s="1" t="s">
        <v>503</v>
      </c>
      <c r="N12" s="1">
        <v>9421.6</v>
      </c>
      <c r="O12" s="1">
        <v>8635.7000000000007</v>
      </c>
      <c r="P12" s="1">
        <v>4149.8</v>
      </c>
    </row>
    <row r="13" spans="1:16" x14ac:dyDescent="0.25">
      <c r="A13" s="6" t="s">
        <v>141</v>
      </c>
      <c r="B13" s="9" t="str">
        <f>+VLOOKUP($A13,INS!$A$2:$F$164,3,FALSE)</f>
        <v>Sika 1</v>
      </c>
      <c r="C13" s="6" t="str">
        <f>+VLOOKUP($A13,INS!$A$2:$F$164,4,FALSE)</f>
        <v>Kg</v>
      </c>
      <c r="D13" s="34">
        <f>ROUNDUP(0.5*(2*PI()*((1.2/2)^2)*1),1)</f>
        <v>1.2000000000000002</v>
      </c>
      <c r="E13" s="7">
        <f>+VLOOKUP($A13,INS!$A$2:$F$164,6,FALSE)</f>
        <v>6618</v>
      </c>
      <c r="F13" s="7">
        <f t="shared" ref="F13" si="1">+ROUND($E13*$D13,2)</f>
        <v>7941.6</v>
      </c>
      <c r="M13" s="1" t="s">
        <v>506</v>
      </c>
      <c r="N13" s="1">
        <f t="shared" ref="N13:O13" si="2">+N12/N9</f>
        <v>471.08000000000004</v>
      </c>
      <c r="O13" s="1">
        <f t="shared" si="2"/>
        <v>479.76111111111118</v>
      </c>
      <c r="P13" s="1">
        <f>+P12/P9</f>
        <v>345.81666666666666</v>
      </c>
    </row>
    <row r="14" spans="1:16" x14ac:dyDescent="0.25">
      <c r="A14" s="6" t="s">
        <v>7</v>
      </c>
      <c r="B14" s="9" t="str">
        <f>+VLOOKUP($A14,INS!$A$2:$F$164,3,FALSE)</f>
        <v>Suministro de Acero de 60000 psi y figurado</v>
      </c>
      <c r="C14" s="6" t="str">
        <f>+VLOOKUP($A14,INS!$A$2:$F$164,4,FALSE)</f>
        <v>Kg</v>
      </c>
      <c r="D14" s="34">
        <f>+ROUND(P13,5)</f>
        <v>345.81666999999999</v>
      </c>
      <c r="E14" s="7">
        <f>+VLOOKUP($A14,INS!$A$2:$F$164,6,FALSE)</f>
        <v>4740.6499999999996</v>
      </c>
      <c r="F14" s="7">
        <f>+ROUND($E14*$D14,2)</f>
        <v>1639395.8</v>
      </c>
    </row>
    <row r="15" spans="1:16" s="5" customFormat="1" x14ac:dyDescent="0.25">
      <c r="A15" s="46"/>
      <c r="B15" s="53"/>
      <c r="C15" s="47"/>
      <c r="D15" s="48"/>
      <c r="E15" s="36" t="s">
        <v>305</v>
      </c>
      <c r="F15" s="25">
        <f>+SUM(F11:F14)</f>
        <v>2715428.85</v>
      </c>
      <c r="H15" s="33">
        <f>+F15</f>
        <v>2715428.85</v>
      </c>
    </row>
    <row r="16" spans="1:16" s="5" customFormat="1" x14ac:dyDescent="0.25">
      <c r="A16" s="50" t="s">
        <v>189</v>
      </c>
      <c r="B16" s="52"/>
      <c r="C16" s="18"/>
      <c r="D16" s="18"/>
      <c r="E16" s="18"/>
      <c r="F16" s="24"/>
      <c r="N16" s="5">
        <f t="shared" ref="N16:O16" si="3">+((PI()*N8^2)/4)</f>
        <v>2.2698006922186251</v>
      </c>
      <c r="O16" s="5">
        <f t="shared" si="3"/>
        <v>2.2698006922186251</v>
      </c>
      <c r="P16" s="5">
        <f>+((PI()*P8^2)/4)</f>
        <v>1.5393804002589984</v>
      </c>
    </row>
    <row r="17" spans="1:10" x14ac:dyDescent="0.25">
      <c r="A17" s="15" t="s">
        <v>198</v>
      </c>
      <c r="B17" s="14" t="str">
        <f>+VLOOKUP($A17,INS!$A$2:$F$166,3,FALSE)</f>
        <v>Cuadrilla 1:3 (1Of+3 Ay)</v>
      </c>
      <c r="C17" s="15" t="str">
        <f>+VLOOKUP($A17,INS!$A$2:$F$166,4,FALSE)</f>
        <v>JOR</v>
      </c>
      <c r="D17" s="37">
        <v>0.44</v>
      </c>
      <c r="E17" s="16">
        <f>+VLOOKUP($A17,INS!$A$2:$F$166,6,FALSE)</f>
        <v>361845</v>
      </c>
      <c r="F17" s="16">
        <f>+ROUND($E17*$D17,2)</f>
        <v>159211.79999999999</v>
      </c>
    </row>
    <row r="18" spans="1:10" s="5" customFormat="1" x14ac:dyDescent="0.25">
      <c r="A18" s="46"/>
      <c r="B18" s="53"/>
      <c r="C18" s="47"/>
      <c r="D18" s="48"/>
      <c r="E18" s="36" t="s">
        <v>305</v>
      </c>
      <c r="F18" s="25">
        <f>+SUM(F17:F17)</f>
        <v>159211.79999999999</v>
      </c>
      <c r="H18" s="33">
        <f>+F18</f>
        <v>159211.79999999999</v>
      </c>
    </row>
    <row r="19" spans="1:10" s="5" customFormat="1" x14ac:dyDescent="0.25">
      <c r="A19" s="50" t="s">
        <v>486</v>
      </c>
      <c r="B19" s="52"/>
      <c r="C19" s="18"/>
      <c r="D19" s="18"/>
      <c r="E19" s="18"/>
      <c r="F19" s="24"/>
    </row>
    <row r="20" spans="1:10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159211.79999999999</v>
      </c>
      <c r="F20" s="7">
        <f>+ROUND($E20*$D20/100,2)</f>
        <v>15921.18</v>
      </c>
    </row>
    <row r="21" spans="1:10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8*D17</f>
        <v>3.52</v>
      </c>
      <c r="E21" s="7">
        <f>+VLOOKUP($A21,INS!$A$2:$F$166,6,FALSE)</f>
        <v>11000</v>
      </c>
      <c r="F21" s="7">
        <f t="shared" ref="F21" si="4">+ROUND($E21*$D21,2)</f>
        <v>38720</v>
      </c>
    </row>
    <row r="22" spans="1:10" s="5" customFormat="1" x14ac:dyDescent="0.25">
      <c r="A22" s="40"/>
      <c r="B22" s="54"/>
      <c r="C22" s="41"/>
      <c r="D22" s="45"/>
      <c r="E22" s="35" t="s">
        <v>305</v>
      </c>
      <c r="F22" s="25">
        <f>+SUM(F20:F21)</f>
        <v>54641.18</v>
      </c>
      <c r="H22" s="33">
        <f>+F22</f>
        <v>54641.18</v>
      </c>
    </row>
    <row r="23" spans="1:10" ht="9" customHeight="1" x14ac:dyDescent="0.25">
      <c r="A23" s="28"/>
      <c r="B23" s="51"/>
      <c r="C23" s="30"/>
      <c r="D23" s="65"/>
      <c r="E23" s="66"/>
      <c r="F23" s="42"/>
    </row>
    <row r="24" spans="1:10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2929281.83</v>
      </c>
    </row>
    <row r="26" spans="1:10" x14ac:dyDescent="0.25">
      <c r="F26" s="2"/>
      <c r="I26" s="1">
        <f>1/0.44</f>
        <v>2.2727272727272729</v>
      </c>
      <c r="J26" s="1">
        <f>12/I26</f>
        <v>5.2799999999999994</v>
      </c>
    </row>
    <row r="28" spans="1:10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Hoja70"/>
  <dimension ref="A1:H30"/>
  <sheetViews>
    <sheetView view="pageBreakPreview" topLeftCell="H1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379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1785154.51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5</v>
      </c>
      <c r="E11" s="16">
        <f>+F12+F13+F14</f>
        <v>1612649.23</v>
      </c>
      <c r="F11" s="7">
        <f>+ROUND($E11*$D11/100,2)</f>
        <v>80632.460000000006</v>
      </c>
    </row>
    <row r="12" spans="1:8" x14ac:dyDescent="0.25">
      <c r="A12" s="6" t="s">
        <v>185</v>
      </c>
      <c r="B12" s="9" t="str">
        <f>+VLOOKUP($A12,INS!$A$2:$F$164,3,FALSE)</f>
        <v>Tubería Alcantarrillado PVC 36"</v>
      </c>
      <c r="C12" s="6" t="str">
        <f>+VLOOKUP($A12,INS!$A$2:$F$164,4,FALSE)</f>
        <v>m</v>
      </c>
      <c r="D12" s="34">
        <v>1</v>
      </c>
      <c r="E12" s="7">
        <f>+VLOOKUP($A12,INS!$A$2:$F$164,6,FALSE)</f>
        <v>1503529.2307692308</v>
      </c>
      <c r="F12" s="7">
        <f t="shared" ref="F12:F14" si="0">+ROUND($E12*$D12,2)</f>
        <v>1503529.23</v>
      </c>
    </row>
    <row r="13" spans="1:8" x14ac:dyDescent="0.25">
      <c r="A13" s="6" t="s">
        <v>120</v>
      </c>
      <c r="B13" s="9" t="str">
        <f>+VLOOKUP($A13,INS!$A$2:$F$164,3,FALSE)</f>
        <v>Material Sub base CBR=20%</v>
      </c>
      <c r="C13" s="6" t="str">
        <f>+VLOOKUP($A13,INS!$A$2:$F$164,4,FALSE)</f>
        <v>m3</v>
      </c>
      <c r="D13" s="34">
        <v>1.66</v>
      </c>
      <c r="E13" s="7">
        <f>+VLOOKUP($A13,INS!$A$2:$F$164,6,FALSE)</f>
        <v>60000</v>
      </c>
      <c r="F13" s="7">
        <f t="shared" si="0"/>
        <v>99600</v>
      </c>
    </row>
    <row r="14" spans="1:8" ht="27.75" customHeight="1" x14ac:dyDescent="0.25">
      <c r="A14" s="6" t="s">
        <v>118</v>
      </c>
      <c r="B14" s="9" t="str">
        <f>+VLOOKUP($A14,INS!$A$2:$F$164,3,FALSE)</f>
        <v>Material de prestamo para Relleno (puesto en obra)</v>
      </c>
      <c r="C14" s="6" t="str">
        <f>+VLOOKUP($A14,INS!$A$2:$F$164,4,FALSE)</f>
        <v>m3</v>
      </c>
      <c r="D14" s="34">
        <v>0.56000000000000005</v>
      </c>
      <c r="E14" s="7">
        <f>+VLOOKUP($A14,INS!$A$2:$F$164,6,FALSE)</f>
        <v>17000</v>
      </c>
      <c r="F14" s="7">
        <f t="shared" si="0"/>
        <v>9520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1693281.69</v>
      </c>
      <c r="H15" s="33">
        <f>+F15</f>
        <v>1693281.69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204</v>
      </c>
      <c r="B17" s="14" t="str">
        <f>+VLOOKUP($A17,INS!$A$2:$F$166,3,FALSE)</f>
        <v>Cuadrilla 1:2 (1Of+2 Ay)</v>
      </c>
      <c r="C17" s="15" t="str">
        <f>+VLOOKUP($A17,INS!$A$2:$F$166,4,FALSE)</f>
        <v>JOR</v>
      </c>
      <c r="D17" s="15">
        <f>+ROUND(1/18,5)</f>
        <v>5.5559999999999998E-2</v>
      </c>
      <c r="E17" s="16">
        <f>+VLOOKUP($A17,INS!$A$2:$F$166,6,FALSE)</f>
        <v>281435</v>
      </c>
      <c r="F17" s="16">
        <f>+ROUND($E17*$D17,2)</f>
        <v>15636.53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15636.53</v>
      </c>
      <c r="H18" s="33">
        <f>+F18</f>
        <v>15636.53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15636.53</v>
      </c>
      <c r="F20" s="7">
        <f>+ROUND($E20*$D20/100,2)</f>
        <v>1563.65</v>
      </c>
    </row>
    <row r="21" spans="1:8" ht="28.5" customHeight="1" x14ac:dyDescent="0.25">
      <c r="A21" s="6" t="s">
        <v>583</v>
      </c>
      <c r="B21" s="9" t="str">
        <f>+VLOOKUP($A21,INS!$A$2:$F$164,3,FALSE)</f>
        <v>Vibrocompactador Tipo Benitin peso 0.7 a 1.5 Ton</v>
      </c>
      <c r="C21" s="6" t="str">
        <f>+VLOOKUP($A21,INS!$A$2:$F$164,4,FALSE)</f>
        <v>HORA</v>
      </c>
      <c r="D21" s="34">
        <f>+ROUND(D17*8,5)</f>
        <v>0.44447999999999999</v>
      </c>
      <c r="E21" s="16">
        <f>+VLOOKUP($A21,INS!$A$2:$F$166,6,FALSE)</f>
        <v>168000</v>
      </c>
      <c r="F21" s="7">
        <f>+ROUND($E21*$D21,2)</f>
        <v>74672.639999999999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76236.289999999994</v>
      </c>
      <c r="H22" s="33">
        <f>+F22</f>
        <v>76236.289999999994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1785154.51</v>
      </c>
    </row>
    <row r="26" spans="1:8" x14ac:dyDescent="0.25">
      <c r="F26" s="2"/>
    </row>
    <row r="28" spans="1:8" x14ac:dyDescent="0.25">
      <c r="F28" s="32"/>
    </row>
    <row r="29" spans="1:8" x14ac:dyDescent="0.25">
      <c r="D29" s="1">
        <f>1/24</f>
        <v>4.1666666666666664E-2</v>
      </c>
    </row>
    <row r="30" spans="1:8" x14ac:dyDescent="0.25">
      <c r="E30" s="1">
        <f>6.12/10.93</f>
        <v>0.55992680695333941</v>
      </c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Hoja71"/>
  <dimension ref="A1:H28"/>
  <sheetViews>
    <sheetView view="pageBreakPreview" topLeftCell="D1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380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51824.26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s="5" customFormat="1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+SUM(F12:F15)</f>
        <v>47954.53</v>
      </c>
      <c r="F11" s="16">
        <f>+ROUND($E11*$D11/100,2)</f>
        <v>4795.45</v>
      </c>
    </row>
    <row r="12" spans="1:8" x14ac:dyDescent="0.25">
      <c r="A12" s="15" t="s">
        <v>121</v>
      </c>
      <c r="B12" s="14" t="str">
        <f>+VLOOKUP($A12,INS!$A$2:$F$166,3,FALSE)</f>
        <v>Mezcla fertil</v>
      </c>
      <c r="C12" s="15" t="str">
        <f>+VLOOKUP($A12,INS!$A$2:$F$166,4,FALSE)</f>
        <v>m2</v>
      </c>
      <c r="D12" s="37">
        <v>1</v>
      </c>
      <c r="E12" s="16">
        <f>+VLOOKUP($A12,INS!$A$2:$F$166,6,FALSE)</f>
        <v>20000</v>
      </c>
      <c r="F12" s="16">
        <f>+ROUND($E12*$D12,2)</f>
        <v>20000</v>
      </c>
    </row>
    <row r="13" spans="1:8" x14ac:dyDescent="0.25">
      <c r="A13" s="6" t="s">
        <v>139</v>
      </c>
      <c r="B13" s="9" t="str">
        <f>+VLOOKUP($A13,INS!$A$2:$F$164,3,FALSE)</f>
        <v>Semillas para empradizar</v>
      </c>
      <c r="C13" s="6" t="str">
        <f>+VLOOKUP($A13,INS!$A$2:$F$164,4,FALSE)</f>
        <v>Kg</v>
      </c>
      <c r="D13" s="34">
        <v>0.1</v>
      </c>
      <c r="E13" s="7">
        <f>+VLOOKUP($A13,INS!$A$2:$F$164,6,FALSE)</f>
        <v>39150</v>
      </c>
      <c r="F13" s="7">
        <f t="shared" ref="F13:F15" si="0">+ROUND($E13*$D13,2)</f>
        <v>3915</v>
      </c>
    </row>
    <row r="14" spans="1:8" x14ac:dyDescent="0.25">
      <c r="A14" s="6" t="s">
        <v>74</v>
      </c>
      <c r="B14" s="9" t="str">
        <f>+VLOOKUP($A14,INS!$A$2:$F$164,3,FALSE)</f>
        <v>Geomanto permanente</v>
      </c>
      <c r="C14" s="6" t="str">
        <f>+VLOOKUP($A14,INS!$A$2:$F$164,4,FALSE)</f>
        <v>m2</v>
      </c>
      <c r="D14" s="34">
        <v>1.1000000000000001</v>
      </c>
      <c r="E14" s="7">
        <f>+VLOOKUP($A14,INS!$A$2:$F$164,6,FALSE)</f>
        <v>15000</v>
      </c>
      <c r="F14" s="7">
        <f t="shared" si="0"/>
        <v>16500</v>
      </c>
    </row>
    <row r="15" spans="1:8" x14ac:dyDescent="0.25">
      <c r="A15" s="6" t="s">
        <v>7</v>
      </c>
      <c r="B15" s="9" t="str">
        <f>+VLOOKUP($A15,INS!$A$2:$F$164,3,FALSE)</f>
        <v>Suministro de Acero de 60000 psi y figurado</v>
      </c>
      <c r="C15" s="6" t="str">
        <f>+VLOOKUP($A15,INS!$A$2:$F$164,4,FALSE)</f>
        <v>Kg</v>
      </c>
      <c r="D15" s="34">
        <f>ROUND(0.994*(2*((0.3*2)+0.2)),5)</f>
        <v>1.5904</v>
      </c>
      <c r="E15" s="7">
        <f>+VLOOKUP($A15,INS!$A$2:$F$164,6,FALSE)</f>
        <v>4740.6499999999996</v>
      </c>
      <c r="F15" s="7">
        <f t="shared" si="0"/>
        <v>7539.53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+SUM(F12:F15)</f>
        <v>47954.53</v>
      </c>
      <c r="H16" s="33">
        <f>+F16</f>
        <v>47954.53</v>
      </c>
    </row>
    <row r="17" spans="1:8" s="5" customFormat="1" x14ac:dyDescent="0.25">
      <c r="A17" s="50" t="s">
        <v>189</v>
      </c>
      <c r="B17" s="52"/>
      <c r="C17" s="18"/>
      <c r="D17" s="18"/>
      <c r="E17" s="18"/>
      <c r="F17" s="24"/>
    </row>
    <row r="18" spans="1:8" x14ac:dyDescent="0.25">
      <c r="A18" s="15" t="s">
        <v>204</v>
      </c>
      <c r="B18" s="14" t="str">
        <f>+VLOOKUP($A18,INS!$A$2:$F$166,3,FALSE)</f>
        <v>Cuadrilla 1:2 (1Of+2 Ay)</v>
      </c>
      <c r="C18" s="15" t="str">
        <f>+VLOOKUP($A18,INS!$A$2:$F$166,4,FALSE)</f>
        <v>JOR</v>
      </c>
      <c r="D18" s="15">
        <f>+ROUND(1/80,5)</f>
        <v>1.2500000000000001E-2</v>
      </c>
      <c r="E18" s="16">
        <f>+VLOOKUP($A18,INS!$A$2:$F$166,6,FALSE)</f>
        <v>281435</v>
      </c>
      <c r="F18" s="16">
        <f>+ROUND($E18*$D18,2)</f>
        <v>3517.94</v>
      </c>
    </row>
    <row r="19" spans="1:8" s="5" customFormat="1" x14ac:dyDescent="0.25">
      <c r="A19" s="46"/>
      <c r="B19" s="53"/>
      <c r="C19" s="47"/>
      <c r="D19" s="48"/>
      <c r="E19" s="36" t="s">
        <v>305</v>
      </c>
      <c r="F19" s="25">
        <f>+SUM(F18:F18)</f>
        <v>3517.94</v>
      </c>
      <c r="H19" s="33">
        <f>+F19</f>
        <v>3517.94</v>
      </c>
    </row>
    <row r="20" spans="1:8" s="5" customFormat="1" x14ac:dyDescent="0.25">
      <c r="A20" s="50" t="s">
        <v>486</v>
      </c>
      <c r="B20" s="52"/>
      <c r="C20" s="18"/>
      <c r="D20" s="18"/>
      <c r="E20" s="18"/>
      <c r="F20" s="24"/>
    </row>
    <row r="21" spans="1:8" x14ac:dyDescent="0.25">
      <c r="A21" s="6" t="s">
        <v>244</v>
      </c>
      <c r="B21" s="9" t="str">
        <f>+VLOOKUP($A21,INS!$A$2:$F$164,3,FALSE)</f>
        <v>Herramienta menor</v>
      </c>
      <c r="C21" s="6" t="str">
        <f>+VLOOKUP($A21,INS!$A$2:$F$164,4,FALSE)</f>
        <v>(%)MO</v>
      </c>
      <c r="D21" s="34">
        <v>10</v>
      </c>
      <c r="E21" s="7">
        <f>+$F$19</f>
        <v>3517.94</v>
      </c>
      <c r="F21" s="7">
        <f>+ROUND($E21*$D21/100,2)</f>
        <v>351.79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+SUM(F21:F21)</f>
        <v>351.79</v>
      </c>
      <c r="H22" s="33">
        <f>+F22</f>
        <v>351.79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+SUM(H12:H22)</f>
        <v>51824.26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Hoja72"/>
  <dimension ref="A1:H24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381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+F20</f>
        <v>25095.789999999997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72</v>
      </c>
      <c r="B11" s="14" t="str">
        <f>+VLOOKUP($A11,INS!$A$2:$F$166,3,FALSE)</f>
        <v>Geomalla uniaxial</v>
      </c>
      <c r="C11" s="15" t="str">
        <f>+VLOOKUP($A11,INS!$A$2:$F$166,4,FALSE)</f>
        <v>m2</v>
      </c>
      <c r="D11" s="37">
        <v>1.1000000000000001</v>
      </c>
      <c r="E11" s="16">
        <f>+VLOOKUP($A11,INS!$A$2:$F$166,6,FALSE)</f>
        <v>20000</v>
      </c>
      <c r="F11" s="16">
        <f>+ROUND($E11*$D11,2)</f>
        <v>22000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22000</v>
      </c>
      <c r="H12" s="33">
        <f>+F12</f>
        <v>22000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+VLOOKUP($A14,INS!$A$2:$F$166,3,FALSE)</f>
        <v>Cuadrilla 1:2 (1Of+2 Ay)</v>
      </c>
      <c r="C14" s="15" t="str">
        <f>+VLOOKUP($A14,INS!$A$2:$F$166,4,FALSE)</f>
        <v>JOR</v>
      </c>
      <c r="D14" s="37">
        <v>0.01</v>
      </c>
      <c r="E14" s="16">
        <f>+VLOOKUP($A14,INS!$A$2:$F$166,6,FALSE)</f>
        <v>281435</v>
      </c>
      <c r="F14" s="16">
        <f>+ROUND($E14*$D14,2)</f>
        <v>2814.35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2814.35</v>
      </c>
      <c r="H15" s="33">
        <f>+F15</f>
        <v>2814.35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2814.35</v>
      </c>
      <c r="F17" s="7">
        <f>+ROUND($E17*$D17/100,2)</f>
        <v>281.44</v>
      </c>
    </row>
    <row r="18" spans="1:8" s="5" customFormat="1" x14ac:dyDescent="0.25">
      <c r="A18" s="40"/>
      <c r="B18" s="54"/>
      <c r="C18" s="41"/>
      <c r="D18" s="45"/>
      <c r="E18" s="35" t="s">
        <v>305</v>
      </c>
      <c r="F18" s="25">
        <f>+SUM(F17:F17)</f>
        <v>281.44</v>
      </c>
      <c r="H18" s="33">
        <f>+F18</f>
        <v>281.44</v>
      </c>
    </row>
    <row r="19" spans="1:8" ht="9" customHeight="1" x14ac:dyDescent="0.25">
      <c r="A19" s="28"/>
      <c r="B19" s="51"/>
      <c r="C19" s="30"/>
      <c r="D19" s="65"/>
      <c r="E19" s="66"/>
      <c r="F19" s="42"/>
    </row>
    <row r="20" spans="1:8" s="5" customFormat="1" ht="26.25" customHeight="1" x14ac:dyDescent="0.25">
      <c r="A20" s="403" t="e">
        <f>+CONCATENATE("COSTO DIRECTRO ITEM ",F5," ",B5)</f>
        <v>#N/A</v>
      </c>
      <c r="B20" s="403"/>
      <c r="C20" s="403"/>
      <c r="D20" s="403"/>
      <c r="E20" s="403"/>
      <c r="F20" s="62">
        <f>+SUM(H11:H18)</f>
        <v>25095.789999999997</v>
      </c>
    </row>
    <row r="22" spans="1:8" x14ac:dyDescent="0.25">
      <c r="F22" s="2"/>
    </row>
    <row r="24" spans="1:8" x14ac:dyDescent="0.25">
      <c r="F24" s="32"/>
    </row>
  </sheetData>
  <mergeCells count="8">
    <mergeCell ref="B7:D7"/>
    <mergeCell ref="A20:E20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Hoja103"/>
  <dimension ref="A1:H28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9" style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+PPTO!#REF!</f>
        <v>#REF!</v>
      </c>
      <c r="C5" s="376"/>
      <c r="D5" s="376"/>
      <c r="E5" s="10" t="s">
        <v>480</v>
      </c>
      <c r="F5" s="63" t="s">
        <v>382</v>
      </c>
    </row>
    <row r="6" spans="1:8" x14ac:dyDescent="0.25">
      <c r="A6" s="57" t="s">
        <v>481</v>
      </c>
      <c r="B6" s="408" t="s">
        <v>31</v>
      </c>
      <c r="C6" s="408"/>
      <c r="D6" s="408"/>
      <c r="E6" s="10" t="s">
        <v>482</v>
      </c>
      <c r="F6" s="58">
        <f>+F24</f>
        <v>5991127</v>
      </c>
    </row>
    <row r="7" spans="1:8" x14ac:dyDescent="0.25">
      <c r="A7" s="59" t="s">
        <v>483</v>
      </c>
      <c r="B7" s="407">
        <v>2</v>
      </c>
      <c r="C7" s="407"/>
      <c r="D7" s="407"/>
      <c r="E7" s="60" t="s">
        <v>484</v>
      </c>
      <c r="F7" s="61">
        <f>+ROUND(F6*B7,2)</f>
        <v>11982254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ht="12.75" customHeight="1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12.75" customHeight="1" x14ac:dyDescent="0.25">
      <c r="A11" s="15" t="s">
        <v>47</v>
      </c>
      <c r="B11" s="14" t="s">
        <v>540</v>
      </c>
      <c r="C11" s="15" t="s">
        <v>27</v>
      </c>
      <c r="D11" s="37">
        <f>+(2.4*2.4*2.4)-(2*2*2)</f>
        <v>5.8239999999999998</v>
      </c>
      <c r="E11" s="16">
        <v>626000</v>
      </c>
      <c r="F11" s="16">
        <f>+ROUND($E11*$D11,2)</f>
        <v>3645824</v>
      </c>
    </row>
    <row r="12" spans="1:8" x14ac:dyDescent="0.25">
      <c r="A12" s="6" t="s">
        <v>7</v>
      </c>
      <c r="B12" s="9" t="s">
        <v>547</v>
      </c>
      <c r="C12" s="6" t="s">
        <v>9</v>
      </c>
      <c r="D12" s="34">
        <v>264.8</v>
      </c>
      <c r="E12" s="7">
        <v>7550</v>
      </c>
      <c r="F12" s="7">
        <f t="shared" ref="F12:F14" si="0">+ROUND($E12*$D12,2)</f>
        <v>1999240</v>
      </c>
    </row>
    <row r="13" spans="1:8" x14ac:dyDescent="0.25">
      <c r="A13" s="6" t="s">
        <v>174</v>
      </c>
      <c r="B13" s="9" t="s">
        <v>175</v>
      </c>
      <c r="C13" s="6" t="s">
        <v>176</v>
      </c>
      <c r="D13" s="34">
        <v>4</v>
      </c>
      <c r="E13" s="7">
        <f>+F11+F12+F14</f>
        <v>5654660.0999999996</v>
      </c>
      <c r="F13" s="7">
        <f>+ROUND($E13*$D13/100,2)</f>
        <v>226186.4</v>
      </c>
    </row>
    <row r="14" spans="1:8" x14ac:dyDescent="0.25">
      <c r="A14" s="6" t="s">
        <v>141</v>
      </c>
      <c r="B14" s="9" t="s">
        <v>142</v>
      </c>
      <c r="C14" s="6" t="s">
        <v>9</v>
      </c>
      <c r="D14" s="34">
        <v>1.45</v>
      </c>
      <c r="E14" s="7">
        <v>6618</v>
      </c>
      <c r="F14" s="7">
        <f t="shared" si="0"/>
        <v>9596.1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5880846.5</v>
      </c>
      <c r="H15" s="33">
        <f>+F15</f>
        <v>5880846.5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202</v>
      </c>
      <c r="B17" s="14" t="s">
        <v>203</v>
      </c>
      <c r="C17" s="15" t="s">
        <v>191</v>
      </c>
      <c r="D17" s="37">
        <v>0.5</v>
      </c>
      <c r="E17" s="16">
        <v>200510</v>
      </c>
      <c r="F17" s="16">
        <f>+ROUND($E17*$D17,2)</f>
        <v>100255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100255</v>
      </c>
      <c r="H18" s="33">
        <f>+F18</f>
        <v>100255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">
        <v>245</v>
      </c>
      <c r="C20" s="6" t="s">
        <v>246</v>
      </c>
      <c r="D20" s="34">
        <v>10</v>
      </c>
      <c r="E20" s="7">
        <f>+$F$18</f>
        <v>100255</v>
      </c>
      <c r="F20" s="7">
        <f>+ROUND($E20*$D20/100,2)</f>
        <v>10025.5</v>
      </c>
    </row>
    <row r="21" spans="1:8" x14ac:dyDescent="0.25">
      <c r="A21" s="6" t="s">
        <v>254</v>
      </c>
      <c r="B21" s="9" t="s">
        <v>255</v>
      </c>
      <c r="C21" s="6" t="s">
        <v>37</v>
      </c>
      <c r="D21" s="34">
        <f>+D17*8</f>
        <v>4</v>
      </c>
      <c r="E21" s="7">
        <v>11000</v>
      </c>
      <c r="F21" s="7">
        <f t="shared" ref="F21" si="1">+ROUND($E21*$D21,2)</f>
        <v>44000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+SUM(F20:F20)</f>
        <v>10025.5</v>
      </c>
      <c r="H22" s="33">
        <f>+F22</f>
        <v>10025.5</v>
      </c>
    </row>
    <row r="23" spans="1:8" x14ac:dyDescent="0.25">
      <c r="A23" s="28"/>
      <c r="B23" s="51"/>
      <c r="C23" s="30"/>
      <c r="D23" s="65"/>
      <c r="E23" s="66"/>
      <c r="F23" s="42"/>
    </row>
    <row r="24" spans="1:8" s="5" customFormat="1" ht="29.25" customHeight="1" x14ac:dyDescent="0.25">
      <c r="A24" s="403" t="e">
        <f>+CONCATENATE("COSTO DIRECTRO ITEM ",F5," ",B5)</f>
        <v>#REF!</v>
      </c>
      <c r="B24" s="403"/>
      <c r="C24" s="403"/>
      <c r="D24" s="403"/>
      <c r="E24" s="403"/>
      <c r="F24" s="62">
        <f>+SUM(H11:H22)</f>
        <v>5991127</v>
      </c>
    </row>
    <row r="25" spans="1:8" ht="9" customHeight="1" x14ac:dyDescent="0.25"/>
    <row r="26" spans="1:8" ht="26.25" customHeight="1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Hoja74"/>
  <dimension ref="A1:H25"/>
  <sheetViews>
    <sheetView view="pageBreakPreview" zoomScaleNormal="100" zoomScaleSheetLayoutView="100" workbookViewId="0">
      <selection activeCell="F30" sqref="F30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383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+F21</f>
        <v>17111.28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78</v>
      </c>
      <c r="B11" s="14" t="str">
        <f>+VLOOKUP($A11,INS!$A$2:$F$166,3,FALSE)</f>
        <v>Geomembrana HDPE cal 40</v>
      </c>
      <c r="C11" s="15" t="str">
        <f>+VLOOKUP($A11,INS!$A$2:$F$166,4,FALSE)</f>
        <v>m2</v>
      </c>
      <c r="D11" s="37">
        <v>1</v>
      </c>
      <c r="E11" s="16">
        <f>+VLOOKUP($A11,INS!$A$2:$F$166,6,FALSE)</f>
        <v>14000</v>
      </c>
      <c r="F11" s="16">
        <f>+ROUND($E11*$D11,2)</f>
        <v>14000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14000</v>
      </c>
      <c r="H12" s="33">
        <f>+F12</f>
        <v>14000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202</v>
      </c>
      <c r="B14" s="14" t="str">
        <f>+VLOOKUP($A14,INS!$A$2:$F$166,3,FALSE)</f>
        <v>Cuadrilla 1:1 (1Of+1 Ay)</v>
      </c>
      <c r="C14" s="15" t="str">
        <f>+VLOOKUP($A14,INS!$A$2:$F$166,4,FALSE)</f>
        <v>JOR</v>
      </c>
      <c r="D14" s="37">
        <v>0.01</v>
      </c>
      <c r="E14" s="16">
        <f>+VLOOKUP($A14,INS!$A$2:$F$166,6,FALSE)</f>
        <v>201025</v>
      </c>
      <c r="F14" s="16">
        <f>+ROUND($E14*$D14,2)</f>
        <v>2010.25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2010.25</v>
      </c>
      <c r="H15" s="33">
        <f>+F15</f>
        <v>2010.25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2010.25</v>
      </c>
      <c r="F17" s="7">
        <f>+ROUND($E17*$D17/100,2)</f>
        <v>201.03</v>
      </c>
    </row>
    <row r="18" spans="1:8" x14ac:dyDescent="0.25">
      <c r="A18" s="6" t="s">
        <v>270</v>
      </c>
      <c r="B18" s="9" t="str">
        <f>+VLOOKUP($A18,INS!$A$2:$F$166,3,FALSE)</f>
        <v>Equipo de termo fusion geomembrana</v>
      </c>
      <c r="C18" s="6" t="str">
        <f>+VLOOKUP($A18,INS!$A$2:$F$166,4,FALSE)</f>
        <v>DIA</v>
      </c>
      <c r="D18" s="34">
        <v>0.01</v>
      </c>
      <c r="E18" s="7">
        <f>+VLOOKUP($A18,INS!$A$2:$F$166,6,FALSE)</f>
        <v>90000</v>
      </c>
      <c r="F18" s="7">
        <f t="shared" ref="F18" si="0">+ROUND($E18*$D18,2)</f>
        <v>900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+SUM(F17:F18)</f>
        <v>1101.03</v>
      </c>
      <c r="H19" s="33">
        <f>+F19</f>
        <v>1101.03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e">
        <f>+CONCATENATE("COSTO DIRECTRO ITEM ",F5," ",B5)</f>
        <v>#N/A</v>
      </c>
      <c r="B21" s="403"/>
      <c r="C21" s="403"/>
      <c r="D21" s="403"/>
      <c r="E21" s="403"/>
      <c r="F21" s="62">
        <f>+SUM(H11:H19)</f>
        <v>17111.28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Hoja75">
    <pageSetUpPr fitToPage="1"/>
  </sheetPr>
  <dimension ref="A1:H28"/>
  <sheetViews>
    <sheetView view="pageBreakPreview" topLeftCell="A3" zoomScaleNormal="100" zoomScaleSheetLayoutView="100" workbookViewId="0">
      <selection activeCell="B7" sqref="B7:D7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27.75" customHeight="1" x14ac:dyDescent="0.25">
      <c r="A5" s="57" t="s">
        <v>479</v>
      </c>
      <c r="B5" s="376" t="str">
        <f>+VLOOKUP(F5,PPTO!$A$9:$F$52,2,FALSE)</f>
        <v>Canal disipador en concreto de 4000 PSI (Alto: 2.0 m, Base: 2.0m, E=0.2m)</v>
      </c>
      <c r="C5" s="376"/>
      <c r="D5" s="376"/>
      <c r="E5" s="10" t="s">
        <v>480</v>
      </c>
      <c r="F5" s="63" t="s">
        <v>371</v>
      </c>
    </row>
    <row r="6" spans="1:8" x14ac:dyDescent="0.25">
      <c r="A6" s="57" t="s">
        <v>481</v>
      </c>
      <c r="B6" s="408" t="str">
        <f>+VLOOKUP(F5,PPTO!$A$9:$F$52,3,FALSE)</f>
        <v>ML</v>
      </c>
      <c r="C6" s="408"/>
      <c r="D6" s="408"/>
      <c r="E6" s="10" t="s">
        <v>482</v>
      </c>
      <c r="F6" s="58">
        <f>+F24</f>
        <v>2357297.23</v>
      </c>
    </row>
    <row r="7" spans="1:8" x14ac:dyDescent="0.25">
      <c r="A7" s="59" t="s">
        <v>483</v>
      </c>
      <c r="B7" s="407">
        <f>+VLOOKUP(F5,PPTO!$A$9:$F$52,4,FALSE)</f>
        <v>160.13999999999999</v>
      </c>
      <c r="C7" s="407"/>
      <c r="D7" s="407"/>
      <c r="E7" s="60" t="s">
        <v>484</v>
      </c>
      <c r="F7" s="61">
        <f>+ROUND(F6*B7,2)</f>
        <v>377497578.41000003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12.75" customHeight="1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163">
        <v>10</v>
      </c>
      <c r="E11" s="16">
        <f>+SUM(F12:F13)</f>
        <v>2122570.7000000002</v>
      </c>
      <c r="F11" s="16">
        <f>+ROUND($E11*$D11/100,2)</f>
        <v>212257.07</v>
      </c>
    </row>
    <row r="12" spans="1:8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163">
        <v>2.8</v>
      </c>
      <c r="E12" s="16">
        <f>+VLOOKUP($A12,INS!$A$2:$F$166,6,FALSE)</f>
        <v>626000</v>
      </c>
      <c r="F12" s="16">
        <f>+ROUND($E12*$D12,2)</f>
        <v>1752800</v>
      </c>
    </row>
    <row r="13" spans="1:8" x14ac:dyDescent="0.25">
      <c r="A13" s="15" t="s">
        <v>7</v>
      </c>
      <c r="B13" s="14" t="str">
        <f>+VLOOKUP($A13,INS!$A$2:$F$166,3,FALSE)</f>
        <v>Suministro de Acero de 60000 psi y figurado</v>
      </c>
      <c r="C13" s="15" t="str">
        <f>+VLOOKUP($A13,INS!$A$2:$F$166,4,FALSE)</f>
        <v>Kg</v>
      </c>
      <c r="D13" s="163">
        <v>78</v>
      </c>
      <c r="E13" s="16">
        <f>+VLOOKUP($A13,INS!$A$2:$F$166,6,FALSE)</f>
        <v>4740.6499999999996</v>
      </c>
      <c r="F13" s="16">
        <f t="shared" ref="F13" si="0">+ROUND($E13*$D13,2)</f>
        <v>369770.7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ROUND(+SUM(F11:F13),2)</f>
        <v>2334827.77</v>
      </c>
      <c r="H14" s="33">
        <f>+F14</f>
        <v>2334827.77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163">
        <v>17.837825404777874</v>
      </c>
      <c r="E16" s="16">
        <f>+VLOOKUP($A16,INS!$A$2:$F$166,6,FALSE)</f>
        <v>281435</v>
      </c>
      <c r="F16" s="16">
        <f>+ROUND($E16/$D16,2)</f>
        <v>15777.43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ROUND(+SUM(F16:F16),2)</f>
        <v>15777.43</v>
      </c>
      <c r="H17" s="33">
        <f>+F17</f>
        <v>15777.43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114">
        <v>0.1</v>
      </c>
      <c r="E19" s="7">
        <f>+$F$17</f>
        <v>15777.43</v>
      </c>
      <c r="F19" s="7">
        <f>+ROUND($E19*$D19,2)</f>
        <v>1577.74</v>
      </c>
    </row>
    <row r="20" spans="1:8" ht="29.25" customHeight="1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114">
        <f>4.2*2</f>
        <v>8.4</v>
      </c>
      <c r="E20" s="7">
        <f>+VLOOKUP($A20,INS!$A$2:$F$166,6,FALSE)</f>
        <v>6000</v>
      </c>
      <c r="F20" s="7">
        <f>+ROUND($E20/$D20,2)</f>
        <v>714.29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114">
        <v>2.5</v>
      </c>
      <c r="E21" s="7">
        <f>+VLOOKUP($A21,INS!$A$2:$F$166,6,FALSE)</f>
        <v>11000</v>
      </c>
      <c r="F21" s="7">
        <f>+ROUND($E21/$D21,2)</f>
        <v>4400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ROUND(+SUM(F19:F21),2)</f>
        <v>6692.03</v>
      </c>
      <c r="H22" s="33">
        <f>+F22</f>
        <v>6692.03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str">
        <f>+CONCATENATE("COSTO DIRECTRO ITEM ",F5," ",B5)</f>
        <v>COSTO DIRECTRO ITEM 7.04 Canal disipador en concreto de 4000 PSI (Alto: 2.0 m, Base: 2.0m, E=0.2m)</v>
      </c>
      <c r="B24" s="403"/>
      <c r="C24" s="403"/>
      <c r="D24" s="403"/>
      <c r="E24" s="403"/>
      <c r="F24" s="62">
        <f>ROUND(+SUM(H11:H22),2)</f>
        <v>2357297.23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Hoja76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384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1569660.72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1254643.8500000001</v>
      </c>
      <c r="F11" s="16">
        <f>+ROUND($E11*$D11/100,2)</f>
        <v>125464.39</v>
      </c>
    </row>
    <row r="12" spans="1:8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f>1.38+(0.357*0.4)*0.5</f>
        <v>1.4513999999999998</v>
      </c>
      <c r="E12" s="16">
        <f>+VLOOKUP($A12,INS!$A$2:$F$166,6,FALSE)</f>
        <v>626000</v>
      </c>
      <c r="F12" s="16">
        <f t="shared" ref="F12:F13" si="0">+ROUND($E12*$D12,2)</f>
        <v>908576.4</v>
      </c>
    </row>
    <row r="13" spans="1:8" ht="12.75" customHeight="1" x14ac:dyDescent="0.25">
      <c r="A13" s="15" t="s">
        <v>7</v>
      </c>
      <c r="B13" s="14" t="str">
        <f>+VLOOKUP($A13,INS!$A$2:$F$166,3,FALSE)</f>
        <v>Suministro de Acero de 60000 psi y figurado</v>
      </c>
      <c r="C13" s="15" t="str">
        <f>+VLOOKUP($A13,INS!$A$2:$F$166,4,FALSE)</f>
        <v>Kg</v>
      </c>
      <c r="D13" s="37">
        <v>73</v>
      </c>
      <c r="E13" s="16">
        <f>+VLOOKUP($A13,INS!$A$2:$F$166,6,FALSE)</f>
        <v>4740.6499999999996</v>
      </c>
      <c r="F13" s="16">
        <f t="shared" si="0"/>
        <v>346067.45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1380108.24</v>
      </c>
      <c r="H14" s="33">
        <f>+F14</f>
        <v>1380108.24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15">
        <v>0.35</v>
      </c>
      <c r="E16" s="16">
        <f>+VLOOKUP($A16,INS!$A$2:$F$166,6,FALSE)</f>
        <v>281435</v>
      </c>
      <c r="F16" s="16">
        <f>+ROUND($E16*$D16,2)</f>
        <v>98502.25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98502.25</v>
      </c>
      <c r="H17" s="33">
        <f>+F17</f>
        <v>98502.25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98502.25</v>
      </c>
      <c r="F19" s="7">
        <f>+ROUND($E19*$D19/100,2)</f>
        <v>9850.23</v>
      </c>
    </row>
    <row r="20" spans="1:8" ht="30" customHeight="1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f>+(2.2+2)*2</f>
        <v>8.4</v>
      </c>
      <c r="E20" s="7">
        <f>+VLOOKUP($A20,INS!$A$2:$F$166,6,FALSE)</f>
        <v>6000</v>
      </c>
      <c r="F20" s="7">
        <f t="shared" ref="F20:F21" si="1">+ROUND($E20*$D20,2)</f>
        <v>50400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6">
        <f>+ROUND(8*D16,5)</f>
        <v>2.8</v>
      </c>
      <c r="E21" s="7">
        <f>+VLOOKUP($A21,INS!$A$2:$F$166,6,FALSE)</f>
        <v>11000</v>
      </c>
      <c r="F21" s="7">
        <f t="shared" si="1"/>
        <v>30800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91050.23</v>
      </c>
      <c r="H22" s="33">
        <f>+F22</f>
        <v>91050.23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1569660.72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Hoja77"/>
  <dimension ref="A1:P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4.5703125" style="1" customWidth="1"/>
    <col min="9" max="9" width="16.28515625" style="1" customWidth="1"/>
    <col min="10" max="12" width="14" style="1" bestFit="1" customWidth="1"/>
    <col min="13" max="13" width="16.28515625" style="1" customWidth="1"/>
    <col min="14" max="16384" width="11.42578125" style="1"/>
  </cols>
  <sheetData>
    <row r="1" spans="1:16" x14ac:dyDescent="0.25">
      <c r="A1" s="406" t="s">
        <v>475</v>
      </c>
      <c r="B1" s="406"/>
      <c r="C1" s="406"/>
      <c r="D1" s="406"/>
      <c r="E1" s="406"/>
      <c r="F1" s="406"/>
    </row>
    <row r="2" spans="1:16" x14ac:dyDescent="0.25">
      <c r="A2" s="406" t="s">
        <v>476</v>
      </c>
      <c r="B2" s="406"/>
      <c r="C2" s="406"/>
      <c r="D2" s="406"/>
      <c r="E2" s="406"/>
      <c r="F2" s="406"/>
    </row>
    <row r="3" spans="1:1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16" ht="39" customHeight="1" x14ac:dyDescent="0.25">
      <c r="A4" s="405"/>
      <c r="B4" s="404"/>
      <c r="C4" s="404"/>
      <c r="D4" s="404"/>
      <c r="E4" s="404"/>
      <c r="F4" s="67" t="s">
        <v>367</v>
      </c>
    </row>
    <row r="5" spans="1:1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385</v>
      </c>
    </row>
    <row r="6" spans="1:1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4077088.82</v>
      </c>
      <c r="N6" s="1">
        <v>0.2</v>
      </c>
    </row>
    <row r="7" spans="1:1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16" ht="9" customHeight="1" x14ac:dyDescent="0.25">
      <c r="A8" s="28"/>
      <c r="B8" s="51"/>
      <c r="C8" s="30"/>
      <c r="D8" s="30"/>
      <c r="E8" s="30"/>
      <c r="F8" s="31"/>
      <c r="M8" s="1" t="s">
        <v>507</v>
      </c>
      <c r="N8" s="1">
        <f>1.5+$N$6</f>
        <v>1.7</v>
      </c>
      <c r="O8" s="1">
        <f>1.5+$N$6</f>
        <v>1.7</v>
      </c>
      <c r="P8" s="1">
        <f>1.2+$N$6</f>
        <v>1.4</v>
      </c>
    </row>
    <row r="9" spans="1:1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  <c r="M9" s="1" t="s">
        <v>505</v>
      </c>
      <c r="N9" s="1">
        <v>20</v>
      </c>
      <c r="O9" s="1">
        <v>18</v>
      </c>
      <c r="P9" s="1">
        <v>12</v>
      </c>
    </row>
    <row r="10" spans="1:16" s="5" customFormat="1" x14ac:dyDescent="0.25">
      <c r="A10" s="50" t="s">
        <v>8</v>
      </c>
      <c r="B10" s="52"/>
      <c r="C10" s="18"/>
      <c r="D10" s="18"/>
      <c r="E10" s="18"/>
      <c r="F10" s="24"/>
      <c r="N10" s="5" t="s">
        <v>501</v>
      </c>
      <c r="O10" s="5" t="s">
        <v>500</v>
      </c>
      <c r="P10" s="5" t="s">
        <v>502</v>
      </c>
    </row>
    <row r="11" spans="1:16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3686609.6799999997</v>
      </c>
      <c r="F11" s="7">
        <f>+ROUND($E11*$D11/100,2)</f>
        <v>147464.39000000001</v>
      </c>
      <c r="M11" s="1" t="s">
        <v>504</v>
      </c>
      <c r="N11" s="1">
        <f>+((PI()*N8^2)/4)*N9</f>
        <v>45.396013844372504</v>
      </c>
      <c r="O11" s="1">
        <f t="shared" ref="O11" si="0">+((PI()*O8^2)/4)*O9</f>
        <v>40.85641245993525</v>
      </c>
      <c r="P11" s="1">
        <f>+((PI()*P8^2)/4)*P9</f>
        <v>18.472564803107979</v>
      </c>
    </row>
    <row r="12" spans="1:16" x14ac:dyDescent="0.25">
      <c r="A12" s="6" t="s">
        <v>47</v>
      </c>
      <c r="B12" s="9" t="str">
        <f>+VLOOKUP($A12,INS!$A$2:$F$164,3,FALSE)</f>
        <v>Concreto de 4000 psi de planta</v>
      </c>
      <c r="C12" s="6" t="str">
        <f>+VLOOKUP($A12,INS!$A$2:$F$164,4,FALSE)</f>
        <v>m3</v>
      </c>
      <c r="D12" s="34">
        <f>+ROUND(((PI()*(1.5+0.1+0.1)^2)/4)*1,5)</f>
        <v>2.2698</v>
      </c>
      <c r="E12" s="7">
        <f>+VLOOKUP($A12,INS!$A$2:$F$164,6,FALSE)</f>
        <v>626000</v>
      </c>
      <c r="F12" s="7">
        <f>+ROUND($E12*$D12,2)</f>
        <v>1420894.8</v>
      </c>
      <c r="M12" s="1" t="s">
        <v>503</v>
      </c>
      <c r="N12" s="1">
        <v>9421.6</v>
      </c>
      <c r="O12" s="1">
        <v>8635.7000000000007</v>
      </c>
      <c r="P12" s="1">
        <v>4149.8</v>
      </c>
    </row>
    <row r="13" spans="1:16" x14ac:dyDescent="0.25">
      <c r="A13" s="6" t="s">
        <v>141</v>
      </c>
      <c r="B13" s="9" t="str">
        <f>+VLOOKUP($A13,INS!$A$2:$F$164,3,FALSE)</f>
        <v>Sika 1</v>
      </c>
      <c r="C13" s="6" t="str">
        <f>+VLOOKUP($A13,INS!$A$2:$F$164,4,FALSE)</f>
        <v>Kg</v>
      </c>
      <c r="D13" s="34">
        <f>ROUNDUP(0.5*(2*PI()*((1.5/2)^2)*1),1)</f>
        <v>1.8</v>
      </c>
      <c r="E13" s="7">
        <f>+VLOOKUP($A13,INS!$A$2:$F$164,6,FALSE)</f>
        <v>6618</v>
      </c>
      <c r="F13" s="7">
        <f t="shared" ref="F13" si="1">+ROUND($E13*$D13,2)</f>
        <v>11912.4</v>
      </c>
      <c r="M13" s="1" t="s">
        <v>506</v>
      </c>
      <c r="N13" s="1">
        <f>+N12/N9</f>
        <v>471.08000000000004</v>
      </c>
      <c r="O13" s="1">
        <f>+O12/O9</f>
        <v>479.76111111111118</v>
      </c>
      <c r="P13" s="1">
        <f>+P12/P9</f>
        <v>345.81666666666666</v>
      </c>
    </row>
    <row r="14" spans="1:16" x14ac:dyDescent="0.25">
      <c r="A14" s="6" t="s">
        <v>7</v>
      </c>
      <c r="B14" s="9" t="str">
        <f>+VLOOKUP($A14,INS!$A$2:$F$164,3,FALSE)</f>
        <v>Suministro de Acero de 60000 psi y figurado</v>
      </c>
      <c r="C14" s="6" t="str">
        <f>+VLOOKUP($A14,INS!$A$2:$F$164,4,FALSE)</f>
        <v>Kg</v>
      </c>
      <c r="D14" s="34">
        <f>+ROUND(AVERAGE(N13:O13),5)</f>
        <v>475.42056000000002</v>
      </c>
      <c r="E14" s="7">
        <f>+VLOOKUP($A14,INS!$A$2:$F$164,6,FALSE)</f>
        <v>4740.6499999999996</v>
      </c>
      <c r="F14" s="7">
        <f>+ROUND($E14*$D14,2)</f>
        <v>2253802.48</v>
      </c>
    </row>
    <row r="15" spans="1:16" s="5" customFormat="1" x14ac:dyDescent="0.25">
      <c r="A15" s="46"/>
      <c r="B15" s="53"/>
      <c r="C15" s="47"/>
      <c r="D15" s="48"/>
      <c r="E15" s="36" t="s">
        <v>305</v>
      </c>
      <c r="F15" s="25">
        <f>+SUM(F11:F14)</f>
        <v>3834074.07</v>
      </c>
      <c r="H15" s="33">
        <f>+F15</f>
        <v>3834074.07</v>
      </c>
    </row>
    <row r="16" spans="1:16" s="5" customFormat="1" x14ac:dyDescent="0.25">
      <c r="A16" s="50" t="s">
        <v>189</v>
      </c>
      <c r="B16" s="52"/>
      <c r="C16" s="18"/>
      <c r="D16" s="18"/>
      <c r="E16" s="18"/>
      <c r="F16" s="24"/>
      <c r="N16" s="5">
        <f t="shared" ref="N16:O16" si="2">+((PI()*N8^2)/4)</f>
        <v>2.2698006922186251</v>
      </c>
      <c r="O16" s="5">
        <f t="shared" si="2"/>
        <v>2.2698006922186251</v>
      </c>
      <c r="P16" s="5">
        <f>+((PI()*P8^2)/4)</f>
        <v>1.5393804002589984</v>
      </c>
    </row>
    <row r="17" spans="1:8" x14ac:dyDescent="0.25">
      <c r="A17" s="15" t="s">
        <v>198</v>
      </c>
      <c r="B17" s="14" t="str">
        <f>+VLOOKUP($A17,INS!$A$2:$F$166,3,FALSE)</f>
        <v>Cuadrilla 1:3 (1Of+3 Ay)</v>
      </c>
      <c r="C17" s="15" t="str">
        <f>+VLOOKUP($A17,INS!$A$2:$F$166,4,FALSE)</f>
        <v>JOR</v>
      </c>
      <c r="D17" s="37">
        <v>0.5</v>
      </c>
      <c r="E17" s="16">
        <f>+VLOOKUP($A17,INS!$A$2:$F$166,6,FALSE)</f>
        <v>361845</v>
      </c>
      <c r="F17" s="16">
        <f>+ROUND($E17*$D17,2)</f>
        <v>180922.5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180922.5</v>
      </c>
      <c r="H18" s="33">
        <f>+F18</f>
        <v>180922.5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180922.5</v>
      </c>
      <c r="F20" s="7">
        <f>+ROUND($E20*$D20/100,2)</f>
        <v>18092.25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8*D17</f>
        <v>4</v>
      </c>
      <c r="E21" s="7">
        <f>+VLOOKUP($A21,INS!$A$2:$F$166,6,FALSE)</f>
        <v>11000</v>
      </c>
      <c r="F21" s="7">
        <f t="shared" ref="F21" si="3">+ROUND($E21*$D21,2)</f>
        <v>44000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62092.25</v>
      </c>
      <c r="H22" s="33">
        <f>+F22</f>
        <v>62092.25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4077088.82</v>
      </c>
    </row>
    <row r="26" spans="1:8" x14ac:dyDescent="0.25">
      <c r="F26" s="2"/>
    </row>
    <row r="28" spans="1:8" x14ac:dyDescent="0.25">
      <c r="F28" s="32"/>
    </row>
  </sheetData>
  <mergeCells count="8">
    <mergeCell ref="A24:E24"/>
    <mergeCell ref="B7:D7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Hoja78"/>
  <dimension ref="A1:H28"/>
  <sheetViews>
    <sheetView view="pageBreakPreview" topLeftCell="A3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28.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386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1460062.93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1173081.25</v>
      </c>
      <c r="F11" s="16">
        <f>+ROUND($E11*$D11/100,2)</f>
        <v>117308.13</v>
      </c>
    </row>
    <row r="12" spans="1:8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f>1.28+(0.357*0.4)*0.5</f>
        <v>1.3513999999999999</v>
      </c>
      <c r="E12" s="16">
        <f>+VLOOKUP($A12,INS!$A$2:$F$166,6,FALSE)</f>
        <v>626000</v>
      </c>
      <c r="F12" s="16">
        <f t="shared" ref="F12:F13" si="0">+ROUND($E12*$D12,2)</f>
        <v>845976.4</v>
      </c>
    </row>
    <row r="13" spans="1:8" ht="12.75" customHeight="1" x14ac:dyDescent="0.25">
      <c r="A13" s="15" t="s">
        <v>7</v>
      </c>
      <c r="B13" s="14" t="str">
        <f>+VLOOKUP($A13,INS!$A$2:$F$166,3,FALSE)</f>
        <v>Suministro de Acero de 60000 psi y figurado</v>
      </c>
      <c r="C13" s="15" t="str">
        <f>+VLOOKUP($A13,INS!$A$2:$F$166,4,FALSE)</f>
        <v>Kg</v>
      </c>
      <c r="D13" s="37">
        <v>69</v>
      </c>
      <c r="E13" s="16">
        <f>+VLOOKUP($A13,INS!$A$2:$F$166,6,FALSE)</f>
        <v>4740.6499999999996</v>
      </c>
      <c r="F13" s="16">
        <f t="shared" si="0"/>
        <v>327104.84999999998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1290389.3799999999</v>
      </c>
      <c r="H14" s="33">
        <f>+F14</f>
        <v>1290389.3799999999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15">
        <v>0.3</v>
      </c>
      <c r="E16" s="16">
        <f>+VLOOKUP($A16,INS!$A$2:$F$166,6,FALSE)</f>
        <v>281435</v>
      </c>
      <c r="F16" s="16">
        <f>+ROUND($E16*$D16,2)</f>
        <v>84430.5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84430.5</v>
      </c>
      <c r="H17" s="33">
        <f>+F17</f>
        <v>84430.5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84430.5</v>
      </c>
      <c r="F19" s="7">
        <f>+ROUND($E19*$D19/100,2)</f>
        <v>8443.0499999999993</v>
      </c>
    </row>
    <row r="20" spans="1:8" ht="30" customHeight="1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f>+(2.2+2)*2</f>
        <v>8.4</v>
      </c>
      <c r="E20" s="7">
        <f>+VLOOKUP($A20,INS!$A$2:$F$166,6,FALSE)</f>
        <v>6000</v>
      </c>
      <c r="F20" s="7">
        <f t="shared" ref="F20:F21" si="1">+ROUND($E20*$D20,2)</f>
        <v>50400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6">
        <f>+ROUND(8*D16,5)</f>
        <v>2.4</v>
      </c>
      <c r="E21" s="7">
        <f>+VLOOKUP($A21,INS!$A$2:$F$166,6,FALSE)</f>
        <v>11000</v>
      </c>
      <c r="F21" s="7">
        <f t="shared" si="1"/>
        <v>26400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85243.05</v>
      </c>
      <c r="H22" s="33">
        <f>+F22</f>
        <v>85243.05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1460062.93</v>
      </c>
    </row>
    <row r="26" spans="1:8" x14ac:dyDescent="0.25">
      <c r="F26" s="2"/>
    </row>
    <row r="28" spans="1:8" x14ac:dyDescent="0.25">
      <c r="F28" s="32"/>
    </row>
  </sheetData>
  <mergeCells count="8">
    <mergeCell ref="A24:E24"/>
    <mergeCell ref="B7:D7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Hoja79"/>
  <dimension ref="A1:H28"/>
  <sheetViews>
    <sheetView view="pageBreakPreview" topLeftCell="A4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31.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387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218336.97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136636.53999999998</v>
      </c>
      <c r="F11" s="16">
        <f>+ROUND($E11*$D11/100,2)</f>
        <v>13663.65</v>
      </c>
    </row>
    <row r="12" spans="1:8" ht="12.75" customHeight="1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f>0.13+(0.0418*0.15)*2</f>
        <v>0.14254</v>
      </c>
      <c r="E12" s="16">
        <f>+VLOOKUP($A12,INS!$A$2:$F$166,6,FALSE)</f>
        <v>626000</v>
      </c>
      <c r="F12" s="16">
        <f>+ROUND($E12*$D12,2)</f>
        <v>89230.04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10</v>
      </c>
      <c r="E13" s="7">
        <f>+VLOOKUP($A13,INS!$A$2:$F$164,6,FALSE)</f>
        <v>4740.6499999999996</v>
      </c>
      <c r="F13" s="7">
        <f t="shared" ref="F13" si="0">+ROUND($E13*$D13,2)</f>
        <v>47406.5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150300.19</v>
      </c>
      <c r="H14" s="33">
        <f>+F14</f>
        <v>150300.19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37">
        <v>0.15</v>
      </c>
      <c r="E16" s="16">
        <f>+VLOOKUP($A16,INS!$A$2:$F$166,6,FALSE)</f>
        <v>281435</v>
      </c>
      <c r="F16" s="16">
        <f>+ROUND($E16*$D16,2)</f>
        <v>42215.25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42215.25</v>
      </c>
      <c r="H17" s="33">
        <f>+F17</f>
        <v>42215.25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42215.25</v>
      </c>
      <c r="F19" s="7">
        <f>+ROUND($E19*$D19/100,2)</f>
        <v>4221.53</v>
      </c>
    </row>
    <row r="20" spans="1:8" ht="25.5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v>1.4</v>
      </c>
      <c r="E20" s="7">
        <f>+VLOOKUP($A20,INS!$A$2:$F$166,6,FALSE)</f>
        <v>6000</v>
      </c>
      <c r="F20" s="7">
        <f t="shared" ref="F20:F21" si="1">+ROUND($E20*$D20,2)</f>
        <v>8400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+ROUND(D16*8,5)</f>
        <v>1.2</v>
      </c>
      <c r="E21" s="7">
        <f>+VLOOKUP($A21,INS!$A$2:$F$166,6,FALSE)</f>
        <v>11000</v>
      </c>
      <c r="F21" s="7">
        <f t="shared" si="1"/>
        <v>13200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25821.53</v>
      </c>
      <c r="H22" s="33">
        <f>+F22</f>
        <v>25821.53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30.7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218336.97</v>
      </c>
    </row>
    <row r="26" spans="1:8" x14ac:dyDescent="0.25">
      <c r="F26" s="2"/>
    </row>
    <row r="28" spans="1:8" x14ac:dyDescent="0.25">
      <c r="F28" s="32"/>
    </row>
  </sheetData>
  <mergeCells count="8">
    <mergeCell ref="A24:E24"/>
    <mergeCell ref="B7:D7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Hoja80"/>
  <dimension ref="A1:H26"/>
  <sheetViews>
    <sheetView view="pageBreakPreview" topLeftCell="A3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388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2888.04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55</v>
      </c>
      <c r="B11" s="14" t="str">
        <f>+VLOOKUP($A11,INS!$A$2:$F$166,3,FALSE)</f>
        <v>Emulsion CRL-1</v>
      </c>
      <c r="C11" s="15" t="str">
        <f>+VLOOKUP($A11,INS!$A$2:$F$166,4,FALSE)</f>
        <v>L</v>
      </c>
      <c r="D11" s="37">
        <v>1</v>
      </c>
      <c r="E11" s="16">
        <f>+VLOOKUP($A11,INS!$A$2:$F$166,6,FALSE)</f>
        <v>2200</v>
      </c>
      <c r="F11" s="16">
        <f>+ROUND($E11*$D11,2)</f>
        <v>2200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2200</v>
      </c>
      <c r="H12" s="33">
        <f>+F12</f>
        <v>2200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198</v>
      </c>
      <c r="B14" s="14" t="str">
        <f>+VLOOKUP($A14,INS!$A$2:$F$166,3,FALSE)</f>
        <v>Cuadrilla 1:3 (1Of+3 Ay)</v>
      </c>
      <c r="C14" s="15" t="str">
        <f>+VLOOKUP($A14,INS!$A$2:$F$166,4,FALSE)</f>
        <v>JOR</v>
      </c>
      <c r="D14" s="37">
        <v>1E-3</v>
      </c>
      <c r="E14" s="16">
        <f>+VLOOKUP($A14,INS!$A$2:$F$166,6,FALSE)</f>
        <v>361845</v>
      </c>
      <c r="F14" s="16">
        <f>+ROUND($E14*$D14,2)</f>
        <v>361.85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361.85</v>
      </c>
      <c r="H15" s="33">
        <f>+F15</f>
        <v>361.85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361.85</v>
      </c>
      <c r="F17" s="7">
        <f>+ROUND($E17*$D17/100,2)</f>
        <v>36.19</v>
      </c>
    </row>
    <row r="18" spans="1:8" ht="25.5" x14ac:dyDescent="0.25">
      <c r="A18" s="6" t="s">
        <v>272</v>
      </c>
      <c r="B18" s="9" t="str">
        <f>+VLOOKUP($A18,INS!$A$2:$F$166,3,FALSE)</f>
        <v>Carro tanque irrigador de asfalto (capacidad 1000 GAL)</v>
      </c>
      <c r="C18" s="6" t="str">
        <f>+VLOOKUP($A18,INS!$A$2:$F$166,4,FALSE)</f>
        <v>HORA</v>
      </c>
      <c r="D18" s="34">
        <v>2E-3</v>
      </c>
      <c r="E18" s="7">
        <f>+VLOOKUP($A18,INS!$A$2:$F$166,6,FALSE)</f>
        <v>95000</v>
      </c>
      <c r="F18" s="7">
        <f t="shared" ref="F18:F19" si="0">+ROUND($E18*$D18,2)</f>
        <v>190</v>
      </c>
    </row>
    <row r="19" spans="1:8" x14ac:dyDescent="0.25">
      <c r="A19" s="6" t="s">
        <v>274</v>
      </c>
      <c r="B19" s="9" t="str">
        <f>+VLOOKUP($A19,INS!$A$2:$F$166,3,FALSE)</f>
        <v>Compresor (barrido y soplado)</v>
      </c>
      <c r="C19" s="6" t="str">
        <f>+VLOOKUP($A19,INS!$A$2:$F$166,4,FALSE)</f>
        <v>HORA</v>
      </c>
      <c r="D19" s="34">
        <v>2E-3</v>
      </c>
      <c r="E19" s="7">
        <f>+VLOOKUP($A19,INS!$A$2:$F$166,6,FALSE)</f>
        <v>50000</v>
      </c>
      <c r="F19" s="7">
        <f t="shared" si="0"/>
        <v>100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+SUM(F17:F19)</f>
        <v>326.19</v>
      </c>
      <c r="H20" s="33">
        <f>+F20</f>
        <v>326.19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2888.04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Hoja81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389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208265.94000000003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5</v>
      </c>
      <c r="E11" s="16">
        <f>+F12+F13+F14</f>
        <v>188789.87000000002</v>
      </c>
      <c r="F11" s="7">
        <f>+ROUND($E11*$D11/100,2)</f>
        <v>9439.49</v>
      </c>
    </row>
    <row r="12" spans="1:8" x14ac:dyDescent="0.25">
      <c r="A12" s="6" t="s">
        <v>132</v>
      </c>
      <c r="B12" s="9" t="str">
        <f>+VLOOKUP($A12,INS!$A$2:$F$164,3,FALSE)</f>
        <v>Puntilla Corriente de 2 1/2"</v>
      </c>
      <c r="C12" s="6" t="str">
        <f>+VLOOKUP($A12,INS!$A$2:$F$164,4,FALSE)</f>
        <v>lb</v>
      </c>
      <c r="D12" s="34">
        <v>0.15</v>
      </c>
      <c r="E12" s="7">
        <f>+VLOOKUP($A12,INS!$A$2:$F$164,6,FALSE)</f>
        <v>2600</v>
      </c>
      <c r="F12" s="7">
        <f t="shared" ref="F12:F14" si="0">+ROUND($E12*$D12,2)</f>
        <v>390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3</v>
      </c>
      <c r="E13" s="7">
        <f>+VLOOKUP($A13,INS!$A$2:$F$164,6,FALSE)</f>
        <v>4740.6499999999996</v>
      </c>
      <c r="F13" s="7">
        <f t="shared" si="0"/>
        <v>14221.95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34">
        <v>0.64</v>
      </c>
      <c r="E14" s="7">
        <f>+VLOOKUP($A14,INS!$A$2:$F$164,6,FALSE)</f>
        <v>272153</v>
      </c>
      <c r="F14" s="7">
        <f t="shared" si="0"/>
        <v>174177.92000000001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198229.36000000002</v>
      </c>
      <c r="H15" s="33">
        <f>+F15</f>
        <v>198229.36000000002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202</v>
      </c>
      <c r="B17" s="14" t="str">
        <f>+VLOOKUP($A17,INS!$A$2:$F$166,3,FALSE)</f>
        <v>Cuadrilla 1:1 (1Of+1 Ay)</v>
      </c>
      <c r="C17" s="15" t="str">
        <f>+VLOOKUP($A17,INS!$A$2:$F$166,4,FALSE)</f>
        <v>JOR</v>
      </c>
      <c r="D17" s="15">
        <f>+ROUND(1/30,5)</f>
        <v>3.3329999999999999E-2</v>
      </c>
      <c r="E17" s="16">
        <f>+VLOOKUP($A17,INS!$A$2:$F$166,6,FALSE)</f>
        <v>201025</v>
      </c>
      <c r="F17" s="16">
        <f>+ROUND($E17*$D17,2)</f>
        <v>6700.16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6700.16</v>
      </c>
      <c r="H18" s="33">
        <f>+F18</f>
        <v>6700.16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6700.16</v>
      </c>
      <c r="F20" s="7">
        <f>+ROUND($E20*$D20/100,2)</f>
        <v>670.02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34">
        <f>+D17</f>
        <v>3.3329999999999999E-2</v>
      </c>
      <c r="E21" s="7">
        <f>+VLOOKUP($A21,INS!$A$2:$F$166,6,FALSE)</f>
        <v>80000</v>
      </c>
      <c r="F21" s="7">
        <f t="shared" ref="F21" si="1">+ROUND($E21*$D21,2)</f>
        <v>2666.4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3336.42</v>
      </c>
      <c r="H22" s="33">
        <f>+F22</f>
        <v>3336.42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208265.94000000003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Hoja104"/>
  <dimension ref="A1:H28"/>
  <sheetViews>
    <sheetView view="pageBreakPreview" topLeftCell="C1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31.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390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407025.57000000007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ht="12.75" customHeigh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289055.59999999998</v>
      </c>
      <c r="F11" s="16">
        <f>+ROUND($E11*$D11/100,2)</f>
        <v>28905.56</v>
      </c>
    </row>
    <row r="12" spans="1:8" ht="12.75" customHeight="1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v>0.28000000000000003</v>
      </c>
      <c r="E12" s="16">
        <f>+VLOOKUP($A12,INS!$A$2:$F$166,6,FALSE)</f>
        <v>626000</v>
      </c>
      <c r="F12" s="16">
        <f>+ROUND($E12*$D12,2)</f>
        <v>175280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24</v>
      </c>
      <c r="E13" s="7">
        <f>+VLOOKUP($A13,INS!$A$2:$F$164,6,FALSE)</f>
        <v>4740.6499999999996</v>
      </c>
      <c r="F13" s="7">
        <f t="shared" ref="F13" si="0">+ROUND($E13*$D13,2)</f>
        <v>113775.6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317961.16000000003</v>
      </c>
      <c r="H14" s="33">
        <f>+F14</f>
        <v>317961.16000000003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15">
        <f>+ROUND(1/6,5)</f>
        <v>0.16667000000000001</v>
      </c>
      <c r="E16" s="16">
        <f>+VLOOKUP($A16,INS!$A$2:$F$166,6,FALSE)</f>
        <v>281435</v>
      </c>
      <c r="F16" s="16">
        <f>+ROUND($E16*$D16,2)</f>
        <v>46906.77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46906.77</v>
      </c>
      <c r="H17" s="33">
        <f>+F17</f>
        <v>46906.77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46906.77</v>
      </c>
      <c r="F19" s="7">
        <f>+ROUND($E19*$D19/100,2)</f>
        <v>4690.68</v>
      </c>
    </row>
    <row r="20" spans="1:8" ht="25.5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f>2*(1+0.9)</f>
        <v>3.8</v>
      </c>
      <c r="E20" s="7">
        <f>+VLOOKUP($A20,INS!$A$2:$F$166,6,FALSE)</f>
        <v>6000</v>
      </c>
      <c r="F20" s="7">
        <f t="shared" ref="F20:F21" si="1">+ROUND($E20*$D20,2)</f>
        <v>22800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+ROUND(D16*8,5)</f>
        <v>1.3333600000000001</v>
      </c>
      <c r="E21" s="7">
        <f>+VLOOKUP($A21,INS!$A$2:$F$166,6,FALSE)</f>
        <v>11000</v>
      </c>
      <c r="F21" s="7">
        <f t="shared" si="1"/>
        <v>14666.96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42157.64</v>
      </c>
      <c r="H22" s="33">
        <f>+F22</f>
        <v>42157.64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30.7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407025.57000000007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Hoja83"/>
  <dimension ref="A1:H26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391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15695.79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68</v>
      </c>
      <c r="B11" s="14" t="str">
        <f>+VLOOKUP($A11,INS!$A$2:$F$166,3,FALSE)</f>
        <v>Gancho</v>
      </c>
      <c r="C11" s="15" t="str">
        <f>+VLOOKUP($A11,INS!$A$2:$F$166,4,FALSE)</f>
        <v>Und</v>
      </c>
      <c r="D11" s="37">
        <v>4</v>
      </c>
      <c r="E11" s="16">
        <f>+VLOOKUP($A11,INS!$A$2:$F$166,6,FALSE)</f>
        <v>1000</v>
      </c>
      <c r="F11" s="16">
        <f>+ROUND($E11*$D11,2)</f>
        <v>4000</v>
      </c>
    </row>
    <row r="12" spans="1:8" x14ac:dyDescent="0.25">
      <c r="A12" s="6" t="s">
        <v>80</v>
      </c>
      <c r="B12" s="9" t="str">
        <f>+VLOOKUP($A12,INS!$A$2:$F$164,3,FALSE)</f>
        <v>Geotextil No Tejido - 2500 o Similar</v>
      </c>
      <c r="C12" s="6" t="str">
        <f>+VLOOKUP($A12,INS!$A$2:$F$164,4,FALSE)</f>
        <v>m2</v>
      </c>
      <c r="D12" s="34">
        <v>1.1000000000000001</v>
      </c>
      <c r="E12" s="7">
        <f>+VLOOKUP($A12,INS!$A$2:$F$164,6,FALSE)</f>
        <v>7000</v>
      </c>
      <c r="F12" s="7">
        <f t="shared" ref="F12" si="0">+ROUND($E12*$D12,2)</f>
        <v>7700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11700</v>
      </c>
      <c r="H13" s="33">
        <f>+F13</f>
        <v>11700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204</v>
      </c>
      <c r="B15" s="14" t="str">
        <f>+VLOOKUP($A15,INS!$A$2:$F$166,3,FALSE)</f>
        <v>Cuadrilla 1:2 (1Of+2 Ay)</v>
      </c>
      <c r="C15" s="15" t="str">
        <f>+VLOOKUP($A15,INS!$A$2:$F$166,4,FALSE)</f>
        <v>JOR</v>
      </c>
      <c r="D15" s="37">
        <v>0.01</v>
      </c>
      <c r="E15" s="16">
        <f>+VLOOKUP($A15,INS!$A$2:$F$166,6,FALSE)</f>
        <v>281435</v>
      </c>
      <c r="F15" s="16">
        <f>+ROUND($E15*$D15,2)</f>
        <v>2814.35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2814.35</v>
      </c>
      <c r="H16" s="33">
        <f>+F16</f>
        <v>2814.35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6" t="s">
        <v>244</v>
      </c>
      <c r="B18" s="9" t="str">
        <f>+VLOOKUP($A18,INS!$A$2:$F$164,3,FALSE)</f>
        <v>Herramienta menor</v>
      </c>
      <c r="C18" s="6" t="str">
        <f>+VLOOKUP($A18,INS!$A$2:$F$164,4,FALSE)</f>
        <v>(%)MO</v>
      </c>
      <c r="D18" s="34">
        <v>10</v>
      </c>
      <c r="E18" s="7">
        <f>+$F$16</f>
        <v>2814.35</v>
      </c>
      <c r="F18" s="7">
        <f>+ROUND($E18*$D18/100,2)</f>
        <v>281.44</v>
      </c>
    </row>
    <row r="19" spans="1:8" x14ac:dyDescent="0.25">
      <c r="A19" s="6" t="s">
        <v>270</v>
      </c>
      <c r="B19" s="9" t="str">
        <f>+VLOOKUP($A19,INS!$A$2:$F$166,3,FALSE)</f>
        <v>Equipo de termo fusion geomembrana</v>
      </c>
      <c r="C19" s="6" t="str">
        <f>+VLOOKUP($A19,INS!$A$2:$F$166,4,FALSE)</f>
        <v>DIA</v>
      </c>
      <c r="D19" s="34">
        <v>0.01</v>
      </c>
      <c r="E19" s="7">
        <f>+VLOOKUP($A19,INS!$A$2:$F$166,6,FALSE)</f>
        <v>90000</v>
      </c>
      <c r="F19" s="7">
        <f t="shared" ref="F19" si="1">+ROUND($E19*$D19,2)</f>
        <v>900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+SUM(F18:F19)</f>
        <v>1181.44</v>
      </c>
      <c r="H20" s="33">
        <f>+F20</f>
        <v>1181.44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15695.79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Hoja84"/>
  <dimension ref="A1:H27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392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+F23</f>
        <v>66369.73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121</v>
      </c>
      <c r="B11" s="14" t="str">
        <f>+VLOOKUP($A11,INS!$A$2:$F$166,3,FALSE)</f>
        <v>Mezcla fertil</v>
      </c>
      <c r="C11" s="15" t="str">
        <f>+VLOOKUP($A11,INS!$A$2:$F$166,4,FALSE)</f>
        <v>m2</v>
      </c>
      <c r="D11" s="37">
        <v>1</v>
      </c>
      <c r="E11" s="16">
        <f>+VLOOKUP($A11,INS!$A$2:$F$166,6,FALSE)</f>
        <v>20000</v>
      </c>
      <c r="F11" s="16">
        <f>+ROUND($E11*$D11,2)</f>
        <v>20000</v>
      </c>
    </row>
    <row r="12" spans="1:8" x14ac:dyDescent="0.25">
      <c r="A12" s="6" t="s">
        <v>170</v>
      </c>
      <c r="B12" s="9" t="str">
        <f>+VLOOKUP($A12,INS!$A$2:$F$164,3,FALSE)</f>
        <v>Vetiver</v>
      </c>
      <c r="C12" s="6" t="str">
        <f>+VLOOKUP($A12,INS!$A$2:$F$164,4,FALSE)</f>
        <v>Und</v>
      </c>
      <c r="D12" s="34">
        <v>36</v>
      </c>
      <c r="E12" s="7">
        <f>+VLOOKUP($A12,INS!$A$2:$F$164,6,FALSE)</f>
        <v>600</v>
      </c>
      <c r="F12" s="7">
        <f t="shared" ref="F12:F14" si="0">+ROUND($E12*$D12,2)</f>
        <v>21600</v>
      </c>
    </row>
    <row r="13" spans="1:8" x14ac:dyDescent="0.25">
      <c r="A13" s="6" t="s">
        <v>76</v>
      </c>
      <c r="B13" s="9" t="str">
        <f>+VLOOKUP($A13,INS!$A$2:$F$164,3,FALSE)</f>
        <v>Geomanto no permanente</v>
      </c>
      <c r="C13" s="6" t="str">
        <f>+VLOOKUP($A13,INS!$A$2:$F$164,4,FALSE)</f>
        <v>m2</v>
      </c>
      <c r="D13" s="34">
        <v>1.3</v>
      </c>
      <c r="E13" s="7">
        <f>+VLOOKUP($A13,INS!$A$2:$F$164,6,FALSE)</f>
        <v>13000</v>
      </c>
      <c r="F13" s="7">
        <f t="shared" si="0"/>
        <v>16900</v>
      </c>
    </row>
    <row r="14" spans="1:8" x14ac:dyDescent="0.25">
      <c r="A14" s="6" t="s">
        <v>68</v>
      </c>
      <c r="B14" s="9" t="str">
        <f>+VLOOKUP($A14,INS!$A$2:$F$164,3,FALSE)</f>
        <v>Gancho</v>
      </c>
      <c r="C14" s="6" t="str">
        <f>+VLOOKUP($A14,INS!$A$2:$F$164,4,FALSE)</f>
        <v>Und</v>
      </c>
      <c r="D14" s="34">
        <v>4</v>
      </c>
      <c r="E14" s="7">
        <f>+VLOOKUP($A14,INS!$A$2:$F$164,6,FALSE)</f>
        <v>1000</v>
      </c>
      <c r="F14" s="7">
        <f t="shared" si="0"/>
        <v>4000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62500</v>
      </c>
      <c r="H15" s="33">
        <f>+F15</f>
        <v>62500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204</v>
      </c>
      <c r="B17" s="14" t="str">
        <f>+VLOOKUP($A17,INS!$A$2:$F$166,3,FALSE)</f>
        <v>Cuadrilla 1:2 (1Of+2 Ay)</v>
      </c>
      <c r="C17" s="15" t="str">
        <f>+VLOOKUP($A17,INS!$A$2:$F$166,4,FALSE)</f>
        <v>JOR</v>
      </c>
      <c r="D17" s="37">
        <v>1.2500000000000001E-2</v>
      </c>
      <c r="E17" s="16">
        <f>+VLOOKUP($A17,INS!$A$2:$F$166,6,FALSE)</f>
        <v>281435</v>
      </c>
      <c r="F17" s="16">
        <f>+ROUND($E17*$D17,2)</f>
        <v>3517.94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3517.94</v>
      </c>
      <c r="H18" s="33">
        <f>+F18</f>
        <v>3517.94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3517.94</v>
      </c>
      <c r="F20" s="7">
        <f>+ROUND($E20*$D20/100,2)</f>
        <v>351.79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+SUM(F20:F20)</f>
        <v>351.79</v>
      </c>
      <c r="H21" s="33">
        <f>+F21</f>
        <v>351.79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66369.73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Hoja85"/>
  <dimension ref="A1:H25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393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+F21</f>
        <v>40095.79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68</v>
      </c>
      <c r="B11" s="14" t="str">
        <f>+VLOOKUP($A11,INS!$A$2:$F$166,3,FALSE)</f>
        <v>Gancho</v>
      </c>
      <c r="C11" s="15" t="str">
        <f>+VLOOKUP($A11,INS!$A$2:$F$166,4,FALSE)</f>
        <v>Und</v>
      </c>
      <c r="D11" s="37">
        <v>4</v>
      </c>
      <c r="E11" s="16">
        <f>+VLOOKUP($A11,INS!$A$2:$F$166,6,FALSE)</f>
        <v>1000</v>
      </c>
      <c r="F11" s="16">
        <f>+ROUND($E11*$D11,2)</f>
        <v>4000</v>
      </c>
    </row>
    <row r="12" spans="1:8" x14ac:dyDescent="0.25">
      <c r="A12" s="6" t="s">
        <v>85</v>
      </c>
      <c r="B12" s="9" t="str">
        <f>+VLOOKUP($A12,INS!$A$2:$F$164,3,FALSE)</f>
        <v>Geo textil tejido</v>
      </c>
      <c r="C12" s="6" t="str">
        <f>+VLOOKUP($A12,INS!$A$2:$F$164,4,FALSE)</f>
        <v>m2</v>
      </c>
      <c r="D12" s="34">
        <v>1.1000000000000001</v>
      </c>
      <c r="E12" s="7">
        <f>+VLOOKUP($A12,INS!$A$2:$F$164,6,FALSE)</f>
        <v>30000</v>
      </c>
      <c r="F12" s="7">
        <f t="shared" ref="F12" si="0">+ROUND($E12*$D12,2)</f>
        <v>33000</v>
      </c>
    </row>
    <row r="13" spans="1:8" s="5" customFormat="1" x14ac:dyDescent="0.25">
      <c r="A13" s="46"/>
      <c r="B13" s="53"/>
      <c r="C13" s="47"/>
      <c r="D13" s="48"/>
      <c r="E13" s="36" t="s">
        <v>305</v>
      </c>
      <c r="F13" s="25">
        <f>+SUM(F11:F12)</f>
        <v>37000</v>
      </c>
      <c r="H13" s="33">
        <f>+F13</f>
        <v>37000</v>
      </c>
    </row>
    <row r="14" spans="1:8" s="5" customFormat="1" x14ac:dyDescent="0.25">
      <c r="A14" s="50" t="s">
        <v>189</v>
      </c>
      <c r="B14" s="52"/>
      <c r="C14" s="18"/>
      <c r="D14" s="18"/>
      <c r="E14" s="18"/>
      <c r="F14" s="24"/>
    </row>
    <row r="15" spans="1:8" x14ac:dyDescent="0.25">
      <c r="A15" s="15" t="s">
        <v>204</v>
      </c>
      <c r="B15" s="14" t="str">
        <f>+VLOOKUP($A15,INS!$A$2:$F$166,3,FALSE)</f>
        <v>Cuadrilla 1:2 (1Of+2 Ay)</v>
      </c>
      <c r="C15" s="15" t="str">
        <f>+VLOOKUP($A15,INS!$A$2:$F$166,4,FALSE)</f>
        <v>JOR</v>
      </c>
      <c r="D15" s="37">
        <v>0.01</v>
      </c>
      <c r="E15" s="16">
        <f>+VLOOKUP($A15,INS!$A$2:$F$166,6,FALSE)</f>
        <v>281435</v>
      </c>
      <c r="F15" s="16">
        <f>+ROUND($E15*$D15,2)</f>
        <v>2814.35</v>
      </c>
    </row>
    <row r="16" spans="1:8" s="5" customFormat="1" x14ac:dyDescent="0.25">
      <c r="A16" s="46"/>
      <c r="B16" s="53"/>
      <c r="C16" s="47"/>
      <c r="D16" s="48"/>
      <c r="E16" s="36" t="s">
        <v>305</v>
      </c>
      <c r="F16" s="25">
        <f>+SUM(F15:F15)</f>
        <v>2814.35</v>
      </c>
      <c r="H16" s="33">
        <f>+F16</f>
        <v>2814.35</v>
      </c>
    </row>
    <row r="17" spans="1:8" s="5" customFormat="1" x14ac:dyDescent="0.25">
      <c r="A17" s="50" t="s">
        <v>486</v>
      </c>
      <c r="B17" s="52"/>
      <c r="C17" s="18"/>
      <c r="D17" s="18"/>
      <c r="E17" s="18"/>
      <c r="F17" s="24"/>
    </row>
    <row r="18" spans="1:8" x14ac:dyDescent="0.25">
      <c r="A18" s="6" t="s">
        <v>244</v>
      </c>
      <c r="B18" s="9" t="str">
        <f>+VLOOKUP($A18,INS!$A$2:$F$164,3,FALSE)</f>
        <v>Herramienta menor</v>
      </c>
      <c r="C18" s="6" t="str">
        <f>+VLOOKUP($A18,INS!$A$2:$F$164,4,FALSE)</f>
        <v>(%)MO</v>
      </c>
      <c r="D18" s="34">
        <v>10</v>
      </c>
      <c r="E18" s="7">
        <f>+$F$16</f>
        <v>2814.35</v>
      </c>
      <c r="F18" s="7">
        <f>+ROUND($E18*$D18/100,2)</f>
        <v>281.44</v>
      </c>
    </row>
    <row r="19" spans="1:8" s="5" customFormat="1" x14ac:dyDescent="0.25">
      <c r="A19" s="40"/>
      <c r="B19" s="54"/>
      <c r="C19" s="41"/>
      <c r="D19" s="45"/>
      <c r="E19" s="35" t="s">
        <v>305</v>
      </c>
      <c r="F19" s="25">
        <f>+SUM(F18:F18)</f>
        <v>281.44</v>
      </c>
      <c r="H19" s="33">
        <f>+F19</f>
        <v>281.44</v>
      </c>
    </row>
    <row r="20" spans="1:8" ht="9" customHeight="1" x14ac:dyDescent="0.25">
      <c r="A20" s="28"/>
      <c r="B20" s="51"/>
      <c r="C20" s="30"/>
      <c r="D20" s="65"/>
      <c r="E20" s="66"/>
      <c r="F20" s="42"/>
    </row>
    <row r="21" spans="1:8" s="5" customFormat="1" ht="26.25" customHeight="1" x14ac:dyDescent="0.25">
      <c r="A21" s="403" t="e">
        <f>+CONCATENATE("COSTO DIRECTRO ITEM ",F5," ",B5)</f>
        <v>#N/A</v>
      </c>
      <c r="B21" s="403"/>
      <c r="C21" s="403"/>
      <c r="D21" s="403"/>
      <c r="E21" s="403"/>
      <c r="F21" s="62">
        <f>+SUM(H11:H19)</f>
        <v>40095.79</v>
      </c>
    </row>
    <row r="23" spans="1:8" x14ac:dyDescent="0.25">
      <c r="F23" s="2"/>
    </row>
    <row r="25" spans="1:8" x14ac:dyDescent="0.25">
      <c r="F25" s="32"/>
    </row>
  </sheetData>
  <mergeCells count="8">
    <mergeCell ref="B7:D7"/>
    <mergeCell ref="A21:E21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Hoja86"/>
  <dimension ref="A1:H27"/>
  <sheetViews>
    <sheetView view="pageBreakPreview" zoomScale="115" zoomScaleNormal="100" zoomScaleSheetLayoutView="115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394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+F23</f>
        <v>44878.93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121</v>
      </c>
      <c r="B11" s="14" t="str">
        <f>+VLOOKUP($A11,INS!$A$2:$F$166,3,FALSE)</f>
        <v>Mezcla fertil</v>
      </c>
      <c r="C11" s="15" t="str">
        <f>+VLOOKUP($A11,INS!$A$2:$F$166,4,FALSE)</f>
        <v>m2</v>
      </c>
      <c r="D11" s="37">
        <v>1</v>
      </c>
      <c r="E11" s="16">
        <f>+VLOOKUP($A11,INS!$A$2:$F$166,6,FALSE)</f>
        <v>20000</v>
      </c>
      <c r="F11" s="16">
        <f>+ROUND($E11*$D11,2)</f>
        <v>20000</v>
      </c>
    </row>
    <row r="12" spans="1:8" x14ac:dyDescent="0.25">
      <c r="A12" s="6" t="s">
        <v>94</v>
      </c>
      <c r="B12" s="9" t="str">
        <f>+VLOOKUP($A12,INS!$A$2:$F$164,3,FALSE)</f>
        <v>Semilla kikuyo</v>
      </c>
      <c r="C12" s="6" t="str">
        <f>+VLOOKUP($A12,INS!$A$2:$F$164,4,FALSE)</f>
        <v>Kg</v>
      </c>
      <c r="D12" s="34">
        <v>8.3999999999999995E-3</v>
      </c>
      <c r="E12" s="7">
        <f>+VLOOKUP($A12,INS!$A$2:$F$164,6,FALSE)</f>
        <v>13000</v>
      </c>
      <c r="F12" s="7">
        <f t="shared" ref="F12:F14" si="0">+ROUND($E12*$D12,2)</f>
        <v>109.2</v>
      </c>
    </row>
    <row r="13" spans="1:8" x14ac:dyDescent="0.25">
      <c r="A13" s="6" t="s">
        <v>76</v>
      </c>
      <c r="B13" s="9" t="str">
        <f>+VLOOKUP($A13,INS!$A$2:$F$164,3,FALSE)</f>
        <v>Geomanto no permanente</v>
      </c>
      <c r="C13" s="6" t="str">
        <f>+VLOOKUP($A13,INS!$A$2:$F$164,4,FALSE)</f>
        <v>m2</v>
      </c>
      <c r="D13" s="34">
        <v>1.3</v>
      </c>
      <c r="E13" s="7">
        <f>+VLOOKUP($A13,INS!$A$2:$F$164,6,FALSE)</f>
        <v>13000</v>
      </c>
      <c r="F13" s="7">
        <f t="shared" si="0"/>
        <v>16900</v>
      </c>
    </row>
    <row r="14" spans="1:8" x14ac:dyDescent="0.25">
      <c r="A14" s="6" t="s">
        <v>68</v>
      </c>
      <c r="B14" s="9" t="str">
        <f>+VLOOKUP($A14,INS!$A$2:$F$164,3,FALSE)</f>
        <v>Gancho</v>
      </c>
      <c r="C14" s="6" t="str">
        <f>+VLOOKUP($A14,INS!$A$2:$F$164,4,FALSE)</f>
        <v>Und</v>
      </c>
      <c r="D14" s="34">
        <v>4</v>
      </c>
      <c r="E14" s="7">
        <f>+VLOOKUP($A14,INS!$A$2:$F$164,6,FALSE)</f>
        <v>1000</v>
      </c>
      <c r="F14" s="7">
        <f t="shared" si="0"/>
        <v>4000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41009.199999999997</v>
      </c>
      <c r="H15" s="33">
        <f>+F15</f>
        <v>41009.199999999997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204</v>
      </c>
      <c r="B17" s="14" t="str">
        <f>+VLOOKUP($A17,INS!$A$2:$F$166,3,FALSE)</f>
        <v>Cuadrilla 1:2 (1Of+2 Ay)</v>
      </c>
      <c r="C17" s="15" t="str">
        <f>+VLOOKUP($A17,INS!$A$2:$F$166,4,FALSE)</f>
        <v>JOR</v>
      </c>
      <c r="D17" s="37">
        <v>1.2500000000000001E-2</v>
      </c>
      <c r="E17" s="16">
        <f>+VLOOKUP($A17,INS!$A$2:$F$166,6,FALSE)</f>
        <v>281435</v>
      </c>
      <c r="F17" s="16">
        <f>+ROUND($E17*$D17,2)</f>
        <v>3517.94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3517.94</v>
      </c>
      <c r="H18" s="33">
        <f>+F18</f>
        <v>3517.94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3517.94</v>
      </c>
      <c r="F20" s="7">
        <f>+ROUND($E20*$D20/100,2)</f>
        <v>351.79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+SUM(F20:F20)</f>
        <v>351.79</v>
      </c>
      <c r="H21" s="33">
        <f>+F21</f>
        <v>351.79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44878.93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Hoja87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395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1547774.86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926938.8</v>
      </c>
      <c r="F11" s="7">
        <f>+ROUND($E11*$D11/100,2)</f>
        <v>37077.550000000003</v>
      </c>
    </row>
    <row r="12" spans="1:8" x14ac:dyDescent="0.25">
      <c r="A12" s="6" t="s">
        <v>132</v>
      </c>
      <c r="B12" s="9" t="str">
        <f>+VLOOKUP($A12,INS!$A$2:$F$164,3,FALSE)</f>
        <v>Puntilla Corriente de 2 1/2"</v>
      </c>
      <c r="C12" s="6" t="str">
        <f>+VLOOKUP($A12,INS!$A$2:$F$164,4,FALSE)</f>
        <v>lb</v>
      </c>
      <c r="D12" s="34">
        <v>0.15</v>
      </c>
      <c r="E12" s="7">
        <f>+VLOOKUP($A12,INS!$A$2:$F$164,6,FALSE)</f>
        <v>2600</v>
      </c>
      <c r="F12" s="7">
        <f t="shared" ref="F12:F14" si="0">+ROUND($E12*$D12,2)</f>
        <v>390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6</v>
      </c>
      <c r="E13" s="7">
        <f>+VLOOKUP($A13,INS!$A$2:$F$164,6,FALSE)</f>
        <v>4740.6499999999996</v>
      </c>
      <c r="F13" s="7">
        <f t="shared" si="0"/>
        <v>28443.9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34">
        <v>3.3</v>
      </c>
      <c r="E14" s="7">
        <f>+VLOOKUP($A14,INS!$A$2:$F$164,6,FALSE)</f>
        <v>272153</v>
      </c>
      <c r="F14" s="7">
        <f t="shared" si="0"/>
        <v>898104.9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964016.35000000009</v>
      </c>
      <c r="H15" s="33">
        <f>+F15</f>
        <v>964016.35000000009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208</v>
      </c>
      <c r="B17" s="14" t="str">
        <f>+VLOOKUP($A17,INS!$A$2:$F$166,3,FALSE)</f>
        <v>Cuadrilla 1:4 (1Of+4 Ay)</v>
      </c>
      <c r="C17" s="15" t="str">
        <f>+VLOOKUP($A17,INS!$A$2:$F$166,4,FALSE)</f>
        <v>JOR</v>
      </c>
      <c r="D17" s="37">
        <v>1.1764699999999999</v>
      </c>
      <c r="E17" s="16">
        <f>+VLOOKUP($A17,INS!$A$2:$F$166,6,FALSE)</f>
        <v>442255</v>
      </c>
      <c r="F17" s="16">
        <f>+ROUND($E17*$D17,2)</f>
        <v>520299.74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520299.74</v>
      </c>
      <c r="H18" s="33">
        <f>+F18</f>
        <v>520299.74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520299.74</v>
      </c>
      <c r="F20" s="7">
        <f>+ROUND($E20*$D20/100,2)</f>
        <v>52029.97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34">
        <v>0.14285999999999999</v>
      </c>
      <c r="E21" s="7">
        <f>+VLOOKUP($A21,INS!$A$2:$F$166,6,FALSE)</f>
        <v>80000</v>
      </c>
      <c r="F21" s="7">
        <f t="shared" ref="F21" si="1">+ROUND($E21*$D21,2)</f>
        <v>11428.8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63458.770000000004</v>
      </c>
      <c r="H22" s="33">
        <f>+F22</f>
        <v>63458.770000000004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1547774.86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Hoja105"/>
  <dimension ref="A1:H28"/>
  <sheetViews>
    <sheetView view="pageBreakPreview" topLeftCell="C1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396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387129.79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ht="12.75" customHeight="1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10</v>
      </c>
      <c r="E11" s="16">
        <f>+SUM(F12:F13)</f>
        <v>279574.3</v>
      </c>
      <c r="F11" s="16">
        <f>+ROUND($E11*$D11/100,2)</f>
        <v>27957.43</v>
      </c>
    </row>
    <row r="12" spans="1:8" ht="12.75" customHeight="1" x14ac:dyDescent="0.25">
      <c r="A12" s="15" t="s">
        <v>47</v>
      </c>
      <c r="B12" s="14" t="str">
        <f>+VLOOKUP($A12,INS!$A$2:$F$166,3,FALSE)</f>
        <v>Concreto de 4000 psi de planta</v>
      </c>
      <c r="C12" s="15" t="str">
        <f>+VLOOKUP($A12,INS!$A$2:$F$166,4,FALSE)</f>
        <v>m3</v>
      </c>
      <c r="D12" s="37">
        <v>0.28000000000000003</v>
      </c>
      <c r="E12" s="16">
        <f>+VLOOKUP($A12,INS!$A$2:$F$166,6,FALSE)</f>
        <v>626000</v>
      </c>
      <c r="F12" s="16">
        <f>+ROUND($E12*$D12,2)</f>
        <v>175280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22</v>
      </c>
      <c r="E13" s="7">
        <f>+VLOOKUP($A13,INS!$A$2:$F$164,6,FALSE)</f>
        <v>4740.6499999999996</v>
      </c>
      <c r="F13" s="7">
        <f t="shared" ref="F13" si="0">+ROUND($E13*$D13,2)</f>
        <v>104294.3</v>
      </c>
    </row>
    <row r="14" spans="1:8" s="5" customFormat="1" x14ac:dyDescent="0.25">
      <c r="A14" s="46"/>
      <c r="B14" s="53"/>
      <c r="C14" s="47"/>
      <c r="D14" s="48"/>
      <c r="E14" s="36" t="s">
        <v>305</v>
      </c>
      <c r="F14" s="25">
        <f>+SUM(F11:F13)</f>
        <v>307531.73</v>
      </c>
      <c r="H14" s="33">
        <f>+F14</f>
        <v>307531.73</v>
      </c>
    </row>
    <row r="15" spans="1:8" s="5" customFormat="1" x14ac:dyDescent="0.25">
      <c r="A15" s="50" t="s">
        <v>189</v>
      </c>
      <c r="B15" s="52"/>
      <c r="C15" s="18"/>
      <c r="D15" s="18"/>
      <c r="E15" s="18"/>
      <c r="F15" s="24"/>
    </row>
    <row r="16" spans="1:8" x14ac:dyDescent="0.25">
      <c r="A16" s="15" t="s">
        <v>204</v>
      </c>
      <c r="B16" s="14" t="str">
        <f>+VLOOKUP($A16,INS!$A$2:$F$166,3,FALSE)</f>
        <v>Cuadrilla 1:2 (1Of+2 Ay)</v>
      </c>
      <c r="C16" s="15" t="str">
        <f>+VLOOKUP($A16,INS!$A$2:$F$166,4,FALSE)</f>
        <v>JOR</v>
      </c>
      <c r="D16" s="15">
        <f>+ROUND(1/7,5)</f>
        <v>0.14285999999999999</v>
      </c>
      <c r="E16" s="16">
        <f>+VLOOKUP($A16,INS!$A$2:$F$166,6,FALSE)</f>
        <v>281435</v>
      </c>
      <c r="F16" s="16">
        <f>+ROUND($E16*$D16,2)</f>
        <v>40205.800000000003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+SUM(F16:F16)</f>
        <v>40205.800000000003</v>
      </c>
      <c r="H17" s="33">
        <f>+F17</f>
        <v>40205.800000000003</v>
      </c>
    </row>
    <row r="18" spans="1:8" s="5" customFormat="1" x14ac:dyDescent="0.25">
      <c r="A18" s="50" t="s">
        <v>486</v>
      </c>
      <c r="B18" s="52"/>
      <c r="C18" s="18"/>
      <c r="D18" s="18"/>
      <c r="E18" s="18"/>
      <c r="F18" s="24"/>
    </row>
    <row r="19" spans="1:8" x14ac:dyDescent="0.25">
      <c r="A19" s="6" t="s">
        <v>244</v>
      </c>
      <c r="B19" s="9" t="str">
        <f>+VLOOKUP($A19,INS!$A$2:$F$164,3,FALSE)</f>
        <v>Herramienta menor</v>
      </c>
      <c r="C19" s="6" t="str">
        <f>+VLOOKUP($A19,INS!$A$2:$F$164,4,FALSE)</f>
        <v>(%)MO</v>
      </c>
      <c r="D19" s="34">
        <v>10</v>
      </c>
      <c r="E19" s="7">
        <f>+$F$17</f>
        <v>40205.800000000003</v>
      </c>
      <c r="F19" s="7">
        <f>+ROUND($E19*$D19/100,2)</f>
        <v>4020.58</v>
      </c>
    </row>
    <row r="20" spans="1:8" ht="25.5" x14ac:dyDescent="0.25">
      <c r="A20" s="6" t="s">
        <v>240</v>
      </c>
      <c r="B20" s="9" t="str">
        <f>+VLOOKUP($A20,INS!$A$2:$F$166,3,FALSE)</f>
        <v>Formaleta (cerchas, parales, tableros, maderas, chapetas, alineadores)</v>
      </c>
      <c r="C20" s="6" t="str">
        <f>+VLOOKUP($A20,INS!$A$2:$F$166,4,FALSE)</f>
        <v>m2</v>
      </c>
      <c r="D20" s="34">
        <f>2*(1+0.9)</f>
        <v>3.8</v>
      </c>
      <c r="E20" s="7">
        <f>+VLOOKUP($A20,INS!$A$2:$F$166,6,FALSE)</f>
        <v>6000</v>
      </c>
      <c r="F20" s="7">
        <f t="shared" ref="F20:F21" si="1">+ROUND($E20*$D20,2)</f>
        <v>22800</v>
      </c>
    </row>
    <row r="21" spans="1:8" x14ac:dyDescent="0.25">
      <c r="A21" s="6" t="s">
        <v>254</v>
      </c>
      <c r="B21" s="9" t="str">
        <f>+VLOOKUP($A21,INS!$A$2:$F$166,3,FALSE)</f>
        <v>Vibrador para concreto</v>
      </c>
      <c r="C21" s="6" t="str">
        <f>+VLOOKUP($A21,INS!$A$2:$F$166,4,FALSE)</f>
        <v>HORA</v>
      </c>
      <c r="D21" s="34">
        <f>+ROUND(D16*8,5)</f>
        <v>1.1428799999999999</v>
      </c>
      <c r="E21" s="7">
        <f>+VLOOKUP($A21,INS!$A$2:$F$166,6,FALSE)</f>
        <v>11000</v>
      </c>
      <c r="F21" s="7">
        <f t="shared" si="1"/>
        <v>12571.68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+SUM(F19:F21)</f>
        <v>39392.26</v>
      </c>
      <c r="H22" s="33">
        <f>+F22</f>
        <v>39392.26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30.7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387129.79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Hoja89"/>
  <dimension ref="A1:H29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67" t="s">
        <v>367</v>
      </c>
    </row>
    <row r="5" spans="1: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397</v>
      </c>
    </row>
    <row r="6" spans="1: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+F25</f>
        <v>1326641.79</v>
      </c>
    </row>
    <row r="7" spans="1: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60</v>
      </c>
      <c r="B11" s="14" t="str">
        <f>+VLOOKUP($A11,INS!$A$2:$F$166,3,FALSE)</f>
        <v>Escolon de carrizo</v>
      </c>
      <c r="C11" s="15" t="str">
        <f>+VLOOKUP($A11,INS!$A$2:$F$166,4,FALSE)</f>
        <v>Und</v>
      </c>
      <c r="D11" s="37">
        <v>21.67</v>
      </c>
      <c r="E11" s="16">
        <f>+VLOOKUP($A11,INS!$A$2:$F$166,6,FALSE)</f>
        <v>1700</v>
      </c>
      <c r="F11" s="16">
        <f>+ROUND($E11*$D11,2)</f>
        <v>36839</v>
      </c>
    </row>
    <row r="12" spans="1:6" x14ac:dyDescent="0.25">
      <c r="A12" s="6" t="s">
        <v>68</v>
      </c>
      <c r="B12" s="9" t="str">
        <f>+VLOOKUP($A12,INS!$A$2:$F$164,3,FALSE)</f>
        <v>Gancho</v>
      </c>
      <c r="C12" s="6" t="str">
        <f>+VLOOKUP($A12,INS!$A$2:$F$164,4,FALSE)</f>
        <v>Und</v>
      </c>
      <c r="D12" s="34">
        <v>4</v>
      </c>
      <c r="E12" s="7">
        <f>+VLOOKUP($A12,INS!$A$2:$F$164,6,FALSE)</f>
        <v>1000</v>
      </c>
      <c r="F12" s="7">
        <f t="shared" ref="F12:F16" si="0">+ROUND($E12*$D12,2)</f>
        <v>4000</v>
      </c>
    </row>
    <row r="13" spans="1:6" x14ac:dyDescent="0.25">
      <c r="A13" s="6" t="s">
        <v>66</v>
      </c>
      <c r="B13" s="9" t="str">
        <f>+VLOOKUP($A13,INS!$A$2:$F$164,3,FALSE)</f>
        <v>Fibra de coco</v>
      </c>
      <c r="C13" s="6" t="str">
        <f>+VLOOKUP($A13,INS!$A$2:$F$164,4,FALSE)</f>
        <v>Kg</v>
      </c>
      <c r="D13" s="34">
        <v>192.87</v>
      </c>
      <c r="E13" s="7">
        <f>+VLOOKUP($A13,INS!$A$2:$F$164,6,FALSE)</f>
        <v>3200</v>
      </c>
      <c r="F13" s="7">
        <f t="shared" si="0"/>
        <v>617184</v>
      </c>
    </row>
    <row r="14" spans="1:6" x14ac:dyDescent="0.25">
      <c r="A14" s="6" t="s">
        <v>135</v>
      </c>
      <c r="B14" s="9" t="str">
        <f>+VLOOKUP($A14,INS!$A$2:$F$164,3,FALSE)</f>
        <v>Red polipropileno de 45mm (diam: 5mm)</v>
      </c>
      <c r="C14" s="6" t="str">
        <f>+VLOOKUP($A14,INS!$A$2:$F$164,4,FALSE)</f>
        <v>m2</v>
      </c>
      <c r="D14" s="34">
        <v>14.29</v>
      </c>
      <c r="E14" s="7">
        <f>+VLOOKUP($A14,INS!$A$2:$F$164,6,FALSE)</f>
        <v>13000</v>
      </c>
      <c r="F14" s="7">
        <f t="shared" si="0"/>
        <v>185770</v>
      </c>
    </row>
    <row r="15" spans="1:6" x14ac:dyDescent="0.25">
      <c r="A15" s="6" t="s">
        <v>121</v>
      </c>
      <c r="B15" s="9" t="str">
        <f>+VLOOKUP($A15,INS!$A$2:$F$164,3,FALSE)</f>
        <v>Mezcla fertil</v>
      </c>
      <c r="C15" s="6" t="str">
        <f>+VLOOKUP($A15,INS!$A$2:$F$164,4,FALSE)</f>
        <v>m2</v>
      </c>
      <c r="D15" s="34">
        <v>10.72</v>
      </c>
      <c r="E15" s="7">
        <f>+VLOOKUP($A15,INS!$A$2:$F$164,6,FALSE)</f>
        <v>20000</v>
      </c>
      <c r="F15" s="7">
        <f t="shared" si="0"/>
        <v>214400</v>
      </c>
    </row>
    <row r="16" spans="1:6" x14ac:dyDescent="0.25">
      <c r="A16" s="6" t="s">
        <v>62</v>
      </c>
      <c r="B16" s="9" t="str">
        <f>+VLOOKUP($A16,INS!$A$2:$F$164,3,FALSE)</f>
        <v>Estaca</v>
      </c>
      <c r="C16" s="6" t="str">
        <f>+VLOOKUP($A16,INS!$A$2:$F$164,4,FALSE)</f>
        <v>Und</v>
      </c>
      <c r="D16" s="34">
        <v>9</v>
      </c>
      <c r="E16" s="7">
        <f>+VLOOKUP($A16,INS!$A$2:$F$164,6,FALSE)</f>
        <v>20000</v>
      </c>
      <c r="F16" s="7">
        <f t="shared" si="0"/>
        <v>180000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+SUM(F11:F16)</f>
        <v>1238193</v>
      </c>
      <c r="H17" s="33">
        <f>+F17</f>
        <v>1238193</v>
      </c>
    </row>
    <row r="18" spans="1:8" s="5" customFormat="1" x14ac:dyDescent="0.25">
      <c r="A18" s="50" t="s">
        <v>189</v>
      </c>
      <c r="B18" s="52"/>
      <c r="C18" s="18"/>
      <c r="D18" s="18"/>
      <c r="E18" s="18"/>
      <c r="F18" s="24"/>
    </row>
    <row r="19" spans="1:8" x14ac:dyDescent="0.25">
      <c r="A19" s="15" t="s">
        <v>206</v>
      </c>
      <c r="B19" s="14" t="str">
        <f>+VLOOKUP($A19,INS!$A$2:$F$166,3,FALSE)</f>
        <v>Cuadrilla 1:6 (1Of+6 Ay)</v>
      </c>
      <c r="C19" s="15" t="str">
        <f>+VLOOKUP($A19,INS!$A$2:$F$166,4,FALSE)</f>
        <v>JOR</v>
      </c>
      <c r="D19" s="37">
        <v>0.13333</v>
      </c>
      <c r="E19" s="16">
        <f>+VLOOKUP($A19,INS!$A$2:$F$166,6,FALSE)</f>
        <v>603075</v>
      </c>
      <c r="F19" s="16">
        <f>+ROUND($E19*$D19,2)</f>
        <v>80407.990000000005</v>
      </c>
    </row>
    <row r="20" spans="1:8" s="5" customFormat="1" x14ac:dyDescent="0.25">
      <c r="A20" s="46"/>
      <c r="B20" s="53"/>
      <c r="C20" s="47"/>
      <c r="D20" s="48"/>
      <c r="E20" s="36" t="s">
        <v>305</v>
      </c>
      <c r="F20" s="25">
        <f>+SUM(F19:F19)</f>
        <v>80407.990000000005</v>
      </c>
      <c r="H20" s="33">
        <f>+F20</f>
        <v>80407.990000000005</v>
      </c>
    </row>
    <row r="21" spans="1:8" s="5" customFormat="1" x14ac:dyDescent="0.25">
      <c r="A21" s="50" t="s">
        <v>486</v>
      </c>
      <c r="B21" s="52"/>
      <c r="C21" s="18"/>
      <c r="D21" s="18"/>
      <c r="E21" s="18"/>
      <c r="F21" s="24"/>
    </row>
    <row r="22" spans="1:8" x14ac:dyDescent="0.25">
      <c r="A22" s="6" t="s">
        <v>244</v>
      </c>
      <c r="B22" s="9" t="str">
        <f>+VLOOKUP($A22,INS!$A$2:$F$164,3,FALSE)</f>
        <v>Herramienta menor</v>
      </c>
      <c r="C22" s="6" t="str">
        <f>+VLOOKUP($A22,INS!$A$2:$F$164,4,FALSE)</f>
        <v>(%)MO</v>
      </c>
      <c r="D22" s="34">
        <v>10</v>
      </c>
      <c r="E22" s="7">
        <f>+$F$20</f>
        <v>80407.990000000005</v>
      </c>
      <c r="F22" s="7">
        <f>+ROUND($E22*$D22/100,2)</f>
        <v>8040.8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+SUM(F22:F22)</f>
        <v>8040.8</v>
      </c>
      <c r="H23" s="33">
        <f>+F23</f>
        <v>8040.8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e">
        <f>+CONCATENATE("COSTO DIRECTRO ITEM ",F5," ",B5)</f>
        <v>#N/A</v>
      </c>
      <c r="B25" s="403"/>
      <c r="C25" s="403"/>
      <c r="D25" s="403"/>
      <c r="E25" s="403"/>
      <c r="F25" s="62">
        <f>+SUM(H11:H23)</f>
        <v>1326641.79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Hoja90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398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2170460.9300000002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1525675.4</v>
      </c>
      <c r="F11" s="7">
        <f>+ROUND($E11*$D11/100,2)</f>
        <v>61027.02</v>
      </c>
    </row>
    <row r="12" spans="1:8" x14ac:dyDescent="0.25">
      <c r="A12" s="6" t="s">
        <v>132</v>
      </c>
      <c r="B12" s="9" t="str">
        <f>+VLOOKUP($A12,INS!$A$2:$F$164,3,FALSE)</f>
        <v>Puntilla Corriente de 2 1/2"</v>
      </c>
      <c r="C12" s="6" t="str">
        <f>+VLOOKUP($A12,INS!$A$2:$F$164,4,FALSE)</f>
        <v>lb</v>
      </c>
      <c r="D12" s="34">
        <v>0.15</v>
      </c>
      <c r="E12" s="7">
        <f>+VLOOKUP($A12,INS!$A$2:$F$164,6,FALSE)</f>
        <v>2600</v>
      </c>
      <c r="F12" s="7">
        <f t="shared" ref="F12:F14" si="0">+ROUND($E12*$D12,2)</f>
        <v>390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6</v>
      </c>
      <c r="E13" s="7">
        <f>+VLOOKUP($A13,INS!$A$2:$F$164,6,FALSE)</f>
        <v>4740.6499999999996</v>
      </c>
      <c r="F13" s="7">
        <f t="shared" si="0"/>
        <v>28443.9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34">
        <v>5.5</v>
      </c>
      <c r="E14" s="7">
        <f>+VLOOKUP($A14,INS!$A$2:$F$164,6,FALSE)</f>
        <v>272153</v>
      </c>
      <c r="F14" s="7">
        <f t="shared" si="0"/>
        <v>1496841.5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1586702.42</v>
      </c>
      <c r="H15" s="33">
        <f>+F15</f>
        <v>1586702.42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208</v>
      </c>
      <c r="B17" s="14" t="str">
        <f>+VLOOKUP($A17,INS!$A$2:$F$166,3,FALSE)</f>
        <v>Cuadrilla 1:4 (1Of+4 Ay)</v>
      </c>
      <c r="C17" s="15" t="str">
        <f>+VLOOKUP($A17,INS!$A$2:$F$166,4,FALSE)</f>
        <v>JOR</v>
      </c>
      <c r="D17" s="37">
        <v>1.1764699999999999</v>
      </c>
      <c r="E17" s="16">
        <f>+VLOOKUP($A17,INS!$A$2:$F$166,6,FALSE)</f>
        <v>442255</v>
      </c>
      <c r="F17" s="16">
        <f>+ROUND($E17*$D17,2)</f>
        <v>520299.74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520299.74</v>
      </c>
      <c r="H18" s="33">
        <f>+F18</f>
        <v>520299.74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520299.74</v>
      </c>
      <c r="F20" s="7">
        <f>+ROUND($E20*$D20/100,2)</f>
        <v>52029.97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34">
        <v>0.14285999999999999</v>
      </c>
      <c r="E21" s="7">
        <f>+VLOOKUP($A21,INS!$A$2:$F$166,6,FALSE)</f>
        <v>80000</v>
      </c>
      <c r="F21" s="7">
        <f t="shared" ref="F21" si="1">+ROUND($E21*$D21,2)</f>
        <v>11428.8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63458.770000000004</v>
      </c>
      <c r="H22" s="33">
        <f>+F22</f>
        <v>63458.770000000004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2170460.9300000002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Hoja91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399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1547774.86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926938.8</v>
      </c>
      <c r="F11" s="7">
        <f>+ROUND($E11*$D11/100,2)</f>
        <v>37077.550000000003</v>
      </c>
    </row>
    <row r="12" spans="1:8" x14ac:dyDescent="0.25">
      <c r="A12" s="6" t="s">
        <v>132</v>
      </c>
      <c r="B12" s="9" t="str">
        <f>+VLOOKUP($A12,INS!$A$2:$F$164,3,FALSE)</f>
        <v>Puntilla Corriente de 2 1/2"</v>
      </c>
      <c r="C12" s="6" t="str">
        <f>+VLOOKUP($A12,INS!$A$2:$F$164,4,FALSE)</f>
        <v>lb</v>
      </c>
      <c r="D12" s="34">
        <v>0.15</v>
      </c>
      <c r="E12" s="7">
        <f>+VLOOKUP($A12,INS!$A$2:$F$164,6,FALSE)</f>
        <v>2600</v>
      </c>
      <c r="F12" s="7">
        <f t="shared" ref="F12:F14" si="0">+ROUND($E12*$D12,2)</f>
        <v>390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6</v>
      </c>
      <c r="E13" s="7">
        <f>+VLOOKUP($A13,INS!$A$2:$F$164,6,FALSE)</f>
        <v>4740.6499999999996</v>
      </c>
      <c r="F13" s="7">
        <f t="shared" si="0"/>
        <v>28443.9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34">
        <v>3.3</v>
      </c>
      <c r="E14" s="7">
        <f>+VLOOKUP($A14,INS!$A$2:$F$164,6,FALSE)</f>
        <v>272153</v>
      </c>
      <c r="F14" s="7">
        <f t="shared" si="0"/>
        <v>898104.9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964016.35000000009</v>
      </c>
      <c r="H15" s="33">
        <f>+F15</f>
        <v>964016.35000000009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208</v>
      </c>
      <c r="B17" s="14" t="str">
        <f>+VLOOKUP($A17,INS!$A$2:$F$166,3,FALSE)</f>
        <v>Cuadrilla 1:4 (1Of+4 Ay)</v>
      </c>
      <c r="C17" s="15" t="str">
        <f>+VLOOKUP($A17,INS!$A$2:$F$166,4,FALSE)</f>
        <v>JOR</v>
      </c>
      <c r="D17" s="37">
        <v>1.1764699999999999</v>
      </c>
      <c r="E17" s="16">
        <f>+VLOOKUP($A17,INS!$A$2:$F$166,6,FALSE)</f>
        <v>442255</v>
      </c>
      <c r="F17" s="16">
        <f>+ROUND($E17*$D17,2)</f>
        <v>520299.74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520299.74</v>
      </c>
      <c r="H18" s="33">
        <f>+F18</f>
        <v>520299.74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520299.74</v>
      </c>
      <c r="F20" s="7">
        <f>+ROUND($E20*$D20/100,2)</f>
        <v>52029.97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34">
        <v>0.14285999999999999</v>
      </c>
      <c r="E21" s="7">
        <f>+VLOOKUP($A21,INS!$A$2:$F$166,6,FALSE)</f>
        <v>80000</v>
      </c>
      <c r="F21" s="7">
        <f t="shared" ref="F21" si="1">+ROUND($E21*$D21,2)</f>
        <v>11428.8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63458.770000000004</v>
      </c>
      <c r="H22" s="33">
        <f>+F22</f>
        <v>63458.770000000004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1547774.86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Hoja92"/>
  <dimension ref="A1:H26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400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612921.39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45</v>
      </c>
      <c r="B11" s="14" t="str">
        <f>+VLOOKUP($A11,INS!$A$2:$F$166,3,FALSE)</f>
        <v>Concreto 3000 psi 200kg/cm2</v>
      </c>
      <c r="C11" s="15" t="str">
        <f>+VLOOKUP($A11,INS!$A$2:$F$166,4,FALSE)</f>
        <v>m3</v>
      </c>
      <c r="D11" s="37">
        <v>1.02</v>
      </c>
      <c r="E11" s="16">
        <f>+VLOOKUP($A11,INS!$A$2:$F$166,6,FALSE)</f>
        <v>372328.83</v>
      </c>
      <c r="F11" s="16">
        <f>+ROUND($E11*$D11,2)</f>
        <v>379775.41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379775.41</v>
      </c>
      <c r="H12" s="33">
        <f>+F12</f>
        <v>379775.41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+VLOOKUP($A14,INS!$A$2:$F$166,3,FALSE)</f>
        <v>Cuadrilla 1:2 (1Of+2 Ay)</v>
      </c>
      <c r="C14" s="15" t="str">
        <f>+VLOOKUP($A14,INS!$A$2:$F$166,4,FALSE)</f>
        <v>JOR</v>
      </c>
      <c r="D14" s="37">
        <v>0.66669999999999996</v>
      </c>
      <c r="E14" s="16">
        <f>+VLOOKUP($A14,INS!$A$2:$F$166,6,FALSE)</f>
        <v>281435</v>
      </c>
      <c r="F14" s="16">
        <f>+ROUND($E14*$D14,2)</f>
        <v>187632.71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187632.71</v>
      </c>
      <c r="H15" s="33">
        <f>+F15</f>
        <v>187632.71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187632.71</v>
      </c>
      <c r="F17" s="7">
        <f>+ROUND($E17*$D17/100,2)</f>
        <v>18763.27</v>
      </c>
    </row>
    <row r="18" spans="1:8" ht="25.5" x14ac:dyDescent="0.25">
      <c r="A18" s="6" t="s">
        <v>240</v>
      </c>
      <c r="B18" s="9" t="str">
        <f>+VLOOKUP($A18,INS!$A$2:$F$166,3,FALSE)</f>
        <v>Formaleta (cerchas, parales, tableros, maderas, chapetas, alineadores)</v>
      </c>
      <c r="C18" s="6" t="str">
        <f>+VLOOKUP($A18,INS!$A$2:$F$166,4,FALSE)</f>
        <v>m2</v>
      </c>
      <c r="D18" s="34">
        <v>4</v>
      </c>
      <c r="E18" s="7">
        <f>+VLOOKUP($A18,INS!$A$2:$F$166,6,FALSE)</f>
        <v>6000</v>
      </c>
      <c r="F18" s="7">
        <f t="shared" ref="F18:F19" si="0">+ROUND($E18*$D18,2)</f>
        <v>24000</v>
      </c>
    </row>
    <row r="19" spans="1:8" x14ac:dyDescent="0.25">
      <c r="A19" s="6" t="s">
        <v>254</v>
      </c>
      <c r="B19" s="9" t="str">
        <f>+VLOOKUP($A19,INS!$A$2:$F$166,3,FALSE)</f>
        <v>Vibrador para concreto</v>
      </c>
      <c r="C19" s="6" t="str">
        <f>+VLOOKUP($A19,INS!$A$2:$F$166,4,FALSE)</f>
        <v>HORA</v>
      </c>
      <c r="D19" s="34">
        <v>0.25</v>
      </c>
      <c r="E19" s="7">
        <f>+VLOOKUP($A19,INS!$A$2:$F$166,6,FALSE)</f>
        <v>11000</v>
      </c>
      <c r="F19" s="7">
        <f t="shared" si="0"/>
        <v>2750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+SUM(F17:F19)</f>
        <v>45513.270000000004</v>
      </c>
      <c r="H20" s="33">
        <f>+F20</f>
        <v>45513.270000000004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612921.39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Hoja93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401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1547774.86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926938.8</v>
      </c>
      <c r="F11" s="7">
        <f>+ROUND($E11*$D11/100,2)</f>
        <v>37077.550000000003</v>
      </c>
    </row>
    <row r="12" spans="1:8" x14ac:dyDescent="0.25">
      <c r="A12" s="6" t="s">
        <v>132</v>
      </c>
      <c r="B12" s="9" t="str">
        <f>+VLOOKUP($A12,INS!$A$2:$F$164,3,FALSE)</f>
        <v>Puntilla Corriente de 2 1/2"</v>
      </c>
      <c r="C12" s="6" t="str">
        <f>+VLOOKUP($A12,INS!$A$2:$F$164,4,FALSE)</f>
        <v>lb</v>
      </c>
      <c r="D12" s="34">
        <v>0.15</v>
      </c>
      <c r="E12" s="7">
        <f>+VLOOKUP($A12,INS!$A$2:$F$164,6,FALSE)</f>
        <v>2600</v>
      </c>
      <c r="F12" s="7">
        <f t="shared" ref="F12:F14" si="0">+ROUND($E12*$D12,2)</f>
        <v>390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6</v>
      </c>
      <c r="E13" s="7">
        <f>+VLOOKUP($A13,INS!$A$2:$F$164,6,FALSE)</f>
        <v>4740.6499999999996</v>
      </c>
      <c r="F13" s="7">
        <f t="shared" si="0"/>
        <v>28443.9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34">
        <v>3.3</v>
      </c>
      <c r="E14" s="7">
        <f>+VLOOKUP($A14,INS!$A$2:$F$164,6,FALSE)</f>
        <v>272153</v>
      </c>
      <c r="F14" s="7">
        <f t="shared" si="0"/>
        <v>898104.9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964016.35000000009</v>
      </c>
      <c r="H15" s="33">
        <f>+F15</f>
        <v>964016.35000000009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208</v>
      </c>
      <c r="B17" s="14" t="str">
        <f>+VLOOKUP($A17,INS!$A$2:$F$166,3,FALSE)</f>
        <v>Cuadrilla 1:4 (1Of+4 Ay)</v>
      </c>
      <c r="C17" s="15" t="str">
        <f>+VLOOKUP($A17,INS!$A$2:$F$166,4,FALSE)</f>
        <v>JOR</v>
      </c>
      <c r="D17" s="37">
        <v>1.1764699999999999</v>
      </c>
      <c r="E17" s="16">
        <f>+VLOOKUP($A17,INS!$A$2:$F$166,6,FALSE)</f>
        <v>442255</v>
      </c>
      <c r="F17" s="16">
        <f>+ROUND($E17*$D17,2)</f>
        <v>520299.74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520299.74</v>
      </c>
      <c r="H18" s="33">
        <f>+F18</f>
        <v>520299.74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520299.74</v>
      </c>
      <c r="F20" s="7">
        <f>+ROUND($E20*$D20/100,2)</f>
        <v>52029.97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34">
        <v>0.14285999999999999</v>
      </c>
      <c r="E21" s="7">
        <f>+VLOOKUP($A21,INS!$A$2:$F$166,6,FALSE)</f>
        <v>80000</v>
      </c>
      <c r="F21" s="7">
        <f t="shared" ref="F21" si="1">+ROUND($E21*$D21,2)</f>
        <v>11428.8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63458.770000000004</v>
      </c>
      <c r="H22" s="33">
        <f>+F22</f>
        <v>63458.770000000004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1547774.86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Hoja94"/>
  <dimension ref="A1:H28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402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+F24</f>
        <v>2187443.27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174</v>
      </c>
      <c r="B11" s="14" t="str">
        <f>+VLOOKUP($A11,INS!$A$2:$F$166,3,FALSE)</f>
        <v>Desperdicio materiales</v>
      </c>
      <c r="C11" s="15" t="str">
        <f>+VLOOKUP($A11,INS!$A$2:$F$166,4,FALSE)</f>
        <v>(%)MAT</v>
      </c>
      <c r="D11" s="37">
        <v>4</v>
      </c>
      <c r="E11" s="16">
        <f>+F12+F13+F14</f>
        <v>1542004.5799999998</v>
      </c>
      <c r="F11" s="7">
        <f>+ROUND($E11*$D11/100,2)</f>
        <v>61680.18</v>
      </c>
    </row>
    <row r="12" spans="1:8" x14ac:dyDescent="0.25">
      <c r="A12" s="6" t="s">
        <v>132</v>
      </c>
      <c r="B12" s="9" t="str">
        <f>+VLOOKUP($A12,INS!$A$2:$F$164,3,FALSE)</f>
        <v>Puntilla Corriente de 2 1/2"</v>
      </c>
      <c r="C12" s="6" t="str">
        <f>+VLOOKUP($A12,INS!$A$2:$F$164,4,FALSE)</f>
        <v>lb</v>
      </c>
      <c r="D12" s="34">
        <v>0.15</v>
      </c>
      <c r="E12" s="7">
        <f>+VLOOKUP($A12,INS!$A$2:$F$164,6,FALSE)</f>
        <v>2600</v>
      </c>
      <c r="F12" s="7">
        <f t="shared" ref="F12:F14" si="0">+ROUND($E12*$D12,2)</f>
        <v>390</v>
      </c>
    </row>
    <row r="13" spans="1:8" x14ac:dyDescent="0.25">
      <c r="A13" s="6" t="s">
        <v>7</v>
      </c>
      <c r="B13" s="9" t="str">
        <f>+VLOOKUP($A13,INS!$A$2:$F$164,3,FALSE)</f>
        <v>Suministro de Acero de 60000 psi y figurado</v>
      </c>
      <c r="C13" s="6" t="str">
        <f>+VLOOKUP($A13,INS!$A$2:$F$164,4,FALSE)</f>
        <v>Kg</v>
      </c>
      <c r="D13" s="34">
        <v>6</v>
      </c>
      <c r="E13" s="7">
        <f>+VLOOKUP($A13,INS!$A$2:$F$164,6,FALSE)</f>
        <v>4740.6499999999996</v>
      </c>
      <c r="F13" s="7">
        <f t="shared" si="0"/>
        <v>28443.9</v>
      </c>
    </row>
    <row r="14" spans="1:8" x14ac:dyDescent="0.25">
      <c r="A14" s="6" t="s">
        <v>108</v>
      </c>
      <c r="B14" s="9" t="str">
        <f>+VLOOKUP($A14,INS!$A$2:$F$164,3,FALSE)</f>
        <v xml:space="preserve">Manto de hormigon </v>
      </c>
      <c r="C14" s="6" t="str">
        <f>+VLOOKUP($A14,INS!$A$2:$F$164,4,FALSE)</f>
        <v>m2</v>
      </c>
      <c r="D14" s="34">
        <v>5.56</v>
      </c>
      <c r="E14" s="7">
        <f>+VLOOKUP($A14,INS!$A$2:$F$164,6,FALSE)</f>
        <v>272153</v>
      </c>
      <c r="F14" s="7">
        <f t="shared" si="0"/>
        <v>1513170.68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1603684.76</v>
      </c>
      <c r="H15" s="33">
        <f>+F15</f>
        <v>1603684.76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208</v>
      </c>
      <c r="B17" s="14" t="str">
        <f>+VLOOKUP($A17,INS!$A$2:$F$166,3,FALSE)</f>
        <v>Cuadrilla 1:4 (1Of+4 Ay)</v>
      </c>
      <c r="C17" s="15" t="str">
        <f>+VLOOKUP($A17,INS!$A$2:$F$166,4,FALSE)</f>
        <v>JOR</v>
      </c>
      <c r="D17" s="37">
        <v>1.1764699999999999</v>
      </c>
      <c r="E17" s="16">
        <f>+VLOOKUP($A17,INS!$A$2:$F$166,6,FALSE)</f>
        <v>442255</v>
      </c>
      <c r="F17" s="16">
        <f>+ROUND($E17*$D17,2)</f>
        <v>520299.74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520299.74</v>
      </c>
      <c r="H18" s="33">
        <f>+F18</f>
        <v>520299.74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520299.74</v>
      </c>
      <c r="F20" s="7">
        <f>+ROUND($E20*$D20/100,2)</f>
        <v>52029.97</v>
      </c>
    </row>
    <row r="21" spans="1:8" x14ac:dyDescent="0.25">
      <c r="A21" s="6" t="s">
        <v>217</v>
      </c>
      <c r="B21" s="9" t="str">
        <f>+VLOOKUP($A21,INS!$A$2:$F$166,3,FALSE)</f>
        <v>Equipo de sellado manta de hormigon</v>
      </c>
      <c r="C21" s="6" t="str">
        <f>+VLOOKUP($A21,INS!$A$2:$F$166,4,FALSE)</f>
        <v>DIA</v>
      </c>
      <c r="D21" s="34">
        <v>0.14285999999999999</v>
      </c>
      <c r="E21" s="7">
        <f>+VLOOKUP($A21,INS!$A$2:$F$166,6,FALSE)</f>
        <v>80000</v>
      </c>
      <c r="F21" s="7">
        <f t="shared" ref="F21" si="1">+ROUND($E21*$D21,2)</f>
        <v>11428.8</v>
      </c>
    </row>
    <row r="22" spans="1:8" s="5" customFormat="1" x14ac:dyDescent="0.25">
      <c r="A22" s="40"/>
      <c r="B22" s="54"/>
      <c r="C22" s="41"/>
      <c r="D22" s="45"/>
      <c r="E22" s="35" t="s">
        <v>305</v>
      </c>
      <c r="F22" s="25">
        <f>+SUM(F20:F21)</f>
        <v>63458.770000000004</v>
      </c>
      <c r="H22" s="33">
        <f>+F22</f>
        <v>63458.770000000004</v>
      </c>
    </row>
    <row r="23" spans="1:8" ht="9" customHeight="1" x14ac:dyDescent="0.25">
      <c r="A23" s="28"/>
      <c r="B23" s="51"/>
      <c r="C23" s="30"/>
      <c r="D23" s="65"/>
      <c r="E23" s="66"/>
      <c r="F23" s="42"/>
    </row>
    <row r="24" spans="1:8" s="5" customFormat="1" ht="26.25" customHeight="1" x14ac:dyDescent="0.25">
      <c r="A24" s="403" t="e">
        <f>+CONCATENATE("COSTO DIRECTRO ITEM ",F5," ",B5)</f>
        <v>#N/A</v>
      </c>
      <c r="B24" s="403"/>
      <c r="C24" s="403"/>
      <c r="D24" s="403"/>
      <c r="E24" s="403"/>
      <c r="F24" s="62">
        <f>+SUM(H11:H22)</f>
        <v>2187443.27</v>
      </c>
    </row>
    <row r="26" spans="1:8" x14ac:dyDescent="0.25">
      <c r="F26" s="2"/>
    </row>
    <row r="28" spans="1:8" x14ac:dyDescent="0.25">
      <c r="F28" s="32"/>
    </row>
  </sheetData>
  <mergeCells count="8">
    <mergeCell ref="B7:D7"/>
    <mergeCell ref="A24:E24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Hoja95"/>
  <dimension ref="A1:H26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ht="27.75" customHeight="1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403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709726.88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45</v>
      </c>
      <c r="B11" s="14" t="str">
        <f>+VLOOKUP($A11,INS!$A$2:$F$166,3,FALSE)</f>
        <v>Concreto 3000 psi 200kg/cm2</v>
      </c>
      <c r="C11" s="15" t="str">
        <f>+VLOOKUP($A11,INS!$A$2:$F$166,4,FALSE)</f>
        <v>m3</v>
      </c>
      <c r="D11" s="37">
        <v>1.28</v>
      </c>
      <c r="E11" s="16">
        <f>+VLOOKUP($A11,INS!$A$2:$F$166,6,FALSE)</f>
        <v>372328.83</v>
      </c>
      <c r="F11" s="16">
        <f>+ROUND($E11*$D11,2)</f>
        <v>476580.9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476580.9</v>
      </c>
      <c r="H12" s="33">
        <f>+F12</f>
        <v>476580.9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+VLOOKUP($A14,INS!$A$2:$F$166,3,FALSE)</f>
        <v>Cuadrilla 1:2 (1Of+2 Ay)</v>
      </c>
      <c r="C14" s="15" t="str">
        <f>+VLOOKUP($A14,INS!$A$2:$F$166,4,FALSE)</f>
        <v>JOR</v>
      </c>
      <c r="D14" s="37">
        <v>0.66669999999999996</v>
      </c>
      <c r="E14" s="16">
        <f>+VLOOKUP($A14,INS!$A$2:$F$166,6,FALSE)</f>
        <v>281435</v>
      </c>
      <c r="F14" s="16">
        <f>+ROUND($E14*$D14,2)</f>
        <v>187632.71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187632.71</v>
      </c>
      <c r="H15" s="33">
        <f>+F15</f>
        <v>187632.71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187632.71</v>
      </c>
      <c r="F17" s="7">
        <f>+ROUND($E17*$D17/100,2)</f>
        <v>18763.27</v>
      </c>
    </row>
    <row r="18" spans="1:8" ht="25.5" x14ac:dyDescent="0.25">
      <c r="A18" s="6" t="s">
        <v>240</v>
      </c>
      <c r="B18" s="9" t="str">
        <f>+VLOOKUP($A18,INS!$A$2:$F$166,3,FALSE)</f>
        <v>Formaleta (cerchas, parales, tableros, maderas, chapetas, alineadores)</v>
      </c>
      <c r="C18" s="6" t="str">
        <f>+VLOOKUP($A18,INS!$A$2:$F$166,4,FALSE)</f>
        <v>m2</v>
      </c>
      <c r="D18" s="34">
        <v>4</v>
      </c>
      <c r="E18" s="7">
        <f>+VLOOKUP($A18,INS!$A$2:$F$166,6,FALSE)</f>
        <v>6000</v>
      </c>
      <c r="F18" s="7">
        <f t="shared" ref="F18:F19" si="0">+ROUND($E18*$D18,2)</f>
        <v>24000</v>
      </c>
    </row>
    <row r="19" spans="1:8" x14ac:dyDescent="0.25">
      <c r="A19" s="6" t="s">
        <v>254</v>
      </c>
      <c r="B19" s="9" t="str">
        <f>+VLOOKUP($A19,INS!$A$2:$F$166,3,FALSE)</f>
        <v>Vibrador para concreto</v>
      </c>
      <c r="C19" s="6" t="str">
        <f>+VLOOKUP($A19,INS!$A$2:$F$166,4,FALSE)</f>
        <v>HORA</v>
      </c>
      <c r="D19" s="34">
        <v>0.25</v>
      </c>
      <c r="E19" s="7">
        <f>+VLOOKUP($A19,INS!$A$2:$F$166,6,FALSE)</f>
        <v>11000</v>
      </c>
      <c r="F19" s="7">
        <f t="shared" si="0"/>
        <v>2750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+SUM(F17:F19)</f>
        <v>45513.270000000004</v>
      </c>
      <c r="H20" s="33">
        <f>+F20</f>
        <v>45513.270000000004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709726.88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Hoja96"/>
  <dimension ref="A1:H26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404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650154.27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45</v>
      </c>
      <c r="B11" s="14" t="str">
        <f>+VLOOKUP($A11,INS!$A$2:$F$166,3,FALSE)</f>
        <v>Concreto 3000 psi 200kg/cm2</v>
      </c>
      <c r="C11" s="15" t="str">
        <f>+VLOOKUP($A11,INS!$A$2:$F$166,4,FALSE)</f>
        <v>m3</v>
      </c>
      <c r="D11" s="37">
        <v>1.1200000000000001</v>
      </c>
      <c r="E11" s="16">
        <f>+VLOOKUP($A11,INS!$A$2:$F$166,6,FALSE)</f>
        <v>372328.83</v>
      </c>
      <c r="F11" s="16">
        <f>+ROUND($E11*$D11,2)</f>
        <v>417008.29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417008.29</v>
      </c>
      <c r="H12" s="33">
        <f>+F12</f>
        <v>417008.29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+VLOOKUP($A14,INS!$A$2:$F$166,3,FALSE)</f>
        <v>Cuadrilla 1:2 (1Of+2 Ay)</v>
      </c>
      <c r="C14" s="15" t="str">
        <f>+VLOOKUP($A14,INS!$A$2:$F$166,4,FALSE)</f>
        <v>JOR</v>
      </c>
      <c r="D14" s="37">
        <v>0.66669999999999996</v>
      </c>
      <c r="E14" s="16">
        <f>+VLOOKUP($A14,INS!$A$2:$F$166,6,FALSE)</f>
        <v>281435</v>
      </c>
      <c r="F14" s="16">
        <f>+ROUND($E14*$D14,2)</f>
        <v>187632.71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187632.71</v>
      </c>
      <c r="H15" s="33">
        <f>+F15</f>
        <v>187632.71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187632.71</v>
      </c>
      <c r="F17" s="7">
        <f>+ROUND($E17*$D17/100,2)</f>
        <v>18763.27</v>
      </c>
    </row>
    <row r="18" spans="1:8" ht="25.5" x14ac:dyDescent="0.25">
      <c r="A18" s="6" t="s">
        <v>240</v>
      </c>
      <c r="B18" s="9" t="str">
        <f>+VLOOKUP($A18,INS!$A$2:$F$166,3,FALSE)</f>
        <v>Formaleta (cerchas, parales, tableros, maderas, chapetas, alineadores)</v>
      </c>
      <c r="C18" s="6" t="str">
        <f>+VLOOKUP($A18,INS!$A$2:$F$166,4,FALSE)</f>
        <v>m2</v>
      </c>
      <c r="D18" s="34">
        <v>4</v>
      </c>
      <c r="E18" s="7">
        <f>+VLOOKUP($A18,INS!$A$2:$F$166,6,FALSE)</f>
        <v>6000</v>
      </c>
      <c r="F18" s="7">
        <f t="shared" ref="F18:F19" si="0">+ROUND($E18*$D18,2)</f>
        <v>24000</v>
      </c>
    </row>
    <row r="19" spans="1:8" x14ac:dyDescent="0.25">
      <c r="A19" s="6" t="s">
        <v>254</v>
      </c>
      <c r="B19" s="9" t="str">
        <f>+VLOOKUP($A19,INS!$A$2:$F$166,3,FALSE)</f>
        <v>Vibrador para concreto</v>
      </c>
      <c r="C19" s="6" t="str">
        <f>+VLOOKUP($A19,INS!$A$2:$F$166,4,FALSE)</f>
        <v>HORA</v>
      </c>
      <c r="D19" s="34">
        <v>0.25</v>
      </c>
      <c r="E19" s="7">
        <f>+VLOOKUP($A19,INS!$A$2:$F$166,6,FALSE)</f>
        <v>11000</v>
      </c>
      <c r="F19" s="7">
        <f t="shared" si="0"/>
        <v>2750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+SUM(F17:F19)</f>
        <v>45513.270000000004</v>
      </c>
      <c r="H20" s="33">
        <f>+F20</f>
        <v>45513.270000000004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650154.27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Hoja97"/>
  <dimension ref="A1:H26"/>
  <sheetViews>
    <sheetView view="pageBreakPreview" zoomScaleNormal="100" zoomScaleSheetLayoutView="100" workbookViewId="0">
      <selection activeCell="B15" sqref="B15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405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+F22</f>
        <v>618135.98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47</v>
      </c>
      <c r="B11" s="14" t="str">
        <f>+VLOOKUP($A11,INS!$A$2:$F$166,3,FALSE)</f>
        <v>Concreto de 4000 psi de planta</v>
      </c>
      <c r="C11" s="15" t="str">
        <f>+VLOOKUP($A11,INS!$A$2:$F$166,4,FALSE)</f>
        <v>m3</v>
      </c>
      <c r="D11" s="37">
        <v>0.61499999999999999</v>
      </c>
      <c r="E11" s="16">
        <f>+VLOOKUP($A11,INS!$A$2:$F$166,6,FALSE)</f>
        <v>626000</v>
      </c>
      <c r="F11" s="16">
        <f>+ROUND($E11*$D11,2)</f>
        <v>384990</v>
      </c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384990</v>
      </c>
      <c r="H12" s="33">
        <f>+F12</f>
        <v>384990</v>
      </c>
    </row>
    <row r="13" spans="1:8" s="5" customFormat="1" x14ac:dyDescent="0.25">
      <c r="A13" s="50" t="s">
        <v>189</v>
      </c>
      <c r="B13" s="52"/>
      <c r="C13" s="18"/>
      <c r="D13" s="18"/>
      <c r="E13" s="18"/>
      <c r="F13" s="24"/>
    </row>
    <row r="14" spans="1:8" x14ac:dyDescent="0.25">
      <c r="A14" s="15" t="s">
        <v>204</v>
      </c>
      <c r="B14" s="14" t="str">
        <f>+VLOOKUP($A14,INS!$A$2:$F$166,3,FALSE)</f>
        <v>Cuadrilla 1:2 (1Of+2 Ay)</v>
      </c>
      <c r="C14" s="15" t="str">
        <f>+VLOOKUP($A14,INS!$A$2:$F$166,4,FALSE)</f>
        <v>JOR</v>
      </c>
      <c r="D14" s="37">
        <v>0.66669999999999996</v>
      </c>
      <c r="E14" s="16">
        <f>+VLOOKUP($A14,INS!$A$2:$F$166,6,FALSE)</f>
        <v>281435</v>
      </c>
      <c r="F14" s="16">
        <f>+ROUND($E14*$D14,2)</f>
        <v>187632.71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+SUM(F14:F14)</f>
        <v>187632.71</v>
      </c>
      <c r="H15" s="33">
        <f>+F15</f>
        <v>187632.71</v>
      </c>
    </row>
    <row r="16" spans="1:8" s="5" customFormat="1" x14ac:dyDescent="0.25">
      <c r="A16" s="50" t="s">
        <v>486</v>
      </c>
      <c r="B16" s="52"/>
      <c r="C16" s="18"/>
      <c r="D16" s="18"/>
      <c r="E16" s="18"/>
      <c r="F16" s="24"/>
    </row>
    <row r="17" spans="1:8" x14ac:dyDescent="0.25">
      <c r="A17" s="6" t="s">
        <v>244</v>
      </c>
      <c r="B17" s="9" t="str">
        <f>+VLOOKUP($A17,INS!$A$2:$F$164,3,FALSE)</f>
        <v>Herramienta menor</v>
      </c>
      <c r="C17" s="6" t="str">
        <f>+VLOOKUP($A17,INS!$A$2:$F$164,4,FALSE)</f>
        <v>(%)MO</v>
      </c>
      <c r="D17" s="34">
        <v>10</v>
      </c>
      <c r="E17" s="7">
        <f>+$F$15</f>
        <v>187632.71</v>
      </c>
      <c r="F17" s="7">
        <f>+ROUND($E17*$D17/100,2)</f>
        <v>18763.27</v>
      </c>
    </row>
    <row r="18" spans="1:8" ht="25.5" x14ac:dyDescent="0.25">
      <c r="A18" s="6" t="s">
        <v>240</v>
      </c>
      <c r="B18" s="9" t="str">
        <f>+VLOOKUP($A18,INS!$A$2:$F$166,3,FALSE)</f>
        <v>Formaleta (cerchas, parales, tableros, maderas, chapetas, alineadores)</v>
      </c>
      <c r="C18" s="6" t="str">
        <f>+VLOOKUP($A18,INS!$A$2:$F$166,4,FALSE)</f>
        <v>m2</v>
      </c>
      <c r="D18" s="34">
        <v>4</v>
      </c>
      <c r="E18" s="7">
        <f>+VLOOKUP($A18,INS!$A$2:$F$166,6,FALSE)</f>
        <v>6000</v>
      </c>
      <c r="F18" s="7">
        <f t="shared" ref="F18:F19" si="0">+ROUND($E18*$D18,2)</f>
        <v>24000</v>
      </c>
    </row>
    <row r="19" spans="1:8" x14ac:dyDescent="0.25">
      <c r="A19" s="6" t="s">
        <v>254</v>
      </c>
      <c r="B19" s="9" t="str">
        <f>+VLOOKUP($A19,INS!$A$2:$F$166,3,FALSE)</f>
        <v>Vibrador para concreto</v>
      </c>
      <c r="C19" s="6" t="str">
        <f>+VLOOKUP($A19,INS!$A$2:$F$166,4,FALSE)</f>
        <v>HORA</v>
      </c>
      <c r="D19" s="34">
        <v>0.25</v>
      </c>
      <c r="E19" s="7">
        <f>+VLOOKUP($A19,INS!$A$2:$F$166,6,FALSE)</f>
        <v>11000</v>
      </c>
      <c r="F19" s="7">
        <f t="shared" si="0"/>
        <v>2750</v>
      </c>
    </row>
    <row r="20" spans="1:8" s="5" customFormat="1" x14ac:dyDescent="0.25">
      <c r="A20" s="40"/>
      <c r="B20" s="54"/>
      <c r="C20" s="41"/>
      <c r="D20" s="45"/>
      <c r="E20" s="35" t="s">
        <v>305</v>
      </c>
      <c r="F20" s="25">
        <f>+SUM(F17:F19)</f>
        <v>45513.270000000004</v>
      </c>
      <c r="H20" s="33">
        <f>+F20</f>
        <v>45513.270000000004</v>
      </c>
    </row>
    <row r="21" spans="1:8" ht="9" customHeight="1" x14ac:dyDescent="0.25">
      <c r="A21" s="28"/>
      <c r="B21" s="51"/>
      <c r="C21" s="30"/>
      <c r="D21" s="65"/>
      <c r="E21" s="66"/>
      <c r="F21" s="42"/>
    </row>
    <row r="22" spans="1:8" s="5" customFormat="1" ht="26.25" customHeight="1" x14ac:dyDescent="0.25">
      <c r="A22" s="403" t="e">
        <f>+CONCATENATE("COSTO DIRECTRO ITEM ",F5," ",B5)</f>
        <v>#N/A</v>
      </c>
      <c r="B22" s="403"/>
      <c r="C22" s="403"/>
      <c r="D22" s="403"/>
      <c r="E22" s="403"/>
      <c r="F22" s="62">
        <f>+SUM(H11:H20)</f>
        <v>618135.98</v>
      </c>
    </row>
    <row r="24" spans="1:8" x14ac:dyDescent="0.25">
      <c r="F24" s="2"/>
    </row>
    <row r="26" spans="1:8" x14ac:dyDescent="0.25">
      <c r="F26" s="32"/>
    </row>
  </sheetData>
  <mergeCells count="8">
    <mergeCell ref="B7:D7"/>
    <mergeCell ref="A22:E22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Hoja98"/>
  <dimension ref="A1:H30"/>
  <sheetViews>
    <sheetView view="pageBreakPreview" zoomScaleNormal="100" zoomScaleSheetLayoutView="100" workbookViewId="0">
      <selection activeCell="H9" sqref="H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12.5703125" style="1" bestFit="1" customWidth="1"/>
    <col min="5" max="6" width="16.42578125" style="1" customWidth="1"/>
    <col min="7" max="7" width="11.42578125" style="1"/>
    <col min="8" max="8" width="21.1406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67" t="s">
        <v>367</v>
      </c>
    </row>
    <row r="5" spans="1: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407</v>
      </c>
    </row>
    <row r="6" spans="1: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+F26</f>
        <v>14403277.5</v>
      </c>
    </row>
    <row r="7" spans="1: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112</v>
      </c>
      <c r="B11" s="14" t="str">
        <f>+VLOOKUP($A11,INS!$A$2:$F$166,3,FALSE)</f>
        <v>Material vegetal</v>
      </c>
      <c r="C11" s="15" t="str">
        <f>+VLOOKUP($A11,INS!$A$2:$F$166,4,FALSE)</f>
        <v>Und</v>
      </c>
      <c r="D11" s="37">
        <v>2500</v>
      </c>
      <c r="E11" s="16">
        <f>+VLOOKUP($A11,INS!$A$2:$F$166,6,FALSE)</f>
        <v>2400</v>
      </c>
      <c r="F11" s="16">
        <f>+ROUND($E11*$D11,2)</f>
        <v>6000000</v>
      </c>
    </row>
    <row r="12" spans="1:6" x14ac:dyDescent="0.25">
      <c r="A12" s="6" t="s">
        <v>166</v>
      </c>
      <c r="B12" s="9" t="str">
        <f>+VLOOKUP($A12,INS!$A$2:$F$164,3,FALSE)</f>
        <v>Valla</v>
      </c>
      <c r="C12" s="6" t="str">
        <f>+VLOOKUP($A12,INS!$A$2:$F$164,4,FALSE)</f>
        <v>Und</v>
      </c>
      <c r="D12" s="34">
        <v>2</v>
      </c>
      <c r="E12" s="7">
        <f>+VLOOKUP($A12,INS!$A$2:$F$164,6,FALSE)</f>
        <v>2000000</v>
      </c>
      <c r="F12" s="7">
        <f t="shared" ref="F12:F17" si="0">+ROUND($E12*$D12,2)</f>
        <v>4000000</v>
      </c>
    </row>
    <row r="13" spans="1:6" x14ac:dyDescent="0.25">
      <c r="A13" s="6" t="s">
        <v>123</v>
      </c>
      <c r="B13" s="9" t="str">
        <f>+VLOOKUP($A13,INS!$A$2:$F$164,3,FALSE)</f>
        <v>Microelementos</v>
      </c>
      <c r="C13" s="6" t="str">
        <f>+VLOOKUP($A13,INS!$A$2:$F$164,4,FALSE)</f>
        <v>Kg</v>
      </c>
      <c r="D13" s="34">
        <v>28</v>
      </c>
      <c r="E13" s="7">
        <f>+VLOOKUP($A13,INS!$A$2:$F$164,6,FALSE)</f>
        <v>2500</v>
      </c>
      <c r="F13" s="7">
        <f t="shared" si="0"/>
        <v>70000</v>
      </c>
    </row>
    <row r="14" spans="1:6" x14ac:dyDescent="0.25">
      <c r="A14" s="6" t="s">
        <v>110</v>
      </c>
      <c r="B14" s="9" t="str">
        <f>+VLOOKUP($A14,INS!$A$2:$F$164,3,FALSE)</f>
        <v>Material Vegetal de reposicion</v>
      </c>
      <c r="C14" s="6" t="str">
        <f>+VLOOKUP($A14,INS!$A$2:$F$164,4,FALSE)</f>
        <v>Und</v>
      </c>
      <c r="D14" s="34">
        <v>93.9</v>
      </c>
      <c r="E14" s="7">
        <f>+VLOOKUP($A14,INS!$A$2:$F$164,6,FALSE)</f>
        <v>2400</v>
      </c>
      <c r="F14" s="7">
        <f t="shared" si="0"/>
        <v>225360</v>
      </c>
    </row>
    <row r="15" spans="1:6" x14ac:dyDescent="0.25">
      <c r="A15" s="6" t="s">
        <v>64</v>
      </c>
      <c r="B15" s="9" t="str">
        <f>+VLOOKUP($A15,INS!$A$2:$F$164,3,FALSE)</f>
        <v>Fertilizantes</v>
      </c>
      <c r="C15" s="6" t="str">
        <f>+VLOOKUP($A15,INS!$A$2:$F$164,4,FALSE)</f>
        <v>Kg</v>
      </c>
      <c r="D15" s="34">
        <v>66</v>
      </c>
      <c r="E15" s="7">
        <f>+VLOOKUP($A15,INS!$A$2:$F$164,6,FALSE)</f>
        <v>2300</v>
      </c>
      <c r="F15" s="7">
        <f t="shared" si="0"/>
        <v>151800</v>
      </c>
    </row>
    <row r="16" spans="1:6" x14ac:dyDescent="0.25">
      <c r="A16" s="6" t="s">
        <v>89</v>
      </c>
      <c r="B16" s="9" t="str">
        <f>+VLOOKUP($A16,INS!$A$2:$F$164,3,FALSE)</f>
        <v>Hidroretenedor</v>
      </c>
      <c r="C16" s="6" t="str">
        <f>+VLOOKUP($A16,INS!$A$2:$F$164,4,FALSE)</f>
        <v>Kg</v>
      </c>
      <c r="D16" s="34">
        <v>3</v>
      </c>
      <c r="E16" s="7">
        <f>+VLOOKUP($A16,INS!$A$2:$F$164,6,FALSE)</f>
        <v>50000</v>
      </c>
      <c r="F16" s="7">
        <f t="shared" si="0"/>
        <v>150000</v>
      </c>
    </row>
    <row r="17" spans="1:8" x14ac:dyDescent="0.25">
      <c r="A17" s="6" t="s">
        <v>49</v>
      </c>
      <c r="B17" s="9" t="str">
        <f>+VLOOKUP($A17,INS!$A$2:$F$164,3,FALSE)</f>
        <v>Correctivos</v>
      </c>
      <c r="C17" s="6" t="str">
        <f>+VLOOKUP($A17,INS!$A$2:$F$164,4,FALSE)</f>
        <v>Kg</v>
      </c>
      <c r="D17" s="34">
        <v>93.9</v>
      </c>
      <c r="E17" s="7">
        <f>+VLOOKUP($A17,INS!$A$2:$F$164,6,FALSE)</f>
        <v>500</v>
      </c>
      <c r="F17" s="7">
        <f t="shared" si="0"/>
        <v>46950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+SUM(F11:F17)</f>
        <v>10644110</v>
      </c>
      <c r="H18" s="33">
        <f>+F18</f>
        <v>10644110</v>
      </c>
    </row>
    <row r="19" spans="1:8" s="5" customFormat="1" x14ac:dyDescent="0.25">
      <c r="A19" s="50" t="s">
        <v>189</v>
      </c>
      <c r="B19" s="52"/>
      <c r="C19" s="18"/>
      <c r="D19" s="18"/>
      <c r="E19" s="18"/>
      <c r="F19" s="24"/>
    </row>
    <row r="20" spans="1:8" x14ac:dyDescent="0.25">
      <c r="A20" s="15" t="s">
        <v>210</v>
      </c>
      <c r="B20" s="14" t="str">
        <f>+VLOOKUP($A20,INS!$A$2:$F$166,3,FALSE)</f>
        <v>Cuadrilla 1:7 (1Of+7 Ay)</v>
      </c>
      <c r="C20" s="15" t="str">
        <f>+VLOOKUP($A20,INS!$A$2:$F$166,4,FALSE)</f>
        <v>JOR</v>
      </c>
      <c r="D20" s="37">
        <v>5</v>
      </c>
      <c r="E20" s="16">
        <f>+VLOOKUP($A20,INS!$A$2:$F$166,6,FALSE)</f>
        <v>683485</v>
      </c>
      <c r="F20" s="16">
        <f>+ROUND($E20*$D20,2)</f>
        <v>3417425</v>
      </c>
    </row>
    <row r="21" spans="1:8" s="5" customFormat="1" x14ac:dyDescent="0.25">
      <c r="A21" s="46"/>
      <c r="B21" s="53"/>
      <c r="C21" s="47"/>
      <c r="D21" s="48"/>
      <c r="E21" s="36" t="s">
        <v>305</v>
      </c>
      <c r="F21" s="25">
        <f>+SUM(F20:F20)</f>
        <v>3417425</v>
      </c>
      <c r="H21" s="33">
        <f>+F21</f>
        <v>3417425</v>
      </c>
    </row>
    <row r="22" spans="1:8" s="5" customFormat="1" x14ac:dyDescent="0.25">
      <c r="A22" s="50" t="s">
        <v>486</v>
      </c>
      <c r="B22" s="52"/>
      <c r="C22" s="18"/>
      <c r="D22" s="18"/>
      <c r="E22" s="18"/>
      <c r="F22" s="24"/>
    </row>
    <row r="23" spans="1:8" x14ac:dyDescent="0.25">
      <c r="A23" s="6" t="s">
        <v>244</v>
      </c>
      <c r="B23" s="9" t="str">
        <f>+VLOOKUP($A23,INS!$A$2:$F$164,3,FALSE)</f>
        <v>Herramienta menor</v>
      </c>
      <c r="C23" s="6" t="str">
        <f>+VLOOKUP($A23,INS!$A$2:$F$164,4,FALSE)</f>
        <v>(%)MO</v>
      </c>
      <c r="D23" s="34">
        <v>10</v>
      </c>
      <c r="E23" s="7">
        <f>+$F$21</f>
        <v>3417425</v>
      </c>
      <c r="F23" s="7">
        <f>+ROUND($E23*$D23/100,2)</f>
        <v>341742.5</v>
      </c>
    </row>
    <row r="24" spans="1:8" s="5" customFormat="1" x14ac:dyDescent="0.25">
      <c r="A24" s="40"/>
      <c r="B24" s="54"/>
      <c r="C24" s="41"/>
      <c r="D24" s="45"/>
      <c r="E24" s="35" t="s">
        <v>305</v>
      </c>
      <c r="F24" s="25">
        <f>+SUM(F23:F23)</f>
        <v>341742.5</v>
      </c>
      <c r="H24" s="33">
        <f>+F24</f>
        <v>341742.5</v>
      </c>
    </row>
    <row r="25" spans="1:8" ht="9" customHeight="1" x14ac:dyDescent="0.25">
      <c r="A25" s="28"/>
      <c r="B25" s="51"/>
      <c r="C25" s="30"/>
      <c r="D25" s="65"/>
      <c r="E25" s="66"/>
      <c r="F25" s="42"/>
    </row>
    <row r="26" spans="1:8" s="5" customFormat="1" ht="26.25" customHeight="1" x14ac:dyDescent="0.25">
      <c r="A26" s="403" t="e">
        <f>+CONCATENATE("COSTO DIRECTRO ITEM ",F5," ",B5)</f>
        <v>#N/A</v>
      </c>
      <c r="B26" s="403"/>
      <c r="C26" s="403"/>
      <c r="D26" s="403"/>
      <c r="E26" s="403"/>
      <c r="F26" s="62">
        <f>+SUM(H11:H24)</f>
        <v>14403277.5</v>
      </c>
    </row>
    <row r="28" spans="1:8" x14ac:dyDescent="0.25">
      <c r="F28" s="2"/>
    </row>
    <row r="30" spans="1:8" x14ac:dyDescent="0.25">
      <c r="F30" s="32"/>
    </row>
  </sheetData>
  <mergeCells count="8">
    <mergeCell ref="B7:D7"/>
    <mergeCell ref="A26:E26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Hoja99"/>
  <dimension ref="A1:H27"/>
  <sheetViews>
    <sheetView view="pageBreakPreview" zoomScaleNormal="100" zoomScaleSheetLayoutView="100" workbookViewId="0">
      <selection activeCell="H9" sqref="H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11.5703125" style="1" bestFit="1" customWidth="1"/>
    <col min="5" max="6" width="16.42578125" style="1" customWidth="1"/>
    <col min="7" max="7" width="11.42578125" style="1"/>
    <col min="8" max="8" width="20.85546875" style="1" bestFit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 t="s">
        <v>367</v>
      </c>
    </row>
    <row r="5" spans="1:8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408</v>
      </c>
    </row>
    <row r="6" spans="1:8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+F23</f>
        <v>57314534.5</v>
      </c>
    </row>
    <row r="7" spans="1:8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8</v>
      </c>
      <c r="B10" s="52"/>
      <c r="C10" s="18"/>
      <c r="D10" s="18"/>
      <c r="E10" s="18"/>
      <c r="F10" s="24"/>
    </row>
    <row r="11" spans="1:8" x14ac:dyDescent="0.25">
      <c r="A11" s="15" t="s">
        <v>125</v>
      </c>
      <c r="B11" s="14" t="str">
        <f>+VLOOKUP($A11,INS!$A$2:$F$166,3,FALSE)</f>
        <v>Pie de amigo</v>
      </c>
      <c r="C11" s="15" t="str">
        <f>+VLOOKUP($A11,INS!$A$2:$F$166,4,FALSE)</f>
        <v>Und</v>
      </c>
      <c r="D11" s="37">
        <v>33.299999999999997</v>
      </c>
      <c r="E11" s="16">
        <f>+VLOOKUP($A11,INS!$A$2:$F$166,6,FALSE)</f>
        <v>37000</v>
      </c>
      <c r="F11" s="16">
        <f>+ROUND($E11*$D11,2)</f>
        <v>1232100</v>
      </c>
    </row>
    <row r="12" spans="1:8" x14ac:dyDescent="0.25">
      <c r="A12" s="6" t="s">
        <v>18</v>
      </c>
      <c r="B12" s="9" t="str">
        <f>+VLOOKUP($A12,INS!$A$2:$F$164,3,FALSE)</f>
        <v>Alambre de pua</v>
      </c>
      <c r="C12" s="6" t="str">
        <f>+VLOOKUP($A12,INS!$A$2:$F$164,4,FALSE)</f>
        <v>ROLLO</v>
      </c>
      <c r="D12" s="34">
        <v>9</v>
      </c>
      <c r="E12" s="7">
        <f>+VLOOKUP($A12,INS!$A$2:$F$164,6,FALSE)</f>
        <v>190000</v>
      </c>
      <c r="F12" s="7">
        <f t="shared" ref="F12:F14" si="0">+ROUND($E12*$D12,2)</f>
        <v>1710000</v>
      </c>
    </row>
    <row r="13" spans="1:8" x14ac:dyDescent="0.25">
      <c r="A13" s="6" t="s">
        <v>129</v>
      </c>
      <c r="B13" s="9" t="str">
        <f>+VLOOKUP($A13,INS!$A$2:$F$164,3,FALSE)</f>
        <v>Rejilla para sumidero (0.5x0.22m)</v>
      </c>
      <c r="C13" s="6" t="str">
        <f>+VLOOKUP($A13,INS!$A$2:$F$164,4,FALSE)</f>
        <v>Und</v>
      </c>
      <c r="D13" s="34">
        <v>400</v>
      </c>
      <c r="E13" s="7">
        <f>+VLOOKUP($A13,INS!$A$2:$F$164,6,FALSE)</f>
        <v>122594</v>
      </c>
      <c r="F13" s="7">
        <f t="shared" si="0"/>
        <v>49037600</v>
      </c>
    </row>
    <row r="14" spans="1:8" x14ac:dyDescent="0.25">
      <c r="A14" s="6" t="s">
        <v>87</v>
      </c>
      <c r="B14" s="9" t="str">
        <f>+VLOOKUP($A14,INS!$A$2:$F$164,3,FALSE)</f>
        <v>Grapa</v>
      </c>
      <c r="C14" s="6" t="str">
        <f>+VLOOKUP($A14,INS!$A$2:$F$164,4,FALSE)</f>
        <v>Kg</v>
      </c>
      <c r="D14" s="34">
        <v>9</v>
      </c>
      <c r="E14" s="7">
        <f>+VLOOKUP($A14,INS!$A$2:$F$164,6,FALSE)</f>
        <v>8000</v>
      </c>
      <c r="F14" s="7">
        <f t="shared" si="0"/>
        <v>72000</v>
      </c>
    </row>
    <row r="15" spans="1:8" s="5" customFormat="1" x14ac:dyDescent="0.25">
      <c r="A15" s="46"/>
      <c r="B15" s="53"/>
      <c r="C15" s="47"/>
      <c r="D15" s="48"/>
      <c r="E15" s="36" t="s">
        <v>305</v>
      </c>
      <c r="F15" s="25">
        <f>+SUM(F11:F14)</f>
        <v>52051700</v>
      </c>
      <c r="H15" s="33">
        <f>+F15</f>
        <v>52051700</v>
      </c>
    </row>
    <row r="16" spans="1:8" s="5" customFormat="1" x14ac:dyDescent="0.25">
      <c r="A16" s="50" t="s">
        <v>189</v>
      </c>
      <c r="B16" s="52"/>
      <c r="C16" s="18"/>
      <c r="D16" s="18"/>
      <c r="E16" s="18"/>
      <c r="F16" s="24"/>
    </row>
    <row r="17" spans="1:8" x14ac:dyDescent="0.25">
      <c r="A17" s="15" t="s">
        <v>210</v>
      </c>
      <c r="B17" s="14" t="str">
        <f>+VLOOKUP($A17,INS!$A$2:$F$166,3,FALSE)</f>
        <v>Cuadrilla 1:7 (1Of+7 Ay)</v>
      </c>
      <c r="C17" s="15" t="str">
        <f>+VLOOKUP($A17,INS!$A$2:$F$166,4,FALSE)</f>
        <v>JOR</v>
      </c>
      <c r="D17" s="37">
        <v>7</v>
      </c>
      <c r="E17" s="16">
        <f>+VLOOKUP($A17,INS!$A$2:$F$166,6,FALSE)</f>
        <v>683485</v>
      </c>
      <c r="F17" s="16">
        <f>+ROUND($E17*$D17,2)</f>
        <v>4784395</v>
      </c>
    </row>
    <row r="18" spans="1:8" s="5" customFormat="1" x14ac:dyDescent="0.25">
      <c r="A18" s="46"/>
      <c r="B18" s="53"/>
      <c r="C18" s="47"/>
      <c r="D18" s="48"/>
      <c r="E18" s="36" t="s">
        <v>305</v>
      </c>
      <c r="F18" s="25">
        <f>+SUM(F17:F17)</f>
        <v>4784395</v>
      </c>
      <c r="H18" s="33">
        <f>+F18</f>
        <v>4784395</v>
      </c>
    </row>
    <row r="19" spans="1:8" s="5" customFormat="1" x14ac:dyDescent="0.25">
      <c r="A19" s="50" t="s">
        <v>486</v>
      </c>
      <c r="B19" s="52"/>
      <c r="C19" s="18"/>
      <c r="D19" s="18"/>
      <c r="E19" s="18"/>
      <c r="F19" s="24"/>
    </row>
    <row r="20" spans="1:8" x14ac:dyDescent="0.25">
      <c r="A20" s="6" t="s">
        <v>244</v>
      </c>
      <c r="B20" s="9" t="str">
        <f>+VLOOKUP($A20,INS!$A$2:$F$164,3,FALSE)</f>
        <v>Herramienta menor</v>
      </c>
      <c r="C20" s="6" t="str">
        <f>+VLOOKUP($A20,INS!$A$2:$F$164,4,FALSE)</f>
        <v>(%)MO</v>
      </c>
      <c r="D20" s="34">
        <v>10</v>
      </c>
      <c r="E20" s="7">
        <f>+$F$18</f>
        <v>4784395</v>
      </c>
      <c r="F20" s="7">
        <f>+ROUND($E20*$D20/100,2)</f>
        <v>478439.5</v>
      </c>
    </row>
    <row r="21" spans="1:8" s="5" customFormat="1" x14ac:dyDescent="0.25">
      <c r="A21" s="40"/>
      <c r="B21" s="54"/>
      <c r="C21" s="41"/>
      <c r="D21" s="45"/>
      <c r="E21" s="35" t="s">
        <v>305</v>
      </c>
      <c r="F21" s="25">
        <f>+SUM(F20:F20)</f>
        <v>478439.5</v>
      </c>
      <c r="H21" s="33">
        <f>+F21</f>
        <v>478439.5</v>
      </c>
    </row>
    <row r="22" spans="1:8" ht="9" customHeight="1" x14ac:dyDescent="0.25">
      <c r="A22" s="28"/>
      <c r="B22" s="51"/>
      <c r="C22" s="30"/>
      <c r="D22" s="65"/>
      <c r="E22" s="66"/>
      <c r="F22" s="42"/>
    </row>
    <row r="23" spans="1:8" s="5" customFormat="1" ht="26.25" customHeight="1" x14ac:dyDescent="0.25">
      <c r="A23" s="403" t="e">
        <f>+CONCATENATE("COSTO DIRECTRO ITEM ",F5," ",B5)</f>
        <v>#N/A</v>
      </c>
      <c r="B23" s="403"/>
      <c r="C23" s="403"/>
      <c r="D23" s="403"/>
      <c r="E23" s="403"/>
      <c r="F23" s="62">
        <f>+SUM(H11:H21)</f>
        <v>57314534.5</v>
      </c>
    </row>
    <row r="25" spans="1:8" x14ac:dyDescent="0.25">
      <c r="F25" s="2"/>
    </row>
    <row r="27" spans="1:8" x14ac:dyDescent="0.25">
      <c r="F27" s="32"/>
    </row>
  </sheetData>
  <mergeCells count="8">
    <mergeCell ref="B7:D7"/>
    <mergeCell ref="A23:E23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Hoja100"/>
  <dimension ref="A1:H29"/>
  <sheetViews>
    <sheetView view="pageBreakPreview" zoomScaleNormal="100" zoomScaleSheetLayoutView="100" workbookViewId="0">
      <selection sqref="A1:F1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2.5703125" style="1" bestFit="1" customWidth="1"/>
    <col min="9" max="16384" width="11.42578125" style="1"/>
  </cols>
  <sheetData>
    <row r="1" spans="1:6" x14ac:dyDescent="0.25">
      <c r="A1" s="406" t="s">
        <v>475</v>
      </c>
      <c r="B1" s="406"/>
      <c r="C1" s="406"/>
      <c r="D1" s="406"/>
      <c r="E1" s="406"/>
      <c r="F1" s="406"/>
    </row>
    <row r="2" spans="1:6" x14ac:dyDescent="0.25">
      <c r="A2" s="406" t="s">
        <v>476</v>
      </c>
      <c r="B2" s="406"/>
      <c r="C2" s="406"/>
      <c r="D2" s="406"/>
      <c r="E2" s="406"/>
      <c r="F2" s="406"/>
    </row>
    <row r="3" spans="1:6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6" ht="39" customHeight="1" x14ac:dyDescent="0.25">
      <c r="A4" s="405"/>
      <c r="B4" s="404"/>
      <c r="C4" s="404"/>
      <c r="D4" s="404"/>
      <c r="E4" s="404"/>
      <c r="F4" s="67" t="s">
        <v>367</v>
      </c>
    </row>
    <row r="5" spans="1:6" x14ac:dyDescent="0.25">
      <c r="A5" s="57" t="s">
        <v>479</v>
      </c>
      <c r="B5" s="376" t="e">
        <f>+VLOOKUP(F5,PPTO!$A$9:$F$52,2,FALSE)</f>
        <v>#N/A</v>
      </c>
      <c r="C5" s="376"/>
      <c r="D5" s="376"/>
      <c r="E5" s="10" t="s">
        <v>480</v>
      </c>
      <c r="F5" s="63" t="s">
        <v>409</v>
      </c>
    </row>
    <row r="6" spans="1:6" x14ac:dyDescent="0.25">
      <c r="A6" s="57" t="s">
        <v>481</v>
      </c>
      <c r="B6" s="408" t="e">
        <f>+VLOOKUP(F5,PPTO!$A$9:$F$52,3,FALSE)</f>
        <v>#N/A</v>
      </c>
      <c r="C6" s="408"/>
      <c r="D6" s="408"/>
      <c r="E6" s="10" t="s">
        <v>482</v>
      </c>
      <c r="F6" s="58">
        <f>+F25</f>
        <v>11012005</v>
      </c>
    </row>
    <row r="7" spans="1:6" x14ac:dyDescent="0.25">
      <c r="A7" s="59" t="s">
        <v>483</v>
      </c>
      <c r="B7" s="407" t="e">
        <f>+VLOOKUP(F5,PPTO!$A$9:$F$52,4,FALSE)</f>
        <v>#N/A</v>
      </c>
      <c r="C7" s="407"/>
      <c r="D7" s="407"/>
      <c r="E7" s="60" t="s">
        <v>484</v>
      </c>
      <c r="F7" s="61" t="e">
        <f>+ROUND(F6*B7,2)</f>
        <v>#N/A</v>
      </c>
    </row>
    <row r="8" spans="1:6" ht="9" customHeight="1" x14ac:dyDescent="0.25">
      <c r="A8" s="28"/>
      <c r="B8" s="51"/>
      <c r="C8" s="30"/>
      <c r="D8" s="30"/>
      <c r="E8" s="30"/>
      <c r="F8" s="31"/>
    </row>
    <row r="9" spans="1:6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6" s="5" customFormat="1" x14ac:dyDescent="0.25">
      <c r="A10" s="50" t="s">
        <v>8</v>
      </c>
      <c r="B10" s="52"/>
      <c r="C10" s="18"/>
      <c r="D10" s="18"/>
      <c r="E10" s="18"/>
      <c r="F10" s="24"/>
    </row>
    <row r="11" spans="1:6" x14ac:dyDescent="0.25">
      <c r="A11" s="15" t="s">
        <v>112</v>
      </c>
      <c r="B11" s="14" t="str">
        <f>+VLOOKUP($A11,INS!$A$2:$F$166,3,FALSE)</f>
        <v>Material vegetal</v>
      </c>
      <c r="C11" s="15" t="str">
        <f>+VLOOKUP($A11,INS!$A$2:$F$166,4,FALSE)</f>
        <v>Und</v>
      </c>
      <c r="D11" s="37">
        <v>1143</v>
      </c>
      <c r="E11" s="16">
        <f>+VLOOKUP($A11,INS!$A$2:$F$166,6,FALSE)</f>
        <v>2400</v>
      </c>
      <c r="F11" s="16">
        <f>+ROUND($E11*$D11,2)</f>
        <v>2743200</v>
      </c>
    </row>
    <row r="12" spans="1:6" x14ac:dyDescent="0.25">
      <c r="A12" s="6" t="s">
        <v>123</v>
      </c>
      <c r="B12" s="9" t="str">
        <f>+VLOOKUP($A12,INS!$A$2:$F$164,3,FALSE)</f>
        <v>Microelementos</v>
      </c>
      <c r="C12" s="6" t="str">
        <f>+VLOOKUP($A12,INS!$A$2:$F$164,4,FALSE)</f>
        <v>Kg</v>
      </c>
      <c r="D12" s="34">
        <v>34</v>
      </c>
      <c r="E12" s="7">
        <f>+VLOOKUP($A12,INS!$A$2:$F$164,6,FALSE)</f>
        <v>2500</v>
      </c>
      <c r="F12" s="7">
        <f t="shared" ref="F12:F16" si="0">+ROUND($E12*$D12,2)</f>
        <v>85000</v>
      </c>
    </row>
    <row r="13" spans="1:6" x14ac:dyDescent="0.25">
      <c r="A13" s="6" t="s">
        <v>110</v>
      </c>
      <c r="B13" s="9" t="str">
        <f>+VLOOKUP($A13,INS!$A$2:$F$164,3,FALSE)</f>
        <v>Material Vegetal de reposicion</v>
      </c>
      <c r="C13" s="6" t="str">
        <f>+VLOOKUP($A13,INS!$A$2:$F$164,4,FALSE)</f>
        <v>Und</v>
      </c>
      <c r="D13" s="34">
        <v>114.3</v>
      </c>
      <c r="E13" s="7">
        <f>+VLOOKUP($A13,INS!$A$2:$F$164,6,FALSE)</f>
        <v>2400</v>
      </c>
      <c r="F13" s="7">
        <f t="shared" si="0"/>
        <v>274320</v>
      </c>
    </row>
    <row r="14" spans="1:6" x14ac:dyDescent="0.25">
      <c r="A14" s="6" t="s">
        <v>64</v>
      </c>
      <c r="B14" s="9" t="str">
        <f>+VLOOKUP($A14,INS!$A$2:$F$164,3,FALSE)</f>
        <v>Fertilizantes</v>
      </c>
      <c r="C14" s="6" t="str">
        <f>+VLOOKUP($A14,INS!$A$2:$F$164,4,FALSE)</f>
        <v>Kg</v>
      </c>
      <c r="D14" s="34">
        <v>80</v>
      </c>
      <c r="E14" s="7">
        <f>+VLOOKUP($A14,INS!$A$2:$F$164,6,FALSE)</f>
        <v>2300</v>
      </c>
      <c r="F14" s="7">
        <f t="shared" si="0"/>
        <v>184000</v>
      </c>
    </row>
    <row r="15" spans="1:6" x14ac:dyDescent="0.25">
      <c r="A15" s="6" t="s">
        <v>89</v>
      </c>
      <c r="B15" s="9" t="str">
        <f>+VLOOKUP($A15,INS!$A$2:$F$164,3,FALSE)</f>
        <v>Hidroretenedor</v>
      </c>
      <c r="C15" s="6" t="str">
        <f>+VLOOKUP($A15,INS!$A$2:$F$164,4,FALSE)</f>
        <v>Kg</v>
      </c>
      <c r="D15" s="34">
        <v>3</v>
      </c>
      <c r="E15" s="7">
        <f>+VLOOKUP($A15,INS!$A$2:$F$164,6,FALSE)</f>
        <v>50000</v>
      </c>
      <c r="F15" s="7">
        <f t="shared" si="0"/>
        <v>150000</v>
      </c>
    </row>
    <row r="16" spans="1:6" x14ac:dyDescent="0.25">
      <c r="A16" s="6" t="s">
        <v>49</v>
      </c>
      <c r="B16" s="9" t="str">
        <f>+VLOOKUP($A16,INS!$A$2:$F$164,3,FALSE)</f>
        <v>Correctivos</v>
      </c>
      <c r="C16" s="6" t="str">
        <f>+VLOOKUP($A16,INS!$A$2:$F$164,4,FALSE)</f>
        <v>Kg</v>
      </c>
      <c r="D16" s="34">
        <v>114.3</v>
      </c>
      <c r="E16" s="7">
        <f>+VLOOKUP($A16,INS!$A$2:$F$164,6,FALSE)</f>
        <v>500</v>
      </c>
      <c r="F16" s="7">
        <f t="shared" si="0"/>
        <v>57150</v>
      </c>
    </row>
    <row r="17" spans="1:8" s="5" customFormat="1" x14ac:dyDescent="0.25">
      <c r="A17" s="46"/>
      <c r="B17" s="53"/>
      <c r="C17" s="47"/>
      <c r="D17" s="48"/>
      <c r="E17" s="36" t="s">
        <v>305</v>
      </c>
      <c r="F17" s="25">
        <f>+SUM(F11:F16)</f>
        <v>3493670</v>
      </c>
      <c r="H17" s="33">
        <f>+F17</f>
        <v>3493670</v>
      </c>
    </row>
    <row r="18" spans="1:8" s="5" customFormat="1" x14ac:dyDescent="0.25">
      <c r="A18" s="50" t="s">
        <v>189</v>
      </c>
      <c r="B18" s="52"/>
      <c r="C18" s="18"/>
      <c r="D18" s="18"/>
      <c r="E18" s="18"/>
      <c r="F18" s="24"/>
    </row>
    <row r="19" spans="1:8" x14ac:dyDescent="0.25">
      <c r="A19" s="15" t="s">
        <v>210</v>
      </c>
      <c r="B19" s="14" t="str">
        <f>+VLOOKUP($A19,INS!$A$2:$F$166,3,FALSE)</f>
        <v>Cuadrilla 1:7 (1Of+7 Ay)</v>
      </c>
      <c r="C19" s="15" t="str">
        <f>+VLOOKUP($A19,INS!$A$2:$F$166,4,FALSE)</f>
        <v>JOR</v>
      </c>
      <c r="D19" s="37">
        <v>10</v>
      </c>
      <c r="E19" s="16">
        <f>+VLOOKUP($A19,INS!$A$2:$F$166,6,FALSE)</f>
        <v>683485</v>
      </c>
      <c r="F19" s="16">
        <f>+ROUND($E19*$D19,2)</f>
        <v>6834850</v>
      </c>
    </row>
    <row r="20" spans="1:8" s="5" customFormat="1" x14ac:dyDescent="0.25">
      <c r="A20" s="46"/>
      <c r="B20" s="53"/>
      <c r="C20" s="47"/>
      <c r="D20" s="48"/>
      <c r="E20" s="36" t="s">
        <v>305</v>
      </c>
      <c r="F20" s="25">
        <f>+SUM(F19:F19)</f>
        <v>6834850</v>
      </c>
      <c r="H20" s="33">
        <f>+F20</f>
        <v>6834850</v>
      </c>
    </row>
    <row r="21" spans="1:8" s="5" customFormat="1" x14ac:dyDescent="0.25">
      <c r="A21" s="50" t="s">
        <v>486</v>
      </c>
      <c r="B21" s="52"/>
      <c r="C21" s="18"/>
      <c r="D21" s="18"/>
      <c r="E21" s="18"/>
      <c r="F21" s="24"/>
    </row>
    <row r="22" spans="1:8" x14ac:dyDescent="0.25">
      <c r="A22" s="6" t="s">
        <v>244</v>
      </c>
      <c r="B22" s="9" t="str">
        <f>+VLOOKUP($A22,INS!$A$2:$F$164,3,FALSE)</f>
        <v>Herramienta menor</v>
      </c>
      <c r="C22" s="6" t="str">
        <f>+VLOOKUP($A22,INS!$A$2:$F$164,4,FALSE)</f>
        <v>(%)MO</v>
      </c>
      <c r="D22" s="34">
        <v>10</v>
      </c>
      <c r="E22" s="7">
        <f>+$F$20</f>
        <v>6834850</v>
      </c>
      <c r="F22" s="7">
        <f>+ROUND($E22*$D22/100,2)</f>
        <v>683485</v>
      </c>
    </row>
    <row r="23" spans="1:8" s="5" customFormat="1" x14ac:dyDescent="0.25">
      <c r="A23" s="40"/>
      <c r="B23" s="54"/>
      <c r="C23" s="41"/>
      <c r="D23" s="45"/>
      <c r="E23" s="35" t="s">
        <v>305</v>
      </c>
      <c r="F23" s="25">
        <f>+SUM(F22:F22)</f>
        <v>683485</v>
      </c>
      <c r="H23" s="33">
        <f>+F23</f>
        <v>683485</v>
      </c>
    </row>
    <row r="24" spans="1:8" ht="9" customHeight="1" x14ac:dyDescent="0.25">
      <c r="A24" s="28"/>
      <c r="B24" s="51"/>
      <c r="C24" s="30"/>
      <c r="D24" s="65"/>
      <c r="E24" s="66"/>
      <c r="F24" s="42"/>
    </row>
    <row r="25" spans="1:8" s="5" customFormat="1" ht="26.25" customHeight="1" x14ac:dyDescent="0.25">
      <c r="A25" s="403" t="e">
        <f>+CONCATENATE("COSTO DIRECTRO ITEM ",F5," ",B5)</f>
        <v>#N/A</v>
      </c>
      <c r="B25" s="403"/>
      <c r="C25" s="403"/>
      <c r="D25" s="403"/>
      <c r="E25" s="403"/>
      <c r="F25" s="62">
        <f>+SUM(H11:H23)</f>
        <v>11012005</v>
      </c>
    </row>
    <row r="27" spans="1:8" x14ac:dyDescent="0.25">
      <c r="F27" s="2"/>
    </row>
    <row r="29" spans="1:8" x14ac:dyDescent="0.25">
      <c r="F29" s="32"/>
    </row>
  </sheetData>
  <mergeCells count="8">
    <mergeCell ref="B7:D7"/>
    <mergeCell ref="A25:E25"/>
    <mergeCell ref="A1:F1"/>
    <mergeCell ref="A2:F2"/>
    <mergeCell ref="A3:A4"/>
    <mergeCell ref="B3:E4"/>
    <mergeCell ref="B5:D5"/>
    <mergeCell ref="B6:D6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Hoja101">
    <pageSetUpPr fitToPage="1"/>
  </sheetPr>
  <dimension ref="A1:H19"/>
  <sheetViews>
    <sheetView view="pageBreakPreview" zoomScaleNormal="100" zoomScaleSheetLayoutView="100" workbookViewId="0">
      <selection activeCell="B6" sqref="B6:D6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6.7109375" style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39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39" customHeight="1" x14ac:dyDescent="0.25">
      <c r="A4" s="405"/>
      <c r="B4" s="404"/>
      <c r="C4" s="404"/>
      <c r="D4" s="404"/>
      <c r="E4" s="404"/>
      <c r="F4" s="67"/>
    </row>
    <row r="5" spans="1:8" x14ac:dyDescent="0.25">
      <c r="A5" s="57" t="s">
        <v>479</v>
      </c>
      <c r="B5" s="376"/>
      <c r="C5" s="376"/>
      <c r="D5" s="376"/>
      <c r="E5" s="10"/>
      <c r="F5" s="63"/>
    </row>
    <row r="6" spans="1:8" x14ac:dyDescent="0.25">
      <c r="A6" s="57"/>
      <c r="B6" s="376" t="str">
        <f>PPTO!A57</f>
        <v>IMPLEMENTACION LINEAMIENTOS AMBIENTALES</v>
      </c>
      <c r="C6" s="376"/>
      <c r="D6" s="376"/>
      <c r="E6" s="10" t="s">
        <v>482</v>
      </c>
      <c r="F6" s="58">
        <f>+F15</f>
        <v>25769432.402999997</v>
      </c>
    </row>
    <row r="7" spans="1:8" x14ac:dyDescent="0.25">
      <c r="A7" s="59"/>
      <c r="B7" s="407"/>
      <c r="C7" s="407"/>
      <c r="D7" s="407"/>
      <c r="E7" s="60"/>
      <c r="F7" s="61"/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487</v>
      </c>
      <c r="B10" s="52"/>
      <c r="C10" s="18"/>
      <c r="D10" s="18"/>
      <c r="E10" s="18"/>
      <c r="F10" s="24"/>
      <c r="H10" s="33"/>
    </row>
    <row r="11" spans="1:8" s="5" customFormat="1" x14ac:dyDescent="0.25">
      <c r="A11" s="15" t="s">
        <v>276</v>
      </c>
      <c r="B11" s="14" t="str">
        <f>+VLOOKUP($A11,INS!$A$2:$F$192,3,FALSE)</f>
        <v>Implementación Lineamientos Ambientales</v>
      </c>
      <c r="C11" s="15" t="str">
        <f>+VLOOKUP($A11,INS!$A$2:$F$192,4,FALSE)</f>
        <v>Glb</v>
      </c>
      <c r="D11" s="163">
        <v>1</v>
      </c>
      <c r="E11" s="16">
        <f>+VLOOKUP($A11,INS!$A$2:$F$192,6,FALSE)</f>
        <v>19822640.309999999</v>
      </c>
      <c r="F11" s="16">
        <f>+ROUND($E11*$D11,2)</f>
        <v>19822640.309999999</v>
      </c>
      <c r="H11" s="33"/>
    </row>
    <row r="12" spans="1:8" s="5" customFormat="1" x14ac:dyDescent="0.25">
      <c r="A12" s="46"/>
      <c r="B12" s="53"/>
      <c r="C12" s="47"/>
      <c r="D12" s="48"/>
      <c r="E12" s="36" t="s">
        <v>305</v>
      </c>
      <c r="F12" s="25">
        <f>+SUM(F11:F11)</f>
        <v>19822640.309999999</v>
      </c>
      <c r="H12" s="33">
        <f>+F12</f>
        <v>19822640.309999999</v>
      </c>
    </row>
    <row r="13" spans="1:8" ht="12.75" customHeight="1" x14ac:dyDescent="0.25">
      <c r="A13" s="28"/>
      <c r="B13" s="51"/>
      <c r="C13" s="30"/>
      <c r="D13" s="65"/>
      <c r="E13" s="203" t="s">
        <v>797</v>
      </c>
      <c r="F13" s="7">
        <f>F12*H13</f>
        <v>5946792.0929999994</v>
      </c>
      <c r="H13" s="202">
        <v>0.3</v>
      </c>
    </row>
    <row r="14" spans="1:8" ht="9" customHeight="1" x14ac:dyDescent="0.25">
      <c r="A14" s="196"/>
      <c r="B14" s="197"/>
      <c r="C14" s="198"/>
      <c r="D14" s="199"/>
      <c r="E14" s="200"/>
      <c r="F14" s="201"/>
    </row>
    <row r="15" spans="1:8" s="5" customFormat="1" ht="26.25" customHeight="1" x14ac:dyDescent="0.25">
      <c r="A15" s="403" t="str">
        <f>+CONCATENATE("COSTO DIRECTRO ITEM ",F5," ",B5)</f>
        <v xml:space="preserve">COSTO DIRECTRO ITEM  </v>
      </c>
      <c r="B15" s="403"/>
      <c r="C15" s="403"/>
      <c r="D15" s="403"/>
      <c r="E15" s="403"/>
      <c r="F15" s="62">
        <f>+SUM(F12:F13)</f>
        <v>25769432.402999997</v>
      </c>
    </row>
    <row r="17" spans="6:6" x14ac:dyDescent="0.25">
      <c r="F17" s="2"/>
    </row>
    <row r="19" spans="6:6" x14ac:dyDescent="0.25">
      <c r="F19" s="32"/>
    </row>
  </sheetData>
  <mergeCells count="8">
    <mergeCell ref="B7:D7"/>
    <mergeCell ref="A15:E15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>
    <pageSetUpPr fitToPage="1"/>
  </sheetPr>
  <dimension ref="A1:H34"/>
  <sheetViews>
    <sheetView view="pageBreakPreview" zoomScaleNormal="100" zoomScaleSheetLayoutView="100" workbookViewId="0">
      <selection activeCell="F29" sqref="F29"/>
    </sheetView>
  </sheetViews>
  <sheetFormatPr baseColWidth="10" defaultColWidth="11.42578125" defaultRowHeight="12.75" x14ac:dyDescent="0.25"/>
  <cols>
    <col min="1" max="1" width="12.28515625" style="1" customWidth="1"/>
    <col min="2" max="2" width="32.85546875" style="3" customWidth="1"/>
    <col min="3" max="3" width="7.5703125" style="1" bestFit="1" customWidth="1"/>
    <col min="4" max="4" width="9.5703125" style="1" bestFit="1" customWidth="1"/>
    <col min="5" max="6" width="16.42578125" style="1" customWidth="1"/>
    <col min="7" max="7" width="11.42578125" style="1"/>
    <col min="8" max="8" width="16.7109375" style="1" customWidth="1"/>
    <col min="9" max="16384" width="11.42578125" style="1"/>
  </cols>
  <sheetData>
    <row r="1" spans="1:8" x14ac:dyDescent="0.25">
      <c r="A1" s="406" t="s">
        <v>475</v>
      </c>
      <c r="B1" s="406"/>
      <c r="C1" s="406"/>
      <c r="D1" s="406"/>
      <c r="E1" s="406"/>
      <c r="F1" s="406"/>
    </row>
    <row r="2" spans="1:8" x14ac:dyDescent="0.25">
      <c r="A2" s="406" t="s">
        <v>476</v>
      </c>
      <c r="B2" s="406"/>
      <c r="C2" s="406"/>
      <c r="D2" s="406"/>
      <c r="E2" s="406"/>
      <c r="F2" s="406"/>
    </row>
    <row r="3" spans="1:8" ht="26.25" customHeight="1" x14ac:dyDescent="0.25">
      <c r="A3" s="405" t="s">
        <v>477</v>
      </c>
      <c r="B3" s="404" t="str">
        <f>+PPTO!B1</f>
        <v>CONSTRUCCIÓN DE OBRAS DE MITIGACIÓN DEL BARRIO LA FERIA, ASENTAMIENTO CAMILO TORRES Y CUYANITA ETAPA 1.  UBICADOS EN LA COMUNA 4 DEL MUNICIPIO DE BUCARAMANGA, SANTANDER</v>
      </c>
      <c r="C3" s="404"/>
      <c r="D3" s="404"/>
      <c r="E3" s="404"/>
      <c r="F3" s="55" t="s">
        <v>478</v>
      </c>
    </row>
    <row r="4" spans="1:8" ht="26.25" customHeight="1" x14ac:dyDescent="0.25">
      <c r="A4" s="405"/>
      <c r="B4" s="404"/>
      <c r="C4" s="404"/>
      <c r="D4" s="404"/>
      <c r="E4" s="404"/>
      <c r="F4" s="67"/>
    </row>
    <row r="5" spans="1:8" x14ac:dyDescent="0.25">
      <c r="A5" s="57" t="s">
        <v>479</v>
      </c>
      <c r="B5" s="376"/>
      <c r="C5" s="376"/>
      <c r="D5" s="376"/>
      <c r="E5" s="10"/>
      <c r="F5" s="63"/>
    </row>
    <row r="6" spans="1:8" x14ac:dyDescent="0.25">
      <c r="A6" s="57"/>
      <c r="B6" s="412" t="str">
        <f>PPTO!A58</f>
        <v>PLAN DE MANEJO DE TRAFICO</v>
      </c>
      <c r="C6" s="408"/>
      <c r="D6" s="408"/>
      <c r="E6" s="10" t="s">
        <v>482</v>
      </c>
      <c r="F6" s="58">
        <f>+F29</f>
        <v>38205242.399999999</v>
      </c>
    </row>
    <row r="7" spans="1:8" x14ac:dyDescent="0.25">
      <c r="A7" s="59"/>
      <c r="B7" s="407"/>
      <c r="C7" s="407"/>
      <c r="D7" s="407"/>
      <c r="E7" s="60"/>
      <c r="F7" s="61"/>
    </row>
    <row r="8" spans="1:8" ht="9" customHeight="1" x14ac:dyDescent="0.25">
      <c r="A8" s="28"/>
      <c r="B8" s="51"/>
      <c r="C8" s="30"/>
      <c r="D8" s="30"/>
      <c r="E8" s="30"/>
      <c r="F8" s="31"/>
    </row>
    <row r="9" spans="1:8" x14ac:dyDescent="0.25">
      <c r="A9" s="49" t="s">
        <v>0</v>
      </c>
      <c r="B9" s="49" t="s">
        <v>2</v>
      </c>
      <c r="C9" s="49" t="s">
        <v>3</v>
      </c>
      <c r="D9" s="49" t="s">
        <v>485</v>
      </c>
      <c r="E9" s="49" t="s">
        <v>5</v>
      </c>
      <c r="F9" s="49" t="s">
        <v>6</v>
      </c>
    </row>
    <row r="10" spans="1:8" s="5" customFormat="1" x14ac:dyDescent="0.25">
      <c r="A10" s="50" t="s">
        <v>627</v>
      </c>
      <c r="B10" s="52"/>
      <c r="C10" s="18"/>
      <c r="D10" s="18"/>
      <c r="E10" s="18"/>
      <c r="F10" s="24"/>
      <c r="H10" s="33"/>
    </row>
    <row r="11" spans="1:8" s="5" customFormat="1" x14ac:dyDescent="0.25">
      <c r="A11" s="15" t="s">
        <v>597</v>
      </c>
      <c r="B11" s="14" t="str">
        <f>+VLOOKUP($A11,INS!$A$2:$F$197,3,FALSE)</f>
        <v xml:space="preserve">Barricada metalica tipo </v>
      </c>
      <c r="C11" s="15" t="str">
        <f>+VLOOKUP($A11,INS!$A$2:$F$197,4,FALSE)</f>
        <v>Und</v>
      </c>
      <c r="D11" s="163">
        <v>5</v>
      </c>
      <c r="E11" s="16">
        <f>+VLOOKUP($A11,INS!$A$2:$F$197,6,FALSE)</f>
        <v>272332</v>
      </c>
      <c r="F11" s="16">
        <f>+ROUND($E11*$D11,2)</f>
        <v>1361660</v>
      </c>
      <c r="H11" s="33"/>
    </row>
    <row r="12" spans="1:8" s="5" customFormat="1" x14ac:dyDescent="0.25">
      <c r="A12" s="15" t="s">
        <v>598</v>
      </c>
      <c r="B12" s="14" t="str">
        <f>+VLOOKUP($A12,INS!$A$2:$F$197,3,FALSE)</f>
        <v>Señal Pare y Siga 30 cm</v>
      </c>
      <c r="C12" s="15" t="str">
        <f>+VLOOKUP($A12,INS!$A$2:$F$197,4,FALSE)</f>
        <v>Und</v>
      </c>
      <c r="D12" s="163">
        <v>2</v>
      </c>
      <c r="E12" s="16">
        <f>+VLOOKUP($A12,INS!$A$2:$F$197,6,FALSE)</f>
        <v>44070</v>
      </c>
      <c r="F12" s="16">
        <f t="shared" ref="F12:F21" si="0">+ROUND($E12*$D12,2)</f>
        <v>88140</v>
      </c>
      <c r="H12" s="33"/>
    </row>
    <row r="13" spans="1:8" s="5" customFormat="1" ht="25.5" x14ac:dyDescent="0.25">
      <c r="A13" s="15" t="s">
        <v>600</v>
      </c>
      <c r="B13" s="14" t="str">
        <f>+VLOOKUP($A13,INS!$A$2:$F$197,3,FALSE)</f>
        <v>Delineadores Tubulares (Colombinas H=1.30 m Base Caucho)</v>
      </c>
      <c r="C13" s="15" t="str">
        <f>+VLOOKUP($A13,INS!$A$2:$F$197,4,FALSE)</f>
        <v>Und</v>
      </c>
      <c r="D13" s="163">
        <v>30</v>
      </c>
      <c r="E13" s="16">
        <f>+VLOOKUP($A13,INS!$A$2:$F$197,6,FALSE)</f>
        <v>66585</v>
      </c>
      <c r="F13" s="16">
        <f t="shared" si="0"/>
        <v>1997550</v>
      </c>
      <c r="H13" s="33"/>
    </row>
    <row r="14" spans="1:8" s="5" customFormat="1" ht="25.5" x14ac:dyDescent="0.25">
      <c r="A14" s="15" t="s">
        <v>602</v>
      </c>
      <c r="B14" s="14" t="str">
        <f>+VLOOKUP($A14,INS!$A$2:$F$197,3,FALSE)</f>
        <v>Barreras Plasticas tipo Maletín Plastico (2.00x1.00 m)</v>
      </c>
      <c r="C14" s="15" t="str">
        <f>+VLOOKUP($A14,INS!$A$2:$F$197,4,FALSE)</f>
        <v>Und</v>
      </c>
      <c r="D14" s="163">
        <v>6</v>
      </c>
      <c r="E14" s="16">
        <f>+VLOOKUP($A14,INS!$A$2:$F$197,6,FALSE)</f>
        <v>255299.99999999997</v>
      </c>
      <c r="F14" s="16">
        <f t="shared" si="0"/>
        <v>1531800</v>
      </c>
      <c r="H14" s="33"/>
    </row>
    <row r="15" spans="1:8" s="5" customFormat="1" x14ac:dyDescent="0.25">
      <c r="A15" s="15" t="s">
        <v>604</v>
      </c>
      <c r="B15" s="14" t="str">
        <f>+VLOOKUP($A15,INS!$A$2:$F$197,3,FALSE)</f>
        <v>Cono PVC 70cm Cinta Reflectiva</v>
      </c>
      <c r="C15" s="15" t="str">
        <f>+VLOOKUP($A15,INS!$A$2:$F$197,4,FALSE)</f>
        <v>Und</v>
      </c>
      <c r="D15" s="163">
        <v>6</v>
      </c>
      <c r="E15" s="16">
        <f>+VLOOKUP($A15,INS!$A$2:$F$197,6,FALSE)</f>
        <v>95880</v>
      </c>
      <c r="F15" s="16">
        <f t="shared" si="0"/>
        <v>575280</v>
      </c>
      <c r="H15" s="33"/>
    </row>
    <row r="16" spans="1:8" s="5" customFormat="1" x14ac:dyDescent="0.25">
      <c r="A16" s="15" t="s">
        <v>606</v>
      </c>
      <c r="B16" s="14" t="str">
        <f>+VLOOKUP($A16,INS!$A$2:$F$197,3,FALSE)</f>
        <v>Señales moviles de aproximación</v>
      </c>
      <c r="C16" s="15" t="str">
        <f>+VLOOKUP($A16,INS!$A$2:$F$197,4,FALSE)</f>
        <v>Und</v>
      </c>
      <c r="D16" s="163">
        <v>6</v>
      </c>
      <c r="E16" s="16">
        <f>+VLOOKUP($A16,INS!$A$2:$F$197,6,FALSE)</f>
        <v>138000</v>
      </c>
      <c r="F16" s="16">
        <f t="shared" si="0"/>
        <v>828000</v>
      </c>
      <c r="H16" s="33"/>
    </row>
    <row r="17" spans="1:8" s="5" customFormat="1" x14ac:dyDescent="0.25">
      <c r="A17" s="15" t="s">
        <v>608</v>
      </c>
      <c r="B17" s="14" t="str">
        <f>+VLOOKUP($A17,INS!$A$2:$F$197,3,FALSE)</f>
        <v>Cinta plastica "Peligro, no pase"</v>
      </c>
      <c r="C17" s="15" t="str">
        <f>+VLOOKUP($A17,INS!$A$2:$F$197,4,FALSE)</f>
        <v>m</v>
      </c>
      <c r="D17" s="163">
        <v>2900</v>
      </c>
      <c r="E17" s="16">
        <f>+VLOOKUP($A17,INS!$A$2:$F$197,6,FALSE)</f>
        <v>131</v>
      </c>
      <c r="F17" s="16">
        <f t="shared" si="0"/>
        <v>379900</v>
      </c>
      <c r="H17" s="33"/>
    </row>
    <row r="18" spans="1:8" s="5" customFormat="1" x14ac:dyDescent="0.25">
      <c r="A18" s="15" t="s">
        <v>610</v>
      </c>
      <c r="B18" s="14" t="str">
        <f>+VLOOKUP($A18,INS!$A$2:$F$197,3,FALSE)</f>
        <v>Chalecos Reflectivos</v>
      </c>
      <c r="C18" s="15" t="str">
        <f>+VLOOKUP($A18,INS!$A$2:$F$197,4,FALSE)</f>
        <v>Und</v>
      </c>
      <c r="D18" s="163">
        <v>2</v>
      </c>
      <c r="E18" s="16">
        <f>+VLOOKUP($A18,INS!$A$2:$F$197,6,FALSE)</f>
        <v>14949.999999999998</v>
      </c>
      <c r="F18" s="16">
        <f t="shared" si="0"/>
        <v>29900</v>
      </c>
      <c r="H18" s="33"/>
    </row>
    <row r="19" spans="1:8" s="5" customFormat="1" x14ac:dyDescent="0.25">
      <c r="A19" s="15" t="s">
        <v>612</v>
      </c>
      <c r="B19" s="14" t="str">
        <f>+VLOOKUP($A19,INS!$A$2:$F$197,3,FALSE)</f>
        <v>Pitos para auxiliares de tránsito</v>
      </c>
      <c r="C19" s="15" t="str">
        <f>+VLOOKUP($A19,INS!$A$2:$F$197,4,FALSE)</f>
        <v>Und</v>
      </c>
      <c r="D19" s="163">
        <v>2</v>
      </c>
      <c r="E19" s="16">
        <f>+VLOOKUP($A19,INS!$A$2:$F$197,6,FALSE)</f>
        <v>2155</v>
      </c>
      <c r="F19" s="16">
        <f t="shared" si="0"/>
        <v>4310</v>
      </c>
      <c r="H19" s="33"/>
    </row>
    <row r="20" spans="1:8" s="5" customFormat="1" x14ac:dyDescent="0.25">
      <c r="A20" s="15" t="s">
        <v>614</v>
      </c>
      <c r="B20" s="14" t="str">
        <f>+VLOOKUP($A20,INS!$A$2:$F$197,3,FALSE)</f>
        <v>Impresión de Planos PMT</v>
      </c>
      <c r="C20" s="15" t="str">
        <f>+VLOOKUP($A20,INS!$A$2:$F$197,4,FALSE)</f>
        <v>Und</v>
      </c>
      <c r="D20" s="163">
        <v>6</v>
      </c>
      <c r="E20" s="16">
        <f>+VLOOKUP($A20,INS!$A$2:$F$197,6,FALSE)</f>
        <v>5750</v>
      </c>
      <c r="F20" s="16">
        <f t="shared" si="0"/>
        <v>34500</v>
      </c>
      <c r="H20" s="33"/>
    </row>
    <row r="21" spans="1:8" s="5" customFormat="1" x14ac:dyDescent="0.25">
      <c r="A21" s="15" t="s">
        <v>616</v>
      </c>
      <c r="B21" s="14" t="str">
        <f>+VLOOKUP($A21,INS!$A$2:$F$197,3,FALSE)</f>
        <v>Papelería, impresiones e informes</v>
      </c>
      <c r="C21" s="15" t="str">
        <f>+VLOOKUP($A21,INS!$A$2:$F$197,4,FALSE)</f>
        <v>MES</v>
      </c>
      <c r="D21" s="163">
        <v>4</v>
      </c>
      <c r="E21" s="16">
        <f>+VLOOKUP($A21,INS!$A$2:$F$197,6,FALSE)</f>
        <v>229999.99999999997</v>
      </c>
      <c r="F21" s="16">
        <f t="shared" si="0"/>
        <v>920000</v>
      </c>
      <c r="H21" s="33"/>
    </row>
    <row r="22" spans="1:8" s="5" customFormat="1" x14ac:dyDescent="0.25">
      <c r="A22" s="46"/>
      <c r="B22" s="53"/>
      <c r="C22" s="47"/>
      <c r="D22" s="48"/>
      <c r="E22" s="36" t="s">
        <v>305</v>
      </c>
      <c r="F22" s="25">
        <f>+SUM(F11:F21)</f>
        <v>7751040</v>
      </c>
      <c r="H22" s="33">
        <f>+F22</f>
        <v>7751040</v>
      </c>
    </row>
    <row r="23" spans="1:8" s="5" customFormat="1" x14ac:dyDescent="0.25">
      <c r="A23" s="50" t="s">
        <v>189</v>
      </c>
      <c r="B23" s="52"/>
      <c r="C23" s="18"/>
      <c r="D23" s="18"/>
      <c r="E23" s="18"/>
      <c r="F23" s="24"/>
      <c r="H23" s="33">
        <f>H22*G26</f>
        <v>2325312</v>
      </c>
    </row>
    <row r="24" spans="1:8" s="5" customFormat="1" x14ac:dyDescent="0.25">
      <c r="A24" s="15" t="s">
        <v>579</v>
      </c>
      <c r="B24" s="14" t="str">
        <f>+VLOOKUP($A24,INS!$A$2:$F$197,3,FALSE)</f>
        <v>Salario dos (2) Paleteros + Prestaciones</v>
      </c>
      <c r="C24" s="15" t="str">
        <f>+VLOOKUP($A24,INS!$A$2:$F$197,4,FALSE)</f>
        <v>MES</v>
      </c>
      <c r="D24" s="163">
        <v>4.4848501430170353</v>
      </c>
      <c r="E24" s="16">
        <f>+VLOOKUP($A24,INS!$A$2:$F$197,6,FALSE)</f>
        <v>4824600</v>
      </c>
      <c r="F24" s="16">
        <f>+ROUND($E24*$D24,2)</f>
        <v>21637608</v>
      </c>
      <c r="H24" s="33"/>
    </row>
    <row r="25" spans="1:8" s="5" customFormat="1" x14ac:dyDescent="0.25">
      <c r="A25" s="46"/>
      <c r="B25" s="53"/>
      <c r="C25" s="47"/>
      <c r="D25" s="48"/>
      <c r="E25" s="36" t="s">
        <v>305</v>
      </c>
      <c r="F25" s="25">
        <f>+SUM(F24)</f>
        <v>21637608</v>
      </c>
      <c r="H25" s="33">
        <f>+F25</f>
        <v>21637608</v>
      </c>
    </row>
    <row r="26" spans="1:8" s="5" customFormat="1" x14ac:dyDescent="0.25">
      <c r="A26" s="46"/>
      <c r="B26" s="53"/>
      <c r="C26" s="47"/>
      <c r="D26" s="48"/>
      <c r="E26" s="204"/>
      <c r="F26" s="25"/>
      <c r="G26" s="202">
        <v>0.3</v>
      </c>
      <c r="H26" s="32">
        <f>H25*G26</f>
        <v>6491282.3999999994</v>
      </c>
    </row>
    <row r="27" spans="1:8" ht="16.5" customHeight="1" x14ac:dyDescent="0.25">
      <c r="A27" s="28"/>
      <c r="B27" s="51"/>
      <c r="C27" s="30"/>
      <c r="D27" s="65"/>
      <c r="E27" s="203" t="s">
        <v>797</v>
      </c>
      <c r="F27" s="8">
        <f>H23+H26</f>
        <v>8816594.3999999985</v>
      </c>
    </row>
    <row r="28" spans="1:8" ht="9" customHeight="1" x14ac:dyDescent="0.25">
      <c r="A28" s="196"/>
      <c r="B28" s="197"/>
      <c r="C28" s="198"/>
      <c r="D28" s="199"/>
      <c r="E28" s="200"/>
      <c r="F28" s="201"/>
    </row>
    <row r="29" spans="1:8" s="5" customFormat="1" ht="26.25" customHeight="1" x14ac:dyDescent="0.25">
      <c r="A29" s="403" t="str">
        <f>+CONCATENATE("COSTO DIRECTRO ITEM ",F5," ",B5)</f>
        <v xml:space="preserve">COSTO DIRECTRO ITEM  </v>
      </c>
      <c r="B29" s="403"/>
      <c r="C29" s="403"/>
      <c r="D29" s="403"/>
      <c r="E29" s="403"/>
      <c r="F29" s="62">
        <f>+SUM(H10:H26)</f>
        <v>38205242.399999999</v>
      </c>
    </row>
    <row r="31" spans="1:8" x14ac:dyDescent="0.25">
      <c r="F31" s="2"/>
    </row>
    <row r="33" spans="5:6" x14ac:dyDescent="0.25">
      <c r="F33" s="32"/>
    </row>
    <row r="34" spans="5:6" x14ac:dyDescent="0.25">
      <c r="E34" s="1">
        <v>1700</v>
      </c>
    </row>
  </sheetData>
  <mergeCells count="8">
    <mergeCell ref="B7:D7"/>
    <mergeCell ref="A29:E29"/>
    <mergeCell ref="A1:F1"/>
    <mergeCell ref="A2:F2"/>
    <mergeCell ref="A3:A4"/>
    <mergeCell ref="B3:E4"/>
    <mergeCell ref="B5:D5"/>
    <mergeCell ref="B6:D6"/>
  </mergeCells>
  <pageMargins left="0.7" right="0.7" top="0.75" bottom="0.75" header="0.3" footer="0.3"/>
  <pageSetup scale="95" orientation="portrait" r:id="rId1"/>
  <headerFooter>
    <oddHeader>&amp;C&amp;"Arial Narrow,Negrita"ANALISIS DE PRECIOS UNITARIOS
ÍTEM &amp;A</oddHeader>
    <oddFooter>&amp;C&amp;"Arial Narrow,Negrita"Pagina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F6B0A8-A445-4A5A-AA82-EBD581D198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109</vt:i4>
      </vt:variant>
      <vt:variant>
        <vt:lpstr>Rangos con nombre</vt:lpstr>
      </vt:variant>
      <vt:variant>
        <vt:i4>108</vt:i4>
      </vt:variant>
    </vt:vector>
  </HeadingPairs>
  <TitlesOfParts>
    <vt:vector size="217" baseType="lpstr">
      <vt:lpstr>INS</vt:lpstr>
      <vt:lpstr>OFERTA ECONOMICA</vt:lpstr>
      <vt:lpstr>PPTO</vt:lpstr>
      <vt:lpstr>M.C.</vt:lpstr>
      <vt:lpstr>CALCULOS</vt:lpstr>
      <vt:lpstr>1.00</vt:lpstr>
      <vt:lpstr>1.01</vt:lpstr>
      <vt:lpstr>1.02</vt:lpstr>
      <vt:lpstr>PER</vt:lpstr>
      <vt:lpstr>1.03</vt:lpstr>
      <vt:lpstr>1.04</vt:lpstr>
      <vt:lpstr>1.05</vt:lpstr>
      <vt:lpstr>1.06</vt:lpstr>
      <vt:lpstr>1.09</vt:lpstr>
      <vt:lpstr>retiro</vt:lpstr>
      <vt:lpstr>sobre</vt:lpstr>
      <vt:lpstr>2.01</vt:lpstr>
      <vt:lpstr>exca</vt:lpstr>
      <vt:lpstr>2.05</vt:lpstr>
      <vt:lpstr>2.02</vt:lpstr>
      <vt:lpstr>2.07</vt:lpstr>
      <vt:lpstr>2.03</vt:lpstr>
      <vt:lpstr>2.04</vt:lpstr>
      <vt:lpstr>2.10</vt:lpstr>
      <vt:lpstr>2.11</vt:lpstr>
      <vt:lpstr>2.12</vt:lpstr>
      <vt:lpstr>2.13</vt:lpstr>
      <vt:lpstr>2.14</vt:lpstr>
      <vt:lpstr>3.1</vt:lpstr>
      <vt:lpstr>3.2</vt:lpstr>
      <vt:lpstr>3,3</vt:lpstr>
      <vt:lpstr>3.01</vt:lpstr>
      <vt:lpstr>3.05</vt:lpstr>
      <vt:lpstr>3.02</vt:lpstr>
      <vt:lpstr>3.07</vt:lpstr>
      <vt:lpstr>3.03</vt:lpstr>
      <vt:lpstr>3.04</vt:lpstr>
      <vt:lpstr>3.10</vt:lpstr>
      <vt:lpstr>3.11</vt:lpstr>
      <vt:lpstr>3.12</vt:lpstr>
      <vt:lpstr>3.13</vt:lpstr>
      <vt:lpstr>4.01</vt:lpstr>
      <vt:lpstr>Hoja1</vt:lpstr>
      <vt:lpstr>Hoja2</vt:lpstr>
      <vt:lpstr>Hoja3</vt:lpstr>
      <vt:lpstr>Hoja4</vt:lpstr>
      <vt:lpstr>4.02</vt:lpstr>
      <vt:lpstr>no</vt:lpstr>
      <vt:lpstr>4.03</vt:lpstr>
      <vt:lpstr>4.04</vt:lpstr>
      <vt:lpstr>4.05</vt:lpstr>
      <vt:lpstr>4,6</vt:lpstr>
      <vt:lpstr>4.06</vt:lpstr>
      <vt:lpstr>4,07</vt:lpstr>
      <vt:lpstr>5.01</vt:lpstr>
      <vt:lpstr>5.02</vt:lpstr>
      <vt:lpstr>5.03</vt:lpstr>
      <vt:lpstr>5.04</vt:lpstr>
      <vt:lpstr>5.05</vt:lpstr>
      <vt:lpstr>5.06</vt:lpstr>
      <vt:lpstr>5.07</vt:lpstr>
      <vt:lpstr>5.08</vt:lpstr>
      <vt:lpstr>6.01</vt:lpstr>
      <vt:lpstr>6.02</vt:lpstr>
      <vt:lpstr>6.03</vt:lpstr>
      <vt:lpstr>7.01</vt:lpstr>
      <vt:lpstr>7,2</vt:lpstr>
      <vt:lpstr>7.02</vt:lpstr>
      <vt:lpstr>7.4</vt:lpstr>
      <vt:lpstr>7.05</vt:lpstr>
      <vt:lpstr>7.03</vt:lpstr>
      <vt:lpstr>7.07</vt:lpstr>
      <vt:lpstr>7.08</vt:lpstr>
      <vt:lpstr>7.09</vt:lpstr>
      <vt:lpstr>7.10</vt:lpstr>
      <vt:lpstr>7.11</vt:lpstr>
      <vt:lpstr>7.12</vt:lpstr>
      <vt:lpstr>7.13</vt:lpstr>
      <vt:lpstr>7.14</vt:lpstr>
      <vt:lpstr>7.15</vt:lpstr>
      <vt:lpstr>7.16</vt:lpstr>
      <vt:lpstr>7.04</vt:lpstr>
      <vt:lpstr>7.18</vt:lpstr>
      <vt:lpstr>7.19</vt:lpstr>
      <vt:lpstr>7.20</vt:lpstr>
      <vt:lpstr>7.21</vt:lpstr>
      <vt:lpstr>7.22</vt:lpstr>
      <vt:lpstr>7.23</vt:lpstr>
      <vt:lpstr>7.24</vt:lpstr>
      <vt:lpstr>7.25</vt:lpstr>
      <vt:lpstr>7.26</vt:lpstr>
      <vt:lpstr>7.27</vt:lpstr>
      <vt:lpstr>7.28</vt:lpstr>
      <vt:lpstr>7.29</vt:lpstr>
      <vt:lpstr>7.30</vt:lpstr>
      <vt:lpstr>7.31</vt:lpstr>
      <vt:lpstr>7.32</vt:lpstr>
      <vt:lpstr>7.33</vt:lpstr>
      <vt:lpstr>7.34</vt:lpstr>
      <vt:lpstr>7.35</vt:lpstr>
      <vt:lpstr>7.36</vt:lpstr>
      <vt:lpstr>7.37</vt:lpstr>
      <vt:lpstr>7.38</vt:lpstr>
      <vt:lpstr>7.39</vt:lpstr>
      <vt:lpstr>8,1</vt:lpstr>
      <vt:lpstr>8,2</vt:lpstr>
      <vt:lpstr>8.03</vt:lpstr>
      <vt:lpstr>LIN.AMB</vt:lpstr>
      <vt:lpstr>PMT</vt:lpstr>
      <vt:lpstr>'1.00'!Área_de_impresión</vt:lpstr>
      <vt:lpstr>'1.01'!Área_de_impresión</vt:lpstr>
      <vt:lpstr>'1.02'!Área_de_impresión</vt:lpstr>
      <vt:lpstr>'1.03'!Área_de_impresión</vt:lpstr>
      <vt:lpstr>'1.04'!Área_de_impresión</vt:lpstr>
      <vt:lpstr>'1.05'!Área_de_impresión</vt:lpstr>
      <vt:lpstr>'1.06'!Área_de_impresión</vt:lpstr>
      <vt:lpstr>'1.09'!Área_de_impresión</vt:lpstr>
      <vt:lpstr>'2.01'!Área_de_impresión</vt:lpstr>
      <vt:lpstr>'2.02'!Área_de_impresión</vt:lpstr>
      <vt:lpstr>'2.03'!Área_de_impresión</vt:lpstr>
      <vt:lpstr>'2.04'!Área_de_impresión</vt:lpstr>
      <vt:lpstr>'2.05'!Área_de_impresión</vt:lpstr>
      <vt:lpstr>'2.07'!Área_de_impresión</vt:lpstr>
      <vt:lpstr>'2.10'!Área_de_impresión</vt:lpstr>
      <vt:lpstr>'2.11'!Área_de_impresión</vt:lpstr>
      <vt:lpstr>'2.12'!Área_de_impresión</vt:lpstr>
      <vt:lpstr>'2.13'!Área_de_impresión</vt:lpstr>
      <vt:lpstr>'2.14'!Área_de_impresión</vt:lpstr>
      <vt:lpstr>'3,3'!Área_de_impresión</vt:lpstr>
      <vt:lpstr>'3.01'!Área_de_impresión</vt:lpstr>
      <vt:lpstr>'3.02'!Área_de_impresión</vt:lpstr>
      <vt:lpstr>'3.03'!Área_de_impresión</vt:lpstr>
      <vt:lpstr>'3.04'!Área_de_impresión</vt:lpstr>
      <vt:lpstr>'3.05'!Área_de_impresión</vt:lpstr>
      <vt:lpstr>'3.07'!Área_de_impresión</vt:lpstr>
      <vt:lpstr>'3.1'!Área_de_impresión</vt:lpstr>
      <vt:lpstr>'3.10'!Área_de_impresión</vt:lpstr>
      <vt:lpstr>'3.11'!Área_de_impresión</vt:lpstr>
      <vt:lpstr>'3.12'!Área_de_impresión</vt:lpstr>
      <vt:lpstr>'3.13'!Área_de_impresión</vt:lpstr>
      <vt:lpstr>'3.2'!Área_de_impresión</vt:lpstr>
      <vt:lpstr>'4,07'!Área_de_impresión</vt:lpstr>
      <vt:lpstr>'4,6'!Área_de_impresión</vt:lpstr>
      <vt:lpstr>'4.01'!Área_de_impresión</vt:lpstr>
      <vt:lpstr>'4.02'!Área_de_impresión</vt:lpstr>
      <vt:lpstr>'4.03'!Área_de_impresión</vt:lpstr>
      <vt:lpstr>'4.04'!Área_de_impresión</vt:lpstr>
      <vt:lpstr>'4.05'!Área_de_impresión</vt:lpstr>
      <vt:lpstr>'4.06'!Área_de_impresión</vt:lpstr>
      <vt:lpstr>'5.01'!Área_de_impresión</vt:lpstr>
      <vt:lpstr>'5.02'!Área_de_impresión</vt:lpstr>
      <vt:lpstr>'5.03'!Área_de_impresión</vt:lpstr>
      <vt:lpstr>'5.04'!Área_de_impresión</vt:lpstr>
      <vt:lpstr>'5.05'!Área_de_impresión</vt:lpstr>
      <vt:lpstr>'5.06'!Área_de_impresión</vt:lpstr>
      <vt:lpstr>'5.07'!Área_de_impresión</vt:lpstr>
      <vt:lpstr>'5.08'!Área_de_impresión</vt:lpstr>
      <vt:lpstr>'6.01'!Área_de_impresión</vt:lpstr>
      <vt:lpstr>'6.02'!Área_de_impresión</vt:lpstr>
      <vt:lpstr>'6.03'!Área_de_impresión</vt:lpstr>
      <vt:lpstr>'7,2'!Área_de_impresión</vt:lpstr>
      <vt:lpstr>'7.01'!Área_de_impresión</vt:lpstr>
      <vt:lpstr>'7.02'!Área_de_impresión</vt:lpstr>
      <vt:lpstr>'7.03'!Área_de_impresión</vt:lpstr>
      <vt:lpstr>'7.04'!Área_de_impresión</vt:lpstr>
      <vt:lpstr>'7.05'!Área_de_impresión</vt:lpstr>
      <vt:lpstr>'7.07'!Área_de_impresión</vt:lpstr>
      <vt:lpstr>'7.08'!Área_de_impresión</vt:lpstr>
      <vt:lpstr>'7.09'!Área_de_impresión</vt:lpstr>
      <vt:lpstr>'7.10'!Área_de_impresión</vt:lpstr>
      <vt:lpstr>'7.11'!Área_de_impresión</vt:lpstr>
      <vt:lpstr>'7.12'!Área_de_impresión</vt:lpstr>
      <vt:lpstr>'7.13'!Área_de_impresión</vt:lpstr>
      <vt:lpstr>'7.14'!Área_de_impresión</vt:lpstr>
      <vt:lpstr>'7.15'!Área_de_impresión</vt:lpstr>
      <vt:lpstr>'7.16'!Área_de_impresión</vt:lpstr>
      <vt:lpstr>'7.18'!Área_de_impresión</vt:lpstr>
      <vt:lpstr>'7.19'!Área_de_impresión</vt:lpstr>
      <vt:lpstr>'7.20'!Área_de_impresión</vt:lpstr>
      <vt:lpstr>'7.21'!Área_de_impresión</vt:lpstr>
      <vt:lpstr>'7.22'!Área_de_impresión</vt:lpstr>
      <vt:lpstr>'7.23'!Área_de_impresión</vt:lpstr>
      <vt:lpstr>'7.24'!Área_de_impresión</vt:lpstr>
      <vt:lpstr>'7.25'!Área_de_impresión</vt:lpstr>
      <vt:lpstr>'7.26'!Área_de_impresión</vt:lpstr>
      <vt:lpstr>'7.27'!Área_de_impresión</vt:lpstr>
      <vt:lpstr>'7.28'!Área_de_impresión</vt:lpstr>
      <vt:lpstr>'7.29'!Área_de_impresión</vt:lpstr>
      <vt:lpstr>'7.30'!Área_de_impresión</vt:lpstr>
      <vt:lpstr>'7.31'!Área_de_impresión</vt:lpstr>
      <vt:lpstr>'7.32'!Área_de_impresión</vt:lpstr>
      <vt:lpstr>'7.33'!Área_de_impresión</vt:lpstr>
      <vt:lpstr>'7.34'!Área_de_impresión</vt:lpstr>
      <vt:lpstr>'7.35'!Área_de_impresión</vt:lpstr>
      <vt:lpstr>'7.36'!Área_de_impresión</vt:lpstr>
      <vt:lpstr>'7.37'!Área_de_impresión</vt:lpstr>
      <vt:lpstr>'7.38'!Área_de_impresión</vt:lpstr>
      <vt:lpstr>'7.39'!Área_de_impresión</vt:lpstr>
      <vt:lpstr>'7.4'!Área_de_impresión</vt:lpstr>
      <vt:lpstr>'8,1'!Área_de_impresión</vt:lpstr>
      <vt:lpstr>'8,2'!Área_de_impresión</vt:lpstr>
      <vt:lpstr>'8.03'!Área_de_impresión</vt:lpstr>
      <vt:lpstr>CALCULOS!Área_de_impresión</vt:lpstr>
      <vt:lpstr>exca!Área_de_impresión</vt:lpstr>
      <vt:lpstr>INS!Área_de_impresión</vt:lpstr>
      <vt:lpstr>LIN.AMB!Área_de_impresión</vt:lpstr>
      <vt:lpstr>M.C.!Área_de_impresión</vt:lpstr>
      <vt:lpstr>no!Área_de_impresión</vt:lpstr>
      <vt:lpstr>'OFERTA ECONOMICA'!Área_de_impresión</vt:lpstr>
      <vt:lpstr>PER!Área_de_impresión</vt:lpstr>
      <vt:lpstr>PMT!Área_de_impresión</vt:lpstr>
      <vt:lpstr>PPTO!Área_de_impresión</vt:lpstr>
      <vt:lpstr>retiro!Área_de_impresión</vt:lpstr>
      <vt:lpstr>sobre!Área_de_impresión</vt:lpstr>
      <vt:lpstr>INS!Títulos_a_imprimir</vt:lpstr>
      <vt:lpstr>M.C.!Títulos_a_imprimir</vt:lpstr>
      <vt:lpstr>PPTO!Títulos_a_imprimir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MARIA CAMACHO ALVAREZ</dc:creator>
  <cp:keywords/>
  <dc:description/>
  <cp:lastModifiedBy>ANA MARIA CAMACHO ALVAREZ</cp:lastModifiedBy>
  <cp:revision/>
  <cp:lastPrinted>2024-09-02T23:51:26Z</cp:lastPrinted>
  <dcterms:created xsi:type="dcterms:W3CDTF">2015-06-05T18:19:34Z</dcterms:created>
  <dcterms:modified xsi:type="dcterms:W3CDTF">2025-05-13T09:56:14Z</dcterms:modified>
  <cp:category/>
  <cp:contentStatus/>
</cp:coreProperties>
</file>