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mc:AlternateContent xmlns:mc="http://schemas.openxmlformats.org/markup-compatibility/2006">
    <mc:Choice Requires="x15">
      <x15ac:absPath xmlns:x15ac="http://schemas.microsoft.com/office/spreadsheetml/2010/11/ac" url="C:\Users\andre\OFICINA\CONTRATOS CARDER VIGENCIA 2025\ENVIADOS PARA VALIDACION HOJAS DE VIDA SIGEP\702-2025 OBRAS DE REFORESTACION\Documentos de apoyo\"/>
    </mc:Choice>
  </mc:AlternateContent>
  <xr:revisionPtr revIDLastSave="0" documentId="13_ncr:1_{E3279750-3D47-45FE-99F1-311BFC7FB4A5}" xr6:coauthVersionLast="47" xr6:coauthVersionMax="47" xr10:uidLastSave="{00000000-0000-0000-0000-000000000000}"/>
  <bookViews>
    <workbookView xWindow="-108" yWindow="-108" windowWidth="23256" windowHeight="12456" firstSheet="3" activeTab="4" xr2:uid="{00000000-000D-0000-FFFF-FFFF00000000}"/>
  </bookViews>
  <sheets>
    <sheet name="Aclaraciòn " sheetId="13" r:id="rId1"/>
    <sheet name="LISTA DE INSUMOS" sheetId="4" r:id="rId2"/>
    <sheet name="ANÁLISIS MANO DE OBRA" sheetId="6" r:id="rId3"/>
    <sheet name="ANALISIS UNITARIOS" sheetId="5" r:id="rId4"/>
    <sheet name="PRESUPUESTO " sheetId="17" r:id="rId5"/>
    <sheet name="AU" sheetId="18" r:id="rId6"/>
    <sheet name="PROYECCIÓN EN TIEMPO" sheetId="16" r:id="rId7"/>
    <sheet name="Datos de ejemplo" sheetId="3" state="hidden" r:id="rId8"/>
  </sheets>
  <externalReferences>
    <externalReference r:id="rId9"/>
    <externalReference r:id="rId10"/>
    <externalReference r:id="rId11"/>
  </externalReferences>
  <definedNames>
    <definedName name="_xlnm._FilterDatabase" localSheetId="3" hidden="1">'ANALISIS UNITARIOS'!$B$5:$I$2170</definedName>
    <definedName name="_xlnm._FilterDatabase" localSheetId="1" hidden="1">'LISTA DE INSUMOS'!$A$4:$F$825</definedName>
    <definedName name="_xlnm.Print_Area" localSheetId="2">'ANÁLISIS MANO DE OBRA'!$A$1:$E$78</definedName>
    <definedName name="_xlnm.Print_Area" localSheetId="3">'ANALISIS UNITARIOS'!$B$1:$J$5536</definedName>
    <definedName name="_xlnm.Print_Area" localSheetId="1">'LISTA DE INSUMOS'!$A$1:$E$825</definedName>
    <definedName name="CompanyAddress" localSheetId="2">#REF!</definedName>
    <definedName name="CompanyAddress" localSheetId="3">#REF!</definedName>
    <definedName name="CompanyAddress">#REF!</definedName>
    <definedName name="CompanyCity" localSheetId="2">#REF!</definedName>
    <definedName name="CompanyCity" localSheetId="3">#REF!</definedName>
    <definedName name="CompanyCity">#REF!</definedName>
    <definedName name="CompanyContactsHeader">'Datos de ejemplo'!$W$1</definedName>
    <definedName name="CompanyCountry" localSheetId="2">#REF!</definedName>
    <definedName name="CompanyCountry" localSheetId="3">#REF!</definedName>
    <definedName name="CompanyCountry">#REF!</definedName>
    <definedName name="CompanyName" localSheetId="2">#REF!</definedName>
    <definedName name="CompanyName" localSheetId="3">#REF!</definedName>
    <definedName name="CompanyName">#REF!</definedName>
    <definedName name="CompanyState" localSheetId="2">#REF!</definedName>
    <definedName name="CompanyState" localSheetId="3">#REF!</definedName>
    <definedName name="CompanyState">#REF!</definedName>
    <definedName name="CompanyZip" localSheetId="2">#REF!</definedName>
    <definedName name="CompanyZip" localSheetId="3">#REF!</definedName>
    <definedName name="CompanyZip">#REF!</definedName>
    <definedName name="DataDisplayed">"Ejemplo"</definedName>
    <definedName name="Slicer_Contact_Type">#N/A</definedName>
    <definedName name="tablonx">'LISTA DE INSUMOS'!#REF!</definedName>
    <definedName name="_xlnm.Print_Titles" localSheetId="3">'ANALISIS UNITARIOS'!$B:$D,'ANALISIS UNITARIOS'!$2:$5</definedName>
    <definedName name="_xlnm.Print_Titles" localSheetId="1">'LISTA DE INSUMOS'!$A:$B,'LISTA DE INSUMOS'!$1:$4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 i="17" l="1"/>
  <c r="E8" i="17"/>
  <c r="E7" i="17" l="1"/>
  <c r="G7" i="17"/>
  <c r="F7" i="17"/>
  <c r="D83" i="17"/>
  <c r="D82" i="17"/>
  <c r="E83" i="17"/>
  <c r="E82" i="17"/>
  <c r="D81" i="17"/>
  <c r="E78" i="17"/>
  <c r="E77" i="17"/>
  <c r="I30" i="18"/>
  <c r="I29" i="18"/>
  <c r="I34" i="18"/>
  <c r="I35" i="18" s="1"/>
  <c r="I24" i="18"/>
  <c r="I23" i="18"/>
  <c r="I25" i="18" s="1"/>
  <c r="I26" i="18" s="1"/>
  <c r="I18" i="18"/>
  <c r="I17" i="18"/>
  <c r="I31" i="18" l="1"/>
  <c r="I19" i="18"/>
  <c r="I20" i="18" s="1"/>
  <c r="I21" i="18" s="1"/>
  <c r="D8" i="17" l="1"/>
  <c r="C8" i="17"/>
  <c r="B8" i="17"/>
  <c r="D7" i="17"/>
  <c r="E758" i="4" l="1"/>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757"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55" i="4"/>
  <c r="F54" i="4"/>
  <c r="E54" i="4"/>
  <c r="E53" i="4"/>
  <c r="E52" i="4"/>
  <c r="E51" i="4"/>
  <c r="E50" i="4"/>
  <c r="E49" i="4"/>
  <c r="E48" i="4"/>
  <c r="E47" i="4"/>
  <c r="E46" i="4"/>
  <c r="E45" i="4"/>
  <c r="E44" i="4"/>
  <c r="E43" i="4"/>
  <c r="E42" i="4"/>
  <c r="E41" i="4"/>
  <c r="E40" i="4"/>
  <c r="E39" i="4"/>
  <c r="E38" i="4"/>
  <c r="E36" i="4"/>
  <c r="E35" i="4"/>
  <c r="E34" i="4"/>
  <c r="E33" i="4"/>
  <c r="E32" i="4"/>
  <c r="E30" i="4"/>
  <c r="I726" i="5" l="1"/>
  <c r="G734" i="5" s="1"/>
  <c r="G728" i="5"/>
  <c r="G727" i="5"/>
  <c r="G4662" i="5" l="1"/>
  <c r="I4662" i="5" s="1"/>
  <c r="D4662" i="5"/>
  <c r="D4666" i="5"/>
  <c r="D4665" i="5"/>
  <c r="D4672" i="5"/>
  <c r="B61" i="6"/>
  <c r="B62" i="6"/>
  <c r="D4668" i="5"/>
  <c r="D4664" i="5"/>
  <c r="D4604" i="5"/>
  <c r="D4603" i="5"/>
  <c r="G4602" i="5"/>
  <c r="I4602" i="5" s="1"/>
  <c r="D4602" i="5"/>
  <c r="E4604" i="5"/>
  <c r="C4604" i="5"/>
  <c r="E4603" i="5"/>
  <c r="C4603" i="5"/>
  <c r="E4602" i="5"/>
  <c r="C4602" i="5"/>
  <c r="E4601" i="5"/>
  <c r="H1794" i="5"/>
  <c r="H4982" i="5"/>
  <c r="H4980" i="5"/>
  <c r="G4385" i="5"/>
  <c r="I4385" i="5" s="1"/>
  <c r="D4385" i="5"/>
  <c r="E4385" i="5"/>
  <c r="H4388" i="5"/>
  <c r="E4387" i="5"/>
  <c r="D4387" i="5"/>
  <c r="G4386" i="5"/>
  <c r="D4386" i="5"/>
  <c r="H4274" i="5"/>
  <c r="H4271" i="5"/>
  <c r="H3714" i="5"/>
  <c r="H3709" i="5"/>
  <c r="H3704" i="5"/>
  <c r="H3699" i="5"/>
  <c r="H3684" i="5"/>
  <c r="H3506" i="5"/>
  <c r="H3498" i="5"/>
  <c r="H3490" i="5"/>
  <c r="H3482" i="5"/>
  <c r="H3475" i="5"/>
  <c r="H3420" i="5"/>
  <c r="H3412" i="5"/>
  <c r="H3405" i="5"/>
  <c r="H3398" i="5"/>
  <c r="H503" i="5"/>
  <c r="H494" i="5"/>
  <c r="H491" i="5"/>
  <c r="H448" i="5"/>
  <c r="H392" i="5"/>
  <c r="H337" i="5"/>
  <c r="H335" i="5"/>
  <c r="H333" i="5"/>
  <c r="H328" i="5"/>
  <c r="H291" i="5"/>
  <c r="H290" i="5"/>
  <c r="H230" i="5"/>
  <c r="H217" i="5"/>
  <c r="H47" i="5"/>
  <c r="H5438" i="5" l="1"/>
  <c r="H5437" i="5"/>
  <c r="H5444" i="5"/>
  <c r="H5456" i="5"/>
  <c r="H5536" i="5"/>
  <c r="D5536" i="5"/>
  <c r="B60" i="6"/>
  <c r="E5536" i="5"/>
  <c r="G5201" i="5"/>
  <c r="I5201" i="5" s="1"/>
  <c r="G5202" i="5" s="1"/>
  <c r="I5202" i="5" s="1"/>
  <c r="G5159" i="5"/>
  <c r="G5158" i="5"/>
  <c r="G5129" i="5"/>
  <c r="G5125" i="5"/>
  <c r="I4709" i="5"/>
  <c r="I4710" i="5"/>
  <c r="I4712" i="5"/>
  <c r="I4716" i="5"/>
  <c r="G4715" i="5"/>
  <c r="I4715" i="5" s="1"/>
  <c r="G4713" i="5"/>
  <c r="I4713" i="5" s="1"/>
  <c r="G4711" i="5"/>
  <c r="I4711" i="5" s="1"/>
  <c r="G4708" i="5"/>
  <c r="I4708" i="5" s="1"/>
  <c r="G4707" i="5"/>
  <c r="I4707" i="5" s="1"/>
  <c r="G4700" i="5"/>
  <c r="I4700" i="5" s="1"/>
  <c r="G4698" i="5"/>
  <c r="I4698" i="5" s="1"/>
  <c r="G4696" i="5"/>
  <c r="I4696" i="5" s="1"/>
  <c r="G4693" i="5"/>
  <c r="I4693" i="5" s="1"/>
  <c r="G4692" i="5"/>
  <c r="I4692" i="5" s="1"/>
  <c r="G4706" i="5"/>
  <c r="I4706" i="5" s="1"/>
  <c r="I4701" i="5"/>
  <c r="I4694" i="5"/>
  <c r="I4695" i="5"/>
  <c r="I4697" i="5"/>
  <c r="G4691" i="5"/>
  <c r="I4691" i="5" s="1"/>
  <c r="G245" i="5"/>
  <c r="G208" i="5"/>
  <c r="G201" i="5"/>
  <c r="G207" i="5"/>
  <c r="G195" i="5"/>
  <c r="G184" i="5"/>
  <c r="G177" i="5"/>
  <c r="G165" i="5"/>
  <c r="G159" i="5"/>
  <c r="G148" i="5"/>
  <c r="G141" i="5"/>
  <c r="G129" i="5"/>
  <c r="G1032" i="5"/>
  <c r="G1031" i="5"/>
  <c r="G5303" i="5" l="1"/>
  <c r="G5299" i="5"/>
  <c r="G5298" i="5"/>
  <c r="G5297" i="5"/>
  <c r="G5296" i="5"/>
  <c r="G5284" i="5"/>
  <c r="G5283" i="5"/>
  <c r="G5197" i="5"/>
  <c r="G5195" i="5"/>
  <c r="G5194" i="5"/>
  <c r="G5193" i="5"/>
  <c r="G5192" i="5"/>
  <c r="G5120" i="5"/>
  <c r="I5120" i="5" s="1"/>
  <c r="G5072" i="5"/>
  <c r="I5072" i="5" s="1"/>
  <c r="G5048" i="5"/>
  <c r="I5048" i="5" s="1"/>
  <c r="G5047" i="5"/>
  <c r="I5047" i="5" s="1"/>
  <c r="G5044" i="5"/>
  <c r="I5044" i="5" s="1"/>
  <c r="G5534" i="5"/>
  <c r="I5534" i="5" s="1"/>
  <c r="G5533" i="5" s="1"/>
  <c r="E5534" i="5"/>
  <c r="B5534" i="5"/>
  <c r="D5534" i="5"/>
  <c r="D4617" i="5"/>
  <c r="G4617" i="5"/>
  <c r="G251" i="5"/>
  <c r="G250" i="5"/>
  <c r="G244" i="5"/>
  <c r="G243" i="5"/>
  <c r="I5530" i="5" l="1"/>
  <c r="I5532" i="5"/>
  <c r="G5527" i="5"/>
  <c r="I5527" i="5" s="1"/>
  <c r="G5524" i="5"/>
  <c r="H4729" i="5"/>
  <c r="C4664" i="5"/>
  <c r="H4138" i="5"/>
  <c r="H4134" i="5"/>
  <c r="D1182" i="5" l="1"/>
  <c r="C1182" i="5"/>
  <c r="H1186" i="5"/>
  <c r="H1177" i="5"/>
  <c r="H1173" i="5"/>
  <c r="H500" i="5"/>
  <c r="H489" i="5"/>
  <c r="H484" i="5"/>
  <c r="H482" i="5"/>
  <c r="H288" i="5"/>
  <c r="D333" i="5"/>
  <c r="C333" i="5"/>
  <c r="H254" i="5"/>
  <c r="D230" i="5"/>
  <c r="C230" i="5"/>
  <c r="C217" i="5"/>
  <c r="D217" i="5"/>
  <c r="D229" i="5"/>
  <c r="C229" i="5"/>
  <c r="D228" i="5"/>
  <c r="C228" i="5"/>
  <c r="E230" i="5"/>
  <c r="H229" i="5"/>
  <c r="E229" i="5"/>
  <c r="H228" i="5"/>
  <c r="H215" i="5"/>
  <c r="H211" i="5"/>
  <c r="H188" i="5"/>
  <c r="H180" i="5"/>
  <c r="H173" i="5"/>
  <c r="H168" i="5"/>
  <c r="H162" i="5"/>
  <c r="H156" i="5"/>
  <c r="H152" i="5"/>
  <c r="H145" i="5"/>
  <c r="H138" i="5"/>
  <c r="H132" i="5"/>
  <c r="H126" i="5"/>
  <c r="H120" i="5"/>
  <c r="H116" i="5"/>
  <c r="H29" i="5"/>
  <c r="E586" i="5"/>
  <c r="D586" i="5"/>
  <c r="C586" i="5"/>
  <c r="G5531" i="5" l="1"/>
  <c r="I5531" i="5" s="1"/>
  <c r="G333" i="5"/>
  <c r="G230" i="5"/>
  <c r="I230" i="5" s="1"/>
  <c r="G582" i="5" l="1"/>
  <c r="G588" i="5"/>
  <c r="I5524" i="5" l="1"/>
  <c r="D4673" i="5" l="1"/>
  <c r="C4673" i="5"/>
  <c r="D4693" i="5"/>
  <c r="C4693" i="5"/>
  <c r="D4692" i="5"/>
  <c r="C4692" i="5"/>
  <c r="D4661" i="5"/>
  <c r="D4667" i="5"/>
  <c r="C4667" i="5"/>
  <c r="D4669" i="5"/>
  <c r="C4669" i="5"/>
  <c r="C4666" i="5"/>
  <c r="C4665" i="5"/>
  <c r="G4660" i="5"/>
  <c r="I4660" i="5" s="1"/>
  <c r="D3705" i="5" l="1"/>
  <c r="C3705" i="5"/>
  <c r="D3704" i="5"/>
  <c r="C3704" i="5"/>
  <c r="G3703" i="5"/>
  <c r="I3703" i="5" s="1"/>
  <c r="D3703" i="5"/>
  <c r="C3703" i="5"/>
  <c r="D3702" i="5"/>
  <c r="C3702" i="5"/>
  <c r="E3705" i="5"/>
  <c r="E3704" i="5"/>
  <c r="E3703" i="5"/>
  <c r="E3702" i="5"/>
  <c r="E1834" i="5" l="1"/>
  <c r="G1834" i="5"/>
  <c r="I5197" i="5" l="1"/>
  <c r="I5195" i="5"/>
  <c r="I5194" i="5"/>
  <c r="I5193" i="5"/>
  <c r="I5192" i="5"/>
  <c r="G5196" i="5"/>
  <c r="I5196" i="5" s="1"/>
  <c r="D5196" i="5"/>
  <c r="C5196" i="5"/>
  <c r="I252" i="5"/>
  <c r="I245" i="5"/>
  <c r="I244" i="5"/>
  <c r="I243" i="5"/>
  <c r="H4436" i="5"/>
  <c r="H275" i="5" l="1"/>
  <c r="H278" i="5"/>
  <c r="H312" i="5"/>
  <c r="H313" i="5"/>
  <c r="H282" i="5"/>
  <c r="G4658" i="5"/>
  <c r="D4658" i="5"/>
  <c r="C4658" i="5"/>
  <c r="D4651" i="5"/>
  <c r="G4663" i="5" l="1"/>
  <c r="I4663" i="5" s="1"/>
  <c r="G4681" i="5"/>
  <c r="D2641" i="5"/>
  <c r="D8" i="5"/>
  <c r="D61" i="5"/>
  <c r="C61" i="5"/>
  <c r="D9" i="5"/>
  <c r="D12" i="5"/>
  <c r="D11" i="5"/>
  <c r="C8" i="5"/>
  <c r="H5266" i="5"/>
  <c r="E5269" i="5"/>
  <c r="D5269" i="5"/>
  <c r="C5269" i="5"/>
  <c r="D5260" i="5"/>
  <c r="G5260" i="5"/>
  <c r="G3702" i="5" l="1"/>
  <c r="I3702" i="5" s="1"/>
  <c r="H2940" i="5"/>
  <c r="H2906" i="5"/>
  <c r="F2842" i="5"/>
  <c r="H2840" i="5"/>
  <c r="H2839" i="5"/>
  <c r="H2838" i="5"/>
  <c r="H2836" i="5"/>
  <c r="H2835" i="5"/>
  <c r="H2828" i="5" l="1"/>
  <c r="H2823" i="5"/>
  <c r="H2826" i="5"/>
  <c r="H2624" i="5" l="1"/>
  <c r="H2613" i="5"/>
  <c r="F2617" i="5"/>
  <c r="F2612" i="5"/>
  <c r="H2604" i="5"/>
  <c r="F2601" i="5"/>
  <c r="G2604" i="5"/>
  <c r="H2552" i="5"/>
  <c r="F2551" i="5"/>
  <c r="H2542" i="5"/>
  <c r="F2540" i="5"/>
  <c r="H2547" i="5"/>
  <c r="F2546" i="5"/>
  <c r="H2474" i="5"/>
  <c r="H2438" i="5"/>
  <c r="I2438" i="5" s="1"/>
  <c r="H2401" i="5"/>
  <c r="E2401" i="5"/>
  <c r="D2401" i="5"/>
  <c r="C2401" i="5"/>
  <c r="F2398" i="5"/>
  <c r="H2212" i="5"/>
  <c r="H2207" i="5"/>
  <c r="F2191" i="5"/>
  <c r="H2187" i="5"/>
  <c r="F2185" i="5"/>
  <c r="H2181" i="5"/>
  <c r="F2180" i="5"/>
  <c r="F2174" i="5"/>
  <c r="G1799" i="5"/>
  <c r="D1799" i="5"/>
  <c r="G1797" i="5"/>
  <c r="D1797" i="5"/>
  <c r="H1423" i="5"/>
  <c r="G4342" i="5" l="1"/>
  <c r="G5261" i="5"/>
  <c r="H1811" i="5"/>
  <c r="E1562" i="5"/>
  <c r="D1562" i="5"/>
  <c r="C1562" i="5"/>
  <c r="H1509" i="5"/>
  <c r="H1498" i="5"/>
  <c r="H1492" i="5"/>
  <c r="H1491" i="5"/>
  <c r="H1490" i="5"/>
  <c r="H1487" i="5"/>
  <c r="H1451" i="5"/>
  <c r="H1481" i="5"/>
  <c r="H1480" i="5"/>
  <c r="H1479" i="5"/>
  <c r="H1396" i="5"/>
  <c r="H1339" i="5"/>
  <c r="H1033" i="5"/>
  <c r="H1023" i="5"/>
  <c r="H971" i="5"/>
  <c r="H962" i="5"/>
  <c r="H855" i="5"/>
  <c r="H846" i="5"/>
  <c r="H832" i="5"/>
  <c r="H834" i="5"/>
  <c r="H835" i="5"/>
  <c r="H836" i="5"/>
  <c r="H819" i="5"/>
  <c r="H821" i="5"/>
  <c r="H822" i="5"/>
  <c r="H823" i="5"/>
  <c r="H808" i="5"/>
  <c r="H809" i="5"/>
  <c r="H810" i="5"/>
  <c r="H806" i="5"/>
  <c r="H769" i="5"/>
  <c r="H756" i="5"/>
  <c r="H744" i="5"/>
  <c r="H701" i="5"/>
  <c r="H692" i="5"/>
  <c r="H683" i="5"/>
  <c r="H638" i="5"/>
  <c r="H616" i="5"/>
  <c r="H579" i="5"/>
  <c r="H570" i="5"/>
  <c r="H568" i="5"/>
  <c r="H561" i="5"/>
  <c r="H559" i="5"/>
  <c r="H552" i="5"/>
  <c r="H543" i="5"/>
  <c r="H550" i="5"/>
  <c r="H541" i="5"/>
  <c r="H532" i="5"/>
  <c r="H487" i="5" l="1"/>
  <c r="H461" i="5"/>
  <c r="H460" i="5"/>
  <c r="H456" i="5"/>
  <c r="H455" i="5"/>
  <c r="C397" i="5"/>
  <c r="D397" i="5"/>
  <c r="E397" i="5"/>
  <c r="G397" i="5"/>
  <c r="I397" i="5" s="1"/>
  <c r="C398" i="5"/>
  <c r="D398" i="5"/>
  <c r="E398" i="5"/>
  <c r="H398" i="5"/>
  <c r="C399" i="5"/>
  <c r="D399" i="5"/>
  <c r="E399" i="5"/>
  <c r="G399" i="5"/>
  <c r="I399" i="5" s="1"/>
  <c r="C400" i="5"/>
  <c r="D400" i="5"/>
  <c r="E400" i="5"/>
  <c r="G400" i="5"/>
  <c r="I400" i="5" s="1"/>
  <c r="C401" i="5"/>
  <c r="D401" i="5"/>
  <c r="E401" i="5"/>
  <c r="F401" i="5"/>
  <c r="G401" i="5"/>
  <c r="H359" i="5"/>
  <c r="G398" i="5"/>
  <c r="I398" i="5" l="1"/>
  <c r="I401" i="5"/>
  <c r="G4673" i="5" l="1"/>
  <c r="I4673" i="5" s="1"/>
  <c r="G375" i="5"/>
  <c r="I375" i="5" s="1"/>
  <c r="C375" i="5"/>
  <c r="D375" i="5"/>
  <c r="G1562" i="5" l="1"/>
  <c r="I1562" i="5" s="1"/>
  <c r="G5362" i="5"/>
  <c r="I5362" i="5" s="1"/>
  <c r="G5269" i="5"/>
  <c r="I5269" i="5" s="1"/>
  <c r="G5355" i="5"/>
  <c r="I5355" i="5" s="1"/>
  <c r="G2401" i="5"/>
  <c r="I2401" i="5" s="1"/>
  <c r="D4345" i="5"/>
  <c r="C4345" i="5"/>
  <c r="E4345" i="5"/>
  <c r="H342" i="5"/>
  <c r="G343" i="5"/>
  <c r="I343" i="5" s="1"/>
  <c r="D343" i="5"/>
  <c r="C343" i="5"/>
  <c r="H308" i="5"/>
  <c r="H307" i="5"/>
  <c r="H306" i="5"/>
  <c r="H305" i="5"/>
  <c r="H301" i="5"/>
  <c r="H300" i="5"/>
  <c r="H299" i="5"/>
  <c r="H289" i="5"/>
  <c r="H265" i="5"/>
  <c r="H262" i="5"/>
  <c r="H257" i="5"/>
  <c r="H216" i="5"/>
  <c r="H208" i="5"/>
  <c r="I208" i="5" s="1"/>
  <c r="H204" i="5"/>
  <c r="I207" i="5"/>
  <c r="H201" i="5"/>
  <c r="H198" i="5"/>
  <c r="H195" i="5"/>
  <c r="H192" i="5"/>
  <c r="I201" i="5" l="1"/>
  <c r="I195" i="5"/>
  <c r="H189" i="5"/>
  <c r="H184" i="5"/>
  <c r="I184" i="5" s="1"/>
  <c r="H177" i="5"/>
  <c r="I177" i="5" s="1"/>
  <c r="H171" i="5"/>
  <c r="H165" i="5"/>
  <c r="I165" i="5" s="1"/>
  <c r="H159" i="5"/>
  <c r="I159" i="5" s="1"/>
  <c r="H148" i="5"/>
  <c r="I148" i="5" s="1"/>
  <c r="H149" i="5"/>
  <c r="H141" i="5"/>
  <c r="I141" i="5" s="1"/>
  <c r="H135" i="5"/>
  <c r="H123" i="5"/>
  <c r="H129" i="5"/>
  <c r="I129" i="5" s="1"/>
  <c r="E123" i="5"/>
  <c r="D123" i="5"/>
  <c r="C123" i="5"/>
  <c r="E113" i="5"/>
  <c r="D113" i="5"/>
  <c r="C113" i="5"/>
  <c r="E109" i="5"/>
  <c r="D109" i="5"/>
  <c r="C109" i="5"/>
  <c r="G123" i="5"/>
  <c r="H104" i="5"/>
  <c r="G109" i="5" l="1"/>
  <c r="I109" i="5" s="1"/>
  <c r="G113" i="5"/>
  <c r="I113" i="5" s="1"/>
  <c r="I123" i="5"/>
  <c r="H95" i="5" l="1"/>
  <c r="H91" i="5"/>
  <c r="H77" i="5"/>
  <c r="H57" i="5"/>
  <c r="E54" i="5"/>
  <c r="D54" i="5"/>
  <c r="C54" i="5"/>
  <c r="G54" i="5"/>
  <c r="I54" i="5" s="1"/>
  <c r="D29" i="5"/>
  <c r="B70" i="6"/>
  <c r="H35" i="5"/>
  <c r="H11" i="5"/>
  <c r="H7" i="5"/>
  <c r="E585" i="5" l="1"/>
  <c r="D585" i="5"/>
  <c r="C585" i="5"/>
  <c r="D590" i="5"/>
  <c r="C590" i="5"/>
  <c r="H584" i="5"/>
  <c r="H591" i="5" l="1"/>
  <c r="G4654" i="5" l="1"/>
  <c r="D4654" i="5"/>
  <c r="G4653" i="5"/>
  <c r="D4653" i="5"/>
  <c r="D5520" i="5" l="1"/>
  <c r="C5520" i="5"/>
  <c r="D5519" i="5"/>
  <c r="C5519" i="5"/>
  <c r="G5515" i="5"/>
  <c r="I5515" i="5" s="1"/>
  <c r="G5520" i="5"/>
  <c r="I5520" i="5" s="1"/>
  <c r="D5515" i="5"/>
  <c r="C5515" i="5"/>
  <c r="D5514" i="5"/>
  <c r="C5514" i="5"/>
  <c r="D5513" i="5"/>
  <c r="C5513" i="5"/>
  <c r="G5514" i="5" l="1"/>
  <c r="I5514" i="5" s="1"/>
  <c r="G5504" i="5"/>
  <c r="I5504" i="5" s="1"/>
  <c r="D5504" i="5"/>
  <c r="D5495" i="5"/>
  <c r="G5497" i="5"/>
  <c r="I5497" i="5" s="1"/>
  <c r="D5497" i="5"/>
  <c r="C5497" i="5"/>
  <c r="D5496" i="5"/>
  <c r="D5490" i="5"/>
  <c r="C5490" i="5"/>
  <c r="G5490" i="5"/>
  <c r="I5490" i="5" s="1"/>
  <c r="D5488" i="5"/>
  <c r="D5487" i="5"/>
  <c r="D5486" i="5"/>
  <c r="D5485" i="5"/>
  <c r="D5484" i="5"/>
  <c r="D5483" i="5"/>
  <c r="D5482" i="5"/>
  <c r="D5481" i="5"/>
  <c r="D5480" i="5"/>
  <c r="D5479" i="5"/>
  <c r="D5478" i="5"/>
  <c r="D5477" i="5"/>
  <c r="D5476" i="5"/>
  <c r="D5475" i="5"/>
  <c r="C5475" i="5"/>
  <c r="C5476" i="5"/>
  <c r="C5477" i="5"/>
  <c r="C5478" i="5"/>
  <c r="C5479" i="5"/>
  <c r="C5480" i="5"/>
  <c r="C5481" i="5"/>
  <c r="C5482" i="5"/>
  <c r="C5483" i="5"/>
  <c r="C5484" i="5"/>
  <c r="C5485" i="5"/>
  <c r="C5486" i="5"/>
  <c r="C5487" i="5"/>
  <c r="C5488" i="5"/>
  <c r="D5474" i="5"/>
  <c r="C5474" i="5"/>
  <c r="G5488" i="5"/>
  <c r="I5488" i="5" s="1"/>
  <c r="G5487" i="5"/>
  <c r="I5487" i="5" s="1"/>
  <c r="G5486" i="5"/>
  <c r="I5486" i="5" s="1"/>
  <c r="G5485" i="5"/>
  <c r="I5485" i="5" s="1"/>
  <c r="G5484" i="5"/>
  <c r="I5484" i="5" s="1"/>
  <c r="G5483" i="5"/>
  <c r="I5483" i="5" s="1"/>
  <c r="G5482" i="5"/>
  <c r="I5482" i="5" s="1"/>
  <c r="G5481" i="5"/>
  <c r="I5481" i="5" s="1"/>
  <c r="G5480" i="5"/>
  <c r="I5480" i="5" s="1"/>
  <c r="G5479" i="5"/>
  <c r="I5479" i="5" s="1"/>
  <c r="G5478" i="5"/>
  <c r="I5478" i="5" s="1"/>
  <c r="G5477" i="5"/>
  <c r="I5477" i="5" s="1"/>
  <c r="G5476" i="5"/>
  <c r="I5476" i="5" s="1"/>
  <c r="G5475" i="5"/>
  <c r="I5475" i="5" s="1"/>
  <c r="G5474" i="5"/>
  <c r="I5474" i="5" s="1"/>
  <c r="C5472" i="5"/>
  <c r="D5472" i="5"/>
  <c r="D5469" i="5"/>
  <c r="C5469" i="5"/>
  <c r="D5466" i="5"/>
  <c r="C5466" i="5"/>
  <c r="D5463" i="5"/>
  <c r="C5463" i="5"/>
  <c r="D5460" i="5"/>
  <c r="C5460" i="5"/>
  <c r="D5456" i="5"/>
  <c r="G5452" i="5"/>
  <c r="I5452" i="5" s="1"/>
  <c r="D5452" i="5"/>
  <c r="D5448" i="5"/>
  <c r="C5448" i="5"/>
  <c r="G5448" i="5"/>
  <c r="I5448" i="5" s="1"/>
  <c r="D5444" i="5"/>
  <c r="D5443" i="5"/>
  <c r="C5443" i="5"/>
  <c r="D5442" i="5"/>
  <c r="C5442" i="5"/>
  <c r="H4644" i="5"/>
  <c r="D5440" i="5" l="1"/>
  <c r="C5440" i="5"/>
  <c r="G5437" i="5"/>
  <c r="I5437" i="5" s="1"/>
  <c r="D5437" i="5"/>
  <c r="C5437" i="5"/>
  <c r="G5429" i="5"/>
  <c r="G5433" i="5"/>
  <c r="I5433" i="5" s="1"/>
  <c r="D5433" i="5"/>
  <c r="C5433" i="5"/>
  <c r="D5429" i="5"/>
  <c r="C5429" i="5"/>
  <c r="I5429" i="5" l="1"/>
  <c r="D5426" i="5"/>
  <c r="I5425" i="5"/>
  <c r="D5424" i="5"/>
  <c r="G5424" i="5"/>
  <c r="I5424" i="5" s="1"/>
  <c r="G5062" i="5" l="1"/>
  <c r="G5058" i="5"/>
  <c r="G5057" i="5"/>
  <c r="G5056" i="5"/>
  <c r="I5056" i="5" s="1"/>
  <c r="G5055" i="5" s="1"/>
  <c r="D5056" i="5"/>
  <c r="I5053" i="5"/>
  <c r="E5054" i="5"/>
  <c r="G5051" i="5"/>
  <c r="I5051" i="5" s="1"/>
  <c r="G5039" i="5"/>
  <c r="I5039" i="5" s="1"/>
  <c r="G5038" i="5"/>
  <c r="I5038" i="5" s="1"/>
  <c r="G5037" i="5"/>
  <c r="I5037" i="5" s="1"/>
  <c r="D5154" i="5" l="1"/>
  <c r="C5154" i="5"/>
  <c r="G5352" i="5"/>
  <c r="E5352" i="5"/>
  <c r="D5352" i="5"/>
  <c r="C5352" i="5"/>
  <c r="H5356" i="5"/>
  <c r="E5356" i="5"/>
  <c r="D5356" i="5"/>
  <c r="C5356" i="5"/>
  <c r="G5351" i="5"/>
  <c r="I5351" i="5" s="1"/>
  <c r="D5351" i="5"/>
  <c r="C5351" i="5"/>
  <c r="G5350" i="5"/>
  <c r="I5350" i="5" s="1"/>
  <c r="D5350" i="5"/>
  <c r="C5350" i="5"/>
  <c r="G5349" i="5"/>
  <c r="I5349" i="5" s="1"/>
  <c r="D5349" i="5"/>
  <c r="C5349" i="5"/>
  <c r="D5420" i="5" l="1"/>
  <c r="C5420" i="5"/>
  <c r="D5318" i="5" l="1"/>
  <c r="H603" i="5" l="1"/>
  <c r="G2050" i="5"/>
  <c r="I2050" i="5" s="1"/>
  <c r="D2050" i="5"/>
  <c r="C2050" i="5"/>
  <c r="E59" i="5"/>
  <c r="D59" i="5"/>
  <c r="C59" i="5"/>
  <c r="D5174" i="5"/>
  <c r="C5174" i="5"/>
  <c r="D5155" i="5"/>
  <c r="C5155" i="5"/>
  <c r="D5135" i="5"/>
  <c r="C5135" i="5"/>
  <c r="B52" i="6"/>
  <c r="H5129" i="5"/>
  <c r="G5358" i="5" l="1"/>
  <c r="I4658" i="5" l="1"/>
  <c r="G4650" i="5"/>
  <c r="I4650" i="5" s="1"/>
  <c r="E4648" i="5"/>
  <c r="D4648" i="5"/>
  <c r="G4647" i="5"/>
  <c r="G4651" i="5"/>
  <c r="I4651" i="5" s="1"/>
  <c r="C4651" i="5"/>
  <c r="G4655" i="5" l="1"/>
  <c r="I4655" i="5" s="1"/>
  <c r="I4654" i="5"/>
  <c r="D4655" i="5"/>
  <c r="C4655" i="5"/>
  <c r="C4654" i="5"/>
  <c r="C4653" i="5"/>
  <c r="C4652" i="5"/>
  <c r="G4652" i="5"/>
  <c r="I4652" i="5" s="1"/>
  <c r="D4652" i="5"/>
  <c r="I4653" i="5"/>
  <c r="G4635" i="5"/>
  <c r="I4635" i="5" s="1"/>
  <c r="G4636" i="5" s="1"/>
  <c r="D4635" i="5"/>
  <c r="C4635" i="5"/>
  <c r="D4634" i="5"/>
  <c r="C4634" i="5"/>
  <c r="G4634" i="5"/>
  <c r="I4634" i="5" s="1"/>
  <c r="D4633" i="5"/>
  <c r="C4633" i="5"/>
  <c r="D4632" i="5"/>
  <c r="C4632" i="5"/>
  <c r="D4644" i="5"/>
  <c r="C4644" i="5"/>
  <c r="D4643" i="5"/>
  <c r="C4643" i="5"/>
  <c r="G4642" i="5"/>
  <c r="I4642" i="5" s="1"/>
  <c r="D4642" i="5"/>
  <c r="C4642" i="5"/>
  <c r="D4641" i="5"/>
  <c r="C4641" i="5"/>
  <c r="G4640" i="5"/>
  <c r="I4640" i="5" s="1"/>
  <c r="D4640" i="5"/>
  <c r="C4640" i="5"/>
  <c r="G4639" i="5"/>
  <c r="I4639" i="5" s="1"/>
  <c r="D4639" i="5"/>
  <c r="C4639" i="5"/>
  <c r="D4631" i="5"/>
  <c r="C4631" i="5"/>
  <c r="I4636" i="5" l="1"/>
  <c r="D5031" i="5"/>
  <c r="C5031" i="5"/>
  <c r="F5033" i="5"/>
  <c r="H4884" i="5"/>
  <c r="H4751" i="5"/>
  <c r="G4705" i="5" l="1"/>
  <c r="I4705" i="5" s="1"/>
  <c r="G4690" i="5"/>
  <c r="I4690" i="5" s="1"/>
  <c r="E4686" i="5" l="1"/>
  <c r="D4686" i="5"/>
  <c r="C4686" i="5"/>
  <c r="G4685" i="5"/>
  <c r="I4685" i="5" s="1"/>
  <c r="D4685" i="5"/>
  <c r="C4685" i="5"/>
  <c r="D4684" i="5"/>
  <c r="C4684" i="5"/>
  <c r="G4683" i="5"/>
  <c r="I4683" i="5" s="1"/>
  <c r="D4683" i="5"/>
  <c r="C4683" i="5"/>
  <c r="D4682" i="5"/>
  <c r="C4682" i="5"/>
  <c r="D4681" i="5"/>
  <c r="C4681" i="5"/>
  <c r="G4680" i="5"/>
  <c r="I4680" i="5" s="1"/>
  <c r="D4680" i="5"/>
  <c r="C4680" i="5"/>
  <c r="G4679" i="5"/>
  <c r="I4679" i="5" s="1"/>
  <c r="D4679" i="5"/>
  <c r="C4679" i="5"/>
  <c r="G4678" i="5"/>
  <c r="I4678" i="5" s="1"/>
  <c r="G4677" i="5"/>
  <c r="I4677" i="5" s="1"/>
  <c r="D4678" i="5"/>
  <c r="C4678" i="5"/>
  <c r="D4677" i="5"/>
  <c r="C4677" i="5"/>
  <c r="G4676" i="5"/>
  <c r="I4676" i="5" s="1"/>
  <c r="D4676" i="5"/>
  <c r="C4676" i="5"/>
  <c r="D2651" i="5"/>
  <c r="C2651" i="5"/>
  <c r="I1802" i="5"/>
  <c r="I1803" i="5"/>
  <c r="I1801" i="5"/>
  <c r="I1799" i="5"/>
  <c r="I1800" i="5"/>
  <c r="I1797" i="5"/>
  <c r="G1798" i="5"/>
  <c r="I1798" i="5" s="1"/>
  <c r="D1798" i="5"/>
  <c r="C1798" i="5"/>
  <c r="H5352" i="5"/>
  <c r="I5352" i="5" s="1"/>
  <c r="H892" i="5"/>
  <c r="G1796" i="5" l="1"/>
  <c r="D267" i="5"/>
  <c r="C118" i="5"/>
  <c r="D118" i="5"/>
  <c r="E118" i="5"/>
  <c r="I4681" i="5" l="1"/>
  <c r="G4649" i="5"/>
  <c r="I4649" i="5" s="1"/>
  <c r="G5442" i="5" l="1"/>
  <c r="I5442" i="5" s="1"/>
  <c r="G5059" i="5" l="1"/>
  <c r="G5443" i="5"/>
  <c r="I5443" i="5" s="1"/>
  <c r="G2651" i="5"/>
  <c r="H5415" i="5" l="1"/>
  <c r="I5415" i="5" s="1"/>
  <c r="H5416" i="5"/>
  <c r="G5418" i="5"/>
  <c r="I5418" i="5" s="1"/>
  <c r="E5418" i="5"/>
  <c r="D5418" i="5"/>
  <c r="C5418" i="5"/>
  <c r="D5416" i="5"/>
  <c r="C5416" i="5"/>
  <c r="D5414" i="5"/>
  <c r="C5414" i="5"/>
  <c r="G5413" i="5"/>
  <c r="I5413" i="5" s="1"/>
  <c r="D5413" i="5"/>
  <c r="G5407" i="5" l="1"/>
  <c r="I5407" i="5" s="1"/>
  <c r="G5404" i="5"/>
  <c r="I5404" i="5" s="1"/>
  <c r="G5406" i="5"/>
  <c r="I5406" i="5" s="1"/>
  <c r="D5406" i="5"/>
  <c r="C5406" i="5"/>
  <c r="C5405" i="5"/>
  <c r="I5408" i="5"/>
  <c r="I5405" i="5"/>
  <c r="G5398" i="5" l="1"/>
  <c r="I5398" i="5" s="1"/>
  <c r="D5398" i="5"/>
  <c r="G5400" i="5"/>
  <c r="I5400" i="5" s="1"/>
  <c r="D5400" i="5"/>
  <c r="C5400" i="5"/>
  <c r="D5399" i="5"/>
  <c r="C5399" i="5"/>
  <c r="G5397" i="5"/>
  <c r="I5397" i="5" s="1"/>
  <c r="D5397" i="5"/>
  <c r="C5397" i="5"/>
  <c r="D5394" i="5"/>
  <c r="C5394" i="5"/>
  <c r="C5393" i="5"/>
  <c r="G5392" i="5"/>
  <c r="I5392" i="5" s="1"/>
  <c r="E5392" i="5"/>
  <c r="C5392" i="5"/>
  <c r="G576" i="5" l="1"/>
  <c r="G575" i="5"/>
  <c r="D5389" i="5" l="1"/>
  <c r="C5389" i="5"/>
  <c r="C5388" i="5"/>
  <c r="G5388" i="5"/>
  <c r="I5388" i="5" s="1"/>
  <c r="D5388" i="5"/>
  <c r="D5387" i="5"/>
  <c r="E5388" i="5"/>
  <c r="D5379" i="5"/>
  <c r="G5380" i="5"/>
  <c r="I5380" i="5" s="1"/>
  <c r="G5379" i="5" s="1"/>
  <c r="D5380" i="5"/>
  <c r="C5380" i="5"/>
  <c r="D5385" i="5"/>
  <c r="C5385" i="5"/>
  <c r="G5384" i="5"/>
  <c r="I5384" i="5" s="1"/>
  <c r="D5384" i="5"/>
  <c r="C5384" i="5"/>
  <c r="D5377" i="5"/>
  <c r="C5377" i="5"/>
  <c r="G5376" i="5"/>
  <c r="I5376" i="5" s="1"/>
  <c r="E5376" i="5"/>
  <c r="D5376" i="5"/>
  <c r="C5376" i="5"/>
  <c r="D5373" i="5" l="1"/>
  <c r="C5373" i="5"/>
  <c r="D5372" i="5"/>
  <c r="C5372" i="5"/>
  <c r="I5367" i="5"/>
  <c r="G5369" i="5" s="1"/>
  <c r="G5370" i="5"/>
  <c r="I5370" i="5" s="1"/>
  <c r="D5370" i="5"/>
  <c r="C5370" i="5"/>
  <c r="D5366" i="5"/>
  <c r="C5366" i="5"/>
  <c r="G5365" i="5"/>
  <c r="I5365" i="5" s="1"/>
  <c r="D5365" i="5"/>
  <c r="C5365" i="5"/>
  <c r="G5359" i="5"/>
  <c r="I5359" i="5" s="1"/>
  <c r="D5359" i="5"/>
  <c r="C5359" i="5"/>
  <c r="I5358" i="5"/>
  <c r="D5358" i="5"/>
  <c r="C5358" i="5"/>
  <c r="I5369" i="5" l="1"/>
  <c r="G5368" i="5"/>
  <c r="E5348" i="5"/>
  <c r="B5349" i="5"/>
  <c r="B5353" i="5"/>
  <c r="F5353" i="5"/>
  <c r="H5354" i="5"/>
  <c r="I5368" i="5" l="1"/>
  <c r="C4291" i="5"/>
  <c r="D4291" i="5"/>
  <c r="E4291" i="5"/>
  <c r="G4291" i="5"/>
  <c r="I4291" i="5" s="1"/>
  <c r="C4292" i="5"/>
  <c r="D4292" i="5"/>
  <c r="E4292" i="5"/>
  <c r="H4292" i="5"/>
  <c r="C4293" i="5"/>
  <c r="D4293" i="5"/>
  <c r="E4293" i="5"/>
  <c r="G5273" i="5" l="1"/>
  <c r="G5272" i="5"/>
  <c r="G5076" i="5"/>
  <c r="G5254" i="5"/>
  <c r="G5253" i="5"/>
  <c r="G5252" i="5"/>
  <c r="G5245" i="5"/>
  <c r="G5244" i="5"/>
  <c r="G5243" i="5"/>
  <c r="G5242" i="5"/>
  <c r="G5235" i="5"/>
  <c r="G5234" i="5"/>
  <c r="G5233" i="5"/>
  <c r="G5227" i="5"/>
  <c r="G5223" i="5"/>
  <c r="G5222" i="5"/>
  <c r="G5216" i="5"/>
  <c r="C2036" i="5" l="1"/>
  <c r="G5334" i="5" l="1"/>
  <c r="D5334" i="5"/>
  <c r="C5334" i="5"/>
  <c r="G5333" i="5"/>
  <c r="D5333" i="5"/>
  <c r="C5333" i="5"/>
  <c r="D5332" i="5"/>
  <c r="C5332" i="5"/>
  <c r="D5331" i="5"/>
  <c r="C5331" i="5"/>
  <c r="G5331" i="5"/>
  <c r="D5336" i="5"/>
  <c r="C5336" i="5"/>
  <c r="D5335" i="5"/>
  <c r="C5335" i="5"/>
  <c r="D5322" i="5"/>
  <c r="C5322" i="5"/>
  <c r="C5321" i="5"/>
  <c r="G5320" i="5"/>
  <c r="D5320" i="5"/>
  <c r="C5320" i="5"/>
  <c r="G5319" i="5"/>
  <c r="D5319" i="5"/>
  <c r="C5319" i="5"/>
  <c r="G5318" i="5"/>
  <c r="C5318" i="5"/>
  <c r="D5345" i="5"/>
  <c r="C5345" i="5"/>
  <c r="D5344" i="5"/>
  <c r="C5344" i="5"/>
  <c r="G5343" i="5"/>
  <c r="I5343" i="5" s="1"/>
  <c r="D5343" i="5"/>
  <c r="C5343" i="5"/>
  <c r="H5342" i="5"/>
  <c r="H5341" i="5"/>
  <c r="G5342" i="5"/>
  <c r="D5342" i="5"/>
  <c r="C5342" i="5"/>
  <c r="G5341" i="5"/>
  <c r="D5341" i="5"/>
  <c r="C5341" i="5"/>
  <c r="G5315" i="5"/>
  <c r="D5315" i="5"/>
  <c r="C5315" i="5"/>
  <c r="D5314" i="5"/>
  <c r="C5314" i="5"/>
  <c r="D5313" i="5"/>
  <c r="C5313" i="5"/>
  <c r="D5312" i="5"/>
  <c r="C5312" i="5"/>
  <c r="G5311" i="5"/>
  <c r="D5311" i="5"/>
  <c r="C5311" i="5"/>
  <c r="G5310" i="5"/>
  <c r="D5310" i="5"/>
  <c r="C5310" i="5"/>
  <c r="E5309" i="5"/>
  <c r="B5310" i="5"/>
  <c r="E5310" i="5"/>
  <c r="F5310" i="5"/>
  <c r="H5310" i="5"/>
  <c r="E5311" i="5"/>
  <c r="F5311" i="5"/>
  <c r="B5312" i="5"/>
  <c r="E5312" i="5"/>
  <c r="F5312" i="5"/>
  <c r="E5313" i="5"/>
  <c r="F5313" i="5"/>
  <c r="B5314" i="5"/>
  <c r="E5314" i="5"/>
  <c r="F5314" i="5"/>
  <c r="H5314" i="5"/>
  <c r="E5315" i="5"/>
  <c r="F5315" i="5"/>
  <c r="C5316" i="5"/>
  <c r="D5316" i="5"/>
  <c r="E5316" i="5"/>
  <c r="F5316" i="5"/>
  <c r="H5316" i="5"/>
  <c r="E5317" i="5"/>
  <c r="B5318" i="5"/>
  <c r="E5318" i="5"/>
  <c r="F5318" i="5"/>
  <c r="H5318" i="5"/>
  <c r="E5319" i="5"/>
  <c r="F5319" i="5"/>
  <c r="H5319" i="5"/>
  <c r="E5320" i="5"/>
  <c r="F5320" i="5"/>
  <c r="H5320" i="5"/>
  <c r="B5321" i="5"/>
  <c r="D5321" i="5"/>
  <c r="E5321" i="5"/>
  <c r="F5321" i="5"/>
  <c r="E5322" i="5"/>
  <c r="F5322" i="5"/>
  <c r="B5323" i="5"/>
  <c r="C5323" i="5"/>
  <c r="D5323" i="5"/>
  <c r="E5323" i="5"/>
  <c r="F5323" i="5"/>
  <c r="H5323" i="5"/>
  <c r="C5324" i="5"/>
  <c r="D5324" i="5"/>
  <c r="E5324" i="5"/>
  <c r="F5324" i="5"/>
  <c r="H5324" i="5"/>
  <c r="E5330" i="5"/>
  <c r="B5331" i="5"/>
  <c r="E5331" i="5"/>
  <c r="F5331" i="5"/>
  <c r="H5331" i="5"/>
  <c r="E5332" i="5"/>
  <c r="F5332" i="5"/>
  <c r="H5332" i="5"/>
  <c r="E5333" i="5"/>
  <c r="F5333" i="5"/>
  <c r="H5333" i="5"/>
  <c r="E5334" i="5"/>
  <c r="F5334" i="5"/>
  <c r="H5334" i="5"/>
  <c r="B5335" i="5"/>
  <c r="E5335" i="5"/>
  <c r="F5335" i="5"/>
  <c r="H5335" i="5"/>
  <c r="E5336" i="5"/>
  <c r="F5336" i="5"/>
  <c r="H5336" i="5"/>
  <c r="B5337" i="5"/>
  <c r="C5337" i="5"/>
  <c r="D5337" i="5"/>
  <c r="E5337" i="5"/>
  <c r="F5337" i="5"/>
  <c r="H5337" i="5"/>
  <c r="C5338" i="5"/>
  <c r="D5338" i="5"/>
  <c r="E5338" i="5"/>
  <c r="F5338" i="5"/>
  <c r="H5338" i="5"/>
  <c r="I5319" i="5" l="1"/>
  <c r="I5318" i="5"/>
  <c r="I5333" i="5"/>
  <c r="I5334" i="5"/>
  <c r="I5320" i="5"/>
  <c r="I5331" i="5"/>
  <c r="I5342" i="5"/>
  <c r="I5315" i="5"/>
  <c r="I5341" i="5"/>
  <c r="I5311" i="5"/>
  <c r="I5310" i="5"/>
  <c r="G5316" i="5" l="1"/>
  <c r="G5347" i="5"/>
  <c r="I5316" i="5" l="1"/>
  <c r="G3642" i="5"/>
  <c r="I3642" i="5" s="1"/>
  <c r="D3642" i="5"/>
  <c r="E3645" i="5"/>
  <c r="C3645" i="5"/>
  <c r="E3644" i="5"/>
  <c r="C3644" i="5"/>
  <c r="E3643" i="5"/>
  <c r="C3643" i="5"/>
  <c r="E3642" i="5"/>
  <c r="C3642" i="5"/>
  <c r="C3441" i="5"/>
  <c r="D3441" i="5"/>
  <c r="E3441" i="5"/>
  <c r="G3441" i="5"/>
  <c r="I3441" i="5" s="1"/>
  <c r="H4092" i="5" l="1"/>
  <c r="G5399" i="5" l="1"/>
  <c r="I5399" i="5" s="1"/>
  <c r="G5246" i="5"/>
  <c r="G5241" i="5"/>
  <c r="G5078" i="5"/>
  <c r="G5077" i="5"/>
  <c r="G5226" i="5" l="1"/>
  <c r="G5225" i="5"/>
  <c r="G5332" i="5"/>
  <c r="I5332" i="5" s="1"/>
  <c r="G5338" i="5" s="1"/>
  <c r="G5232" i="5"/>
  <c r="I5338" i="5" l="1"/>
  <c r="G5372" i="5"/>
  <c r="I5372" i="5" s="1"/>
  <c r="G5217" i="5"/>
  <c r="G5236" i="5"/>
  <c r="G5224" i="5"/>
  <c r="G5164" i="5"/>
  <c r="I5164" i="5" s="1"/>
  <c r="G5165" i="5"/>
  <c r="I5165" i="5" s="1"/>
  <c r="H5306" i="5" l="1"/>
  <c r="I5306" i="5" s="1"/>
  <c r="G5305" i="5"/>
  <c r="I5305" i="5" s="1"/>
  <c r="D5305" i="5"/>
  <c r="C5305" i="5"/>
  <c r="I5303" i="5"/>
  <c r="H5300" i="5"/>
  <c r="I5299" i="5"/>
  <c r="I5298" i="5"/>
  <c r="I5297" i="5"/>
  <c r="I5296" i="5"/>
  <c r="H5292" i="5"/>
  <c r="I5292" i="5" s="1"/>
  <c r="E5294" i="5"/>
  <c r="D5294" i="5"/>
  <c r="C5294" i="5"/>
  <c r="H5290" i="5"/>
  <c r="D5291" i="5"/>
  <c r="H5291" i="5"/>
  <c r="G5291" i="5"/>
  <c r="G5290" i="5"/>
  <c r="C5291" i="5"/>
  <c r="D5290" i="5"/>
  <c r="C5290" i="5"/>
  <c r="I5284" i="5"/>
  <c r="I5283" i="5"/>
  <c r="I5290" i="5" l="1"/>
  <c r="I5291" i="5"/>
  <c r="G5307" i="5"/>
  <c r="G5308" i="5"/>
  <c r="G5294" i="5"/>
  <c r="G5293" i="5"/>
  <c r="I5294" i="5" l="1"/>
  <c r="I5308" i="5"/>
  <c r="I5307" i="5"/>
  <c r="I5293" i="5"/>
  <c r="I5273" i="5"/>
  <c r="D5273" i="5"/>
  <c r="I5272" i="5"/>
  <c r="I5268" i="5"/>
  <c r="G5263" i="5"/>
  <c r="I5263" i="5" s="1"/>
  <c r="G5264" i="5" s="1"/>
  <c r="I5262" i="5"/>
  <c r="I5261" i="5"/>
  <c r="I5260" i="5"/>
  <c r="G5259" i="5"/>
  <c r="I5259" i="5" s="1"/>
  <c r="I5254" i="5"/>
  <c r="I5253" i="5"/>
  <c r="I5252" i="5"/>
  <c r="D5251" i="5"/>
  <c r="D5248" i="5"/>
  <c r="D5247" i="5"/>
  <c r="I5246" i="5"/>
  <c r="I5245" i="5"/>
  <c r="I5244" i="5"/>
  <c r="I5243" i="5"/>
  <c r="I5242" i="5"/>
  <c r="I5241" i="5"/>
  <c r="D5237" i="5"/>
  <c r="I5236" i="5"/>
  <c r="I5235" i="5"/>
  <c r="I5234" i="5"/>
  <c r="I5233" i="5"/>
  <c r="I5232" i="5"/>
  <c r="I5227" i="5"/>
  <c r="I5226" i="5"/>
  <c r="I5225" i="5"/>
  <c r="I5224" i="5"/>
  <c r="I5223" i="5"/>
  <c r="I5222" i="5"/>
  <c r="I5217" i="5"/>
  <c r="I5216" i="5"/>
  <c r="D5216" i="5"/>
  <c r="G5304" i="5" l="1"/>
  <c r="G5289" i="5"/>
  <c r="I5264" i="5"/>
  <c r="G5258" i="5" s="1"/>
  <c r="G5279" i="5" l="1"/>
  <c r="I5279" i="5" s="1"/>
  <c r="D5279" i="5"/>
  <c r="E5278" i="5"/>
  <c r="D5278" i="5"/>
  <c r="C5278" i="5"/>
  <c r="G5278" i="5"/>
  <c r="I5278" i="5" s="1"/>
  <c r="D5213" i="5" l="1"/>
  <c r="G5211" i="5"/>
  <c r="H5211" i="5"/>
  <c r="D5211" i="5"/>
  <c r="E5213" i="5"/>
  <c r="E5208" i="5"/>
  <c r="D5208" i="5"/>
  <c r="C5208" i="5"/>
  <c r="G5206" i="5"/>
  <c r="I5206" i="5" s="1"/>
  <c r="D5206" i="5"/>
  <c r="I5211" i="5" l="1"/>
  <c r="D5201" i="5"/>
  <c r="G5188" i="5" l="1"/>
  <c r="I5188" i="5" s="1"/>
  <c r="G5187" i="5"/>
  <c r="I5187" i="5" s="1"/>
  <c r="G5185" i="5"/>
  <c r="I5185" i="5" s="1"/>
  <c r="G5184" i="5"/>
  <c r="I5184" i="5" s="1"/>
  <c r="G5183" i="5"/>
  <c r="I5183" i="5" s="1"/>
  <c r="G5179" i="5"/>
  <c r="I5179" i="5" s="1"/>
  <c r="G5178" i="5"/>
  <c r="I5178" i="5" s="1"/>
  <c r="G5177" i="5"/>
  <c r="I5177" i="5" s="1"/>
  <c r="G5176" i="5"/>
  <c r="I5176" i="5" s="1"/>
  <c r="G5170" i="5"/>
  <c r="I5170" i="5" s="1"/>
  <c r="G5171" i="5"/>
  <c r="I5171" i="5" s="1"/>
  <c r="I5159" i="5"/>
  <c r="I5158" i="5"/>
  <c r="G5166" i="5"/>
  <c r="I5166" i="5" s="1"/>
  <c r="G5163" i="5"/>
  <c r="I5163" i="5" s="1"/>
  <c r="D5152" i="5"/>
  <c r="G5153" i="5"/>
  <c r="I5153" i="5" s="1"/>
  <c r="G5152" i="5"/>
  <c r="I5152" i="5" s="1"/>
  <c r="G5151" i="5"/>
  <c r="I5151" i="5" s="1"/>
  <c r="D5151" i="5"/>
  <c r="D5144" i="5"/>
  <c r="C5143" i="5"/>
  <c r="D5143" i="5"/>
  <c r="G5143" i="5"/>
  <c r="I5143" i="5" s="1"/>
  <c r="G5142" i="5"/>
  <c r="I5142" i="5" s="1"/>
  <c r="G5138" i="5"/>
  <c r="I5138" i="5" s="1"/>
  <c r="G5134" i="5"/>
  <c r="I5134" i="5" s="1"/>
  <c r="D5134" i="5"/>
  <c r="G5133" i="5"/>
  <c r="D5133" i="5"/>
  <c r="I5129" i="5"/>
  <c r="D5130" i="5"/>
  <c r="I5125" i="5"/>
  <c r="D5126" i="5"/>
  <c r="G5119" i="5"/>
  <c r="I5119" i="5" s="1"/>
  <c r="G5115" i="5"/>
  <c r="I5115" i="5" s="1"/>
  <c r="D5112" i="5"/>
  <c r="G5111" i="5"/>
  <c r="I5111" i="5" s="1"/>
  <c r="D5111" i="5"/>
  <c r="I5105" i="5"/>
  <c r="I5106" i="5"/>
  <c r="G5104" i="5"/>
  <c r="I5104" i="5" s="1"/>
  <c r="D5104" i="5"/>
  <c r="D5102" i="5"/>
  <c r="C5102" i="5"/>
  <c r="C5101" i="5"/>
  <c r="D5101" i="5"/>
  <c r="G5100" i="5"/>
  <c r="I5100" i="5" s="1"/>
  <c r="D5100" i="5"/>
  <c r="C5100" i="5"/>
  <c r="D5096" i="5"/>
  <c r="C5096" i="5"/>
  <c r="G5095" i="5"/>
  <c r="I5095" i="5" s="1"/>
  <c r="D5095" i="5"/>
  <c r="C5095" i="5"/>
  <c r="G5094" i="5"/>
  <c r="I5094" i="5" s="1"/>
  <c r="D5094" i="5"/>
  <c r="C5094" i="5"/>
  <c r="I5133" i="5" l="1"/>
  <c r="G3855" i="5"/>
  <c r="D3855" i="5"/>
  <c r="G5089" i="5"/>
  <c r="I5089" i="5" s="1"/>
  <c r="D5089" i="5"/>
  <c r="D5090" i="5"/>
  <c r="G5088" i="5"/>
  <c r="I5088" i="5" s="1"/>
  <c r="C5088" i="5"/>
  <c r="D5088" i="5"/>
  <c r="D5084" i="5" l="1"/>
  <c r="G5083" i="5"/>
  <c r="I5083" i="5" s="1"/>
  <c r="D5083" i="5"/>
  <c r="I5077" i="5"/>
  <c r="I5078" i="5"/>
  <c r="I5076" i="5"/>
  <c r="G5071" i="5"/>
  <c r="I5071" i="5" s="1"/>
  <c r="G5070" i="5"/>
  <c r="I5070" i="5" s="1"/>
  <c r="G5069" i="5"/>
  <c r="I5069" i="5" s="1"/>
  <c r="D5072" i="5"/>
  <c r="D2788" i="5"/>
  <c r="G5064" i="5"/>
  <c r="D5064" i="5"/>
  <c r="E5067" i="5"/>
  <c r="D5067" i="5"/>
  <c r="D5066" i="5"/>
  <c r="G5065" i="5"/>
  <c r="D5065" i="5"/>
  <c r="E5064" i="5"/>
  <c r="C5064" i="5"/>
  <c r="H5066" i="5"/>
  <c r="H5065" i="5"/>
  <c r="H5064" i="5"/>
  <c r="I5064" i="5" l="1"/>
  <c r="I5065" i="5"/>
  <c r="D600" i="5"/>
  <c r="F286" i="5" l="1"/>
  <c r="F5006" i="5" l="1"/>
  <c r="F5005" i="5"/>
  <c r="F4991" i="5"/>
  <c r="F4990" i="5"/>
  <c r="F4956" i="5"/>
  <c r="F4955" i="5"/>
  <c r="F1466" i="5" l="1"/>
  <c r="F1405" i="5"/>
  <c r="F1402" i="5"/>
  <c r="F1399" i="5"/>
  <c r="F572" i="5"/>
  <c r="F4553" i="5"/>
  <c r="G4675" i="5" l="1"/>
  <c r="I4675" i="5" s="1"/>
  <c r="D4688" i="5"/>
  <c r="D4687" i="5"/>
  <c r="D4675" i="5"/>
  <c r="F4559" i="5" l="1"/>
  <c r="E4559" i="5" l="1"/>
  <c r="D4559" i="5"/>
  <c r="F1471" i="5"/>
  <c r="E1471" i="5"/>
  <c r="D1471" i="5"/>
  <c r="F1462" i="5"/>
  <c r="E1462" i="5"/>
  <c r="D1462" i="5"/>
  <c r="F1456" i="5" l="1"/>
  <c r="E1456" i="5"/>
  <c r="D1456" i="5"/>
  <c r="F1431" i="5" l="1"/>
  <c r="E1431" i="5"/>
  <c r="D1431" i="5"/>
  <c r="F540" i="5" l="1"/>
  <c r="F4997" i="5" l="1"/>
  <c r="F4819" i="5"/>
  <c r="F4802" i="5"/>
  <c r="F4788" i="5"/>
  <c r="F4774" i="5"/>
  <c r="F4501" i="5"/>
  <c r="F4494" i="5"/>
  <c r="F4471" i="5"/>
  <c r="F4206" i="5"/>
  <c r="F1447" i="5"/>
  <c r="F1330" i="5"/>
  <c r="F1314" i="5"/>
  <c r="F1204" i="5"/>
  <c r="F1191" i="5"/>
  <c r="F1178" i="5"/>
  <c r="F1165" i="5"/>
  <c r="F1157" i="5"/>
  <c r="D1062" i="5"/>
  <c r="F1062" i="5"/>
  <c r="F1003" i="5"/>
  <c r="F974" i="5"/>
  <c r="F965" i="5"/>
  <c r="F910" i="5"/>
  <c r="F896" i="5"/>
  <c r="F872" i="5"/>
  <c r="F864" i="5"/>
  <c r="F837" i="5"/>
  <c r="F824" i="5"/>
  <c r="F811" i="5"/>
  <c r="F772" i="5"/>
  <c r="F759" i="5"/>
  <c r="F724" i="5"/>
  <c r="F578" i="5"/>
  <c r="D578" i="5"/>
  <c r="D567" i="5"/>
  <c r="F567" i="5"/>
  <c r="D558" i="5"/>
  <c r="F558" i="5"/>
  <c r="D549" i="5"/>
  <c r="F549" i="5"/>
  <c r="D540" i="5" l="1"/>
  <c r="G4609" i="5" l="1"/>
  <c r="I4609" i="5" s="1"/>
  <c r="G4608" i="5"/>
  <c r="I4608" i="5" s="1"/>
  <c r="G4606" i="5"/>
  <c r="I4606" i="5" s="1"/>
  <c r="G5033" i="5" l="1"/>
  <c r="I5033" i="5" l="1"/>
  <c r="G5032" i="5" s="1"/>
  <c r="G5029" i="5"/>
  <c r="I5029" i="5" s="1"/>
  <c r="G5026" i="5"/>
  <c r="I5026" i="5" s="1"/>
  <c r="G5024" i="5"/>
  <c r="I5024" i="5" s="1"/>
  <c r="G5022" i="5"/>
  <c r="I5022" i="5" s="1"/>
  <c r="G5021" i="5"/>
  <c r="I5021" i="5" s="1"/>
  <c r="G5019" i="5"/>
  <c r="I5019" i="5" s="1"/>
  <c r="G5031" i="5" l="1"/>
  <c r="G4607" i="5"/>
  <c r="I4607" i="5" l="1"/>
  <c r="I5031" i="5"/>
  <c r="H4769" i="5"/>
  <c r="H4308" i="5"/>
  <c r="H4281" i="5"/>
  <c r="H4272" i="5"/>
  <c r="H4239" i="5"/>
  <c r="H2094" i="5"/>
  <c r="G1466" i="5"/>
  <c r="H781" i="5"/>
  <c r="C635" i="5"/>
  <c r="D635" i="5"/>
  <c r="E635" i="5"/>
  <c r="G5027" i="5"/>
  <c r="I5027" i="5" s="1"/>
  <c r="H370" i="5"/>
  <c r="G5020" i="5" l="1"/>
  <c r="I5020" i="5" s="1"/>
  <c r="G5023" i="5"/>
  <c r="I5023" i="5" s="1"/>
  <c r="G5025" i="5"/>
  <c r="I5025" i="5" s="1"/>
  <c r="C14" i="6" l="1"/>
  <c r="B14" i="6"/>
  <c r="C11" i="6"/>
  <c r="B11" i="6"/>
  <c r="G3939" i="5" l="1"/>
  <c r="I3939" i="5" s="1"/>
  <c r="D335" i="5"/>
  <c r="G3501" i="5"/>
  <c r="I3501" i="5" s="1"/>
  <c r="G2527" i="5"/>
  <c r="I2527" i="5" s="1"/>
  <c r="G3486" i="5"/>
  <c r="I3486" i="5" s="1"/>
  <c r="G3834" i="5"/>
  <c r="I3834" i="5" s="1"/>
  <c r="G2135" i="5"/>
  <c r="I2135" i="5" s="1"/>
  <c r="G1367" i="5"/>
  <c r="I1367" i="5" s="1"/>
  <c r="G2638" i="5"/>
  <c r="I2638" i="5" s="1"/>
  <c r="W1459" i="5"/>
  <c r="G4980" i="5"/>
  <c r="I4980" i="5" s="1"/>
  <c r="G5003" i="5"/>
  <c r="I5003" i="5" s="1"/>
  <c r="O1459" i="5"/>
  <c r="L553" i="5"/>
  <c r="L544" i="5"/>
  <c r="L1459" i="5"/>
  <c r="F62" i="6"/>
  <c r="G5004" i="5"/>
  <c r="I5004" i="5" s="1"/>
  <c r="L3521" i="5"/>
  <c r="J799" i="5"/>
  <c r="J266" i="5"/>
  <c r="Q28" i="6"/>
  <c r="Q31" i="6" s="1"/>
  <c r="Q33" i="6" s="1"/>
  <c r="O28" i="6"/>
  <c r="P15" i="6"/>
  <c r="P13" i="6"/>
  <c r="P12" i="6"/>
  <c r="F4395" i="5"/>
  <c r="F4182" i="5"/>
  <c r="E12" i="5"/>
  <c r="C12" i="5"/>
  <c r="E11" i="5"/>
  <c r="C11" i="5"/>
  <c r="G3253" i="5"/>
  <c r="I3253" i="5" s="1"/>
  <c r="F4496" i="5"/>
  <c r="F4489" i="5"/>
  <c r="H4891" i="5"/>
  <c r="G4179" i="5"/>
  <c r="I4179" i="5" s="1"/>
  <c r="E4179" i="5"/>
  <c r="D4179" i="5"/>
  <c r="C4179" i="5"/>
  <c r="H4183" i="5"/>
  <c r="H4396" i="5"/>
  <c r="G1143" i="5"/>
  <c r="I1143" i="5" s="1"/>
  <c r="H5015" i="5"/>
  <c r="E5014" i="5"/>
  <c r="D5014" i="5"/>
  <c r="C5014" i="5"/>
  <c r="G5014" i="5"/>
  <c r="I5014" i="5" s="1"/>
  <c r="E5017" i="5"/>
  <c r="D5017" i="5"/>
  <c r="C5017" i="5"/>
  <c r="E5016" i="5"/>
  <c r="D5016" i="5"/>
  <c r="C5016" i="5"/>
  <c r="E5015" i="5"/>
  <c r="D5015" i="5"/>
  <c r="C5015" i="5"/>
  <c r="H1446" i="5"/>
  <c r="H1443" i="5"/>
  <c r="H4203" i="5"/>
  <c r="H861" i="5"/>
  <c r="G5005" i="5"/>
  <c r="E5005" i="5"/>
  <c r="D5005" i="5"/>
  <c r="C5005" i="5"/>
  <c r="G4991" i="5"/>
  <c r="E4991" i="5"/>
  <c r="D4991" i="5"/>
  <c r="C4991" i="5"/>
  <c r="G4990" i="5"/>
  <c r="E4990" i="5"/>
  <c r="D4990" i="5"/>
  <c r="C4990" i="5"/>
  <c r="G5012" i="5"/>
  <c r="I5012" i="5" s="1"/>
  <c r="E5012" i="5"/>
  <c r="D5012" i="5"/>
  <c r="C5012" i="5"/>
  <c r="E5011" i="5"/>
  <c r="D5011" i="5"/>
  <c r="C5011" i="5"/>
  <c r="E5010" i="5"/>
  <c r="D5010" i="5"/>
  <c r="C5010" i="5"/>
  <c r="E5009" i="5"/>
  <c r="D5009" i="5"/>
  <c r="C5009" i="5"/>
  <c r="E5008" i="5"/>
  <c r="D5008" i="5"/>
  <c r="C5008" i="5"/>
  <c r="E5007" i="5"/>
  <c r="D5007" i="5"/>
  <c r="C5007" i="5"/>
  <c r="E5004" i="5"/>
  <c r="D5004" i="5"/>
  <c r="C5004" i="5"/>
  <c r="E5003" i="5"/>
  <c r="D5003" i="5"/>
  <c r="C5003" i="5"/>
  <c r="G5002" i="5"/>
  <c r="I5002" i="5" s="1"/>
  <c r="E5002" i="5"/>
  <c r="D5002" i="5"/>
  <c r="C5002" i="5"/>
  <c r="G5001" i="5"/>
  <c r="I5001" i="5" s="1"/>
  <c r="E5001" i="5"/>
  <c r="D5001" i="5"/>
  <c r="C5001" i="5"/>
  <c r="G5000" i="5"/>
  <c r="I5000" i="5" s="1"/>
  <c r="E5000" i="5"/>
  <c r="D5000" i="5"/>
  <c r="C5000" i="5"/>
  <c r="E4999" i="5"/>
  <c r="D4999" i="5"/>
  <c r="C4999" i="5"/>
  <c r="G4997" i="5"/>
  <c r="I4997" i="5" s="1"/>
  <c r="E4997" i="5"/>
  <c r="D4997" i="5"/>
  <c r="C4997" i="5"/>
  <c r="E4996" i="5"/>
  <c r="D4996" i="5"/>
  <c r="C4996" i="5"/>
  <c r="E4995" i="5"/>
  <c r="D4995" i="5"/>
  <c r="C4995" i="5"/>
  <c r="E4994" i="5"/>
  <c r="D4994" i="5"/>
  <c r="C4994" i="5"/>
  <c r="E4993" i="5"/>
  <c r="D4993" i="5"/>
  <c r="C4993" i="5"/>
  <c r="E4992" i="5"/>
  <c r="D4992" i="5"/>
  <c r="C4992" i="5"/>
  <c r="E4989" i="5"/>
  <c r="D4989" i="5"/>
  <c r="C4989" i="5"/>
  <c r="E4988" i="5"/>
  <c r="D4988" i="5"/>
  <c r="C4988" i="5"/>
  <c r="G4987" i="5"/>
  <c r="I4987" i="5" s="1"/>
  <c r="E4987" i="5"/>
  <c r="D4987" i="5"/>
  <c r="C4987" i="5"/>
  <c r="G4986" i="5"/>
  <c r="I4986" i="5" s="1"/>
  <c r="E4986" i="5"/>
  <c r="D4986" i="5"/>
  <c r="C4986" i="5"/>
  <c r="G4985" i="5"/>
  <c r="I4985" i="5" s="1"/>
  <c r="E4985" i="5"/>
  <c r="D4985" i="5"/>
  <c r="C4985" i="5"/>
  <c r="E4984" i="5"/>
  <c r="D4984" i="5"/>
  <c r="C4984" i="5"/>
  <c r="E4921" i="5"/>
  <c r="D4921" i="5"/>
  <c r="C4921" i="5"/>
  <c r="E4920" i="5"/>
  <c r="D4920" i="5"/>
  <c r="C4920" i="5"/>
  <c r="E4919" i="5"/>
  <c r="D4919" i="5"/>
  <c r="C4919" i="5"/>
  <c r="E4918" i="5"/>
  <c r="D4918" i="5"/>
  <c r="C4918" i="5"/>
  <c r="E4917" i="5"/>
  <c r="D4917" i="5"/>
  <c r="C4917" i="5"/>
  <c r="E4916" i="5"/>
  <c r="D4916" i="5"/>
  <c r="C4916" i="5"/>
  <c r="G4915" i="5"/>
  <c r="I4915" i="5" s="1"/>
  <c r="E4915" i="5"/>
  <c r="D4915" i="5"/>
  <c r="C4915" i="5"/>
  <c r="G4914" i="5"/>
  <c r="I4914" i="5" s="1"/>
  <c r="E4914" i="5"/>
  <c r="D4914" i="5"/>
  <c r="C4914" i="5"/>
  <c r="G4913" i="5"/>
  <c r="I4913" i="5" s="1"/>
  <c r="E4913" i="5"/>
  <c r="D4913" i="5"/>
  <c r="C4913" i="5"/>
  <c r="G4912" i="5"/>
  <c r="I4912" i="5" s="1"/>
  <c r="E4912" i="5"/>
  <c r="D4912" i="5"/>
  <c r="C4912" i="5"/>
  <c r="G4911" i="5"/>
  <c r="I4911" i="5" s="1"/>
  <c r="E4911" i="5"/>
  <c r="D4911" i="5"/>
  <c r="C4911" i="5"/>
  <c r="G4910" i="5"/>
  <c r="I4910" i="5" s="1"/>
  <c r="E4910" i="5"/>
  <c r="D4910" i="5"/>
  <c r="C4910" i="5"/>
  <c r="G4909" i="5"/>
  <c r="I4909" i="5" s="1"/>
  <c r="E4909" i="5"/>
  <c r="D4909" i="5"/>
  <c r="C4909" i="5"/>
  <c r="G4908" i="5"/>
  <c r="I4908" i="5" s="1"/>
  <c r="E4908" i="5"/>
  <c r="D4908" i="5"/>
  <c r="C4908" i="5"/>
  <c r="E4907" i="5"/>
  <c r="D4907" i="5"/>
  <c r="C4907" i="5"/>
  <c r="E4953" i="5"/>
  <c r="D4953" i="5"/>
  <c r="C4953" i="5"/>
  <c r="E4981" i="5"/>
  <c r="D4981" i="5"/>
  <c r="C4981" i="5"/>
  <c r="E4982" i="5"/>
  <c r="D4982" i="5"/>
  <c r="C4982" i="5"/>
  <c r="E4980" i="5"/>
  <c r="D4980" i="5"/>
  <c r="C4980" i="5"/>
  <c r="I4978" i="5"/>
  <c r="E4977" i="5"/>
  <c r="D4977" i="5"/>
  <c r="C4977" i="5"/>
  <c r="G4976" i="5"/>
  <c r="I4976" i="5" s="1"/>
  <c r="E4976" i="5"/>
  <c r="D4976" i="5"/>
  <c r="C4976" i="5"/>
  <c r="G4975" i="5"/>
  <c r="I4975" i="5" s="1"/>
  <c r="E4975" i="5"/>
  <c r="D4975" i="5"/>
  <c r="C4975" i="5"/>
  <c r="G4974" i="5"/>
  <c r="I4974" i="5" s="1"/>
  <c r="E4974" i="5"/>
  <c r="D4974" i="5"/>
  <c r="C4974" i="5"/>
  <c r="G4973" i="5"/>
  <c r="I4973" i="5" s="1"/>
  <c r="E4973" i="5"/>
  <c r="D4973" i="5"/>
  <c r="C4973" i="5"/>
  <c r="E4971" i="5"/>
  <c r="D4971" i="5"/>
  <c r="C4971" i="5"/>
  <c r="E4970" i="5"/>
  <c r="D4970" i="5"/>
  <c r="C4970" i="5"/>
  <c r="G4969" i="5"/>
  <c r="I4969" i="5" s="1"/>
  <c r="E4969" i="5"/>
  <c r="D4969" i="5"/>
  <c r="C4969" i="5"/>
  <c r="G4968" i="5"/>
  <c r="I4968" i="5" s="1"/>
  <c r="E4968" i="5"/>
  <c r="D4968" i="5"/>
  <c r="C4968" i="5"/>
  <c r="G4967" i="5"/>
  <c r="I4967" i="5" s="1"/>
  <c r="E4967" i="5"/>
  <c r="D4967" i="5"/>
  <c r="C4967" i="5"/>
  <c r="G4966" i="5"/>
  <c r="I4966" i="5" s="1"/>
  <c r="E4966" i="5"/>
  <c r="D4966" i="5"/>
  <c r="C4966" i="5"/>
  <c r="G4965" i="5"/>
  <c r="I4965" i="5" s="1"/>
  <c r="E4965" i="5"/>
  <c r="D4965" i="5"/>
  <c r="C4965" i="5"/>
  <c r="I4958" i="5"/>
  <c r="E4961" i="5"/>
  <c r="D4961" i="5"/>
  <c r="C4961" i="5"/>
  <c r="E4963" i="5"/>
  <c r="D4963" i="5"/>
  <c r="C4963" i="5"/>
  <c r="E4962" i="5"/>
  <c r="D4962" i="5"/>
  <c r="C4962" i="5"/>
  <c r="E4960" i="5"/>
  <c r="D4960" i="5"/>
  <c r="C4960" i="5"/>
  <c r="G4956" i="5"/>
  <c r="I4956" i="5" s="1"/>
  <c r="E4956" i="5"/>
  <c r="D4956" i="5"/>
  <c r="C4956" i="5"/>
  <c r="G4955" i="5"/>
  <c r="I4955" i="5" s="1"/>
  <c r="E4955" i="5"/>
  <c r="D4955" i="5"/>
  <c r="C4955" i="5"/>
  <c r="E4954" i="5"/>
  <c r="D4954" i="5"/>
  <c r="C4954" i="5"/>
  <c r="D4958" i="5"/>
  <c r="C4958" i="5"/>
  <c r="E4957" i="5"/>
  <c r="D4957" i="5"/>
  <c r="C4957" i="5"/>
  <c r="G4959" i="5"/>
  <c r="I4959" i="5" s="1"/>
  <c r="E4959" i="5"/>
  <c r="D4959" i="5"/>
  <c r="C4959" i="5"/>
  <c r="E4951" i="5"/>
  <c r="D4951" i="5"/>
  <c r="C4951" i="5"/>
  <c r="E4949" i="5"/>
  <c r="D4949" i="5"/>
  <c r="C4949" i="5"/>
  <c r="E4950" i="5"/>
  <c r="D4950" i="5"/>
  <c r="C4950" i="5"/>
  <c r="G4947" i="5"/>
  <c r="I4947" i="5" s="1"/>
  <c r="E4947" i="5"/>
  <c r="D4947" i="5"/>
  <c r="C4947" i="5"/>
  <c r="G4946" i="5"/>
  <c r="I4946" i="5" s="1"/>
  <c r="E4946" i="5"/>
  <c r="D4946" i="5"/>
  <c r="C4946" i="5"/>
  <c r="G4945" i="5"/>
  <c r="I4945" i="5" s="1"/>
  <c r="E4945" i="5"/>
  <c r="D4945" i="5"/>
  <c r="C4945" i="5"/>
  <c r="G4948" i="5"/>
  <c r="I4948" i="5" s="1"/>
  <c r="E4948" i="5"/>
  <c r="D4948" i="5"/>
  <c r="C4948" i="5"/>
  <c r="E4943" i="5"/>
  <c r="D4943" i="5"/>
  <c r="C4943" i="5"/>
  <c r="E4942" i="5"/>
  <c r="D4942" i="5"/>
  <c r="C4942" i="5"/>
  <c r="G4940" i="5"/>
  <c r="I4940" i="5" s="1"/>
  <c r="E4940" i="5"/>
  <c r="D4940" i="5"/>
  <c r="C4940" i="5"/>
  <c r="E4941" i="5"/>
  <c r="D4941" i="5"/>
  <c r="C4941" i="5"/>
  <c r="G4939" i="5"/>
  <c r="I4939" i="5" s="1"/>
  <c r="E4939" i="5"/>
  <c r="C4939" i="5"/>
  <c r="D4939" i="5"/>
  <c r="G4938" i="5"/>
  <c r="I4938" i="5" s="1"/>
  <c r="E4938" i="5"/>
  <c r="D4938" i="5"/>
  <c r="C4938" i="5"/>
  <c r="E4937" i="5"/>
  <c r="D4937" i="5"/>
  <c r="C4937" i="5"/>
  <c r="G4936" i="5"/>
  <c r="I4936" i="5" s="1"/>
  <c r="E4936" i="5"/>
  <c r="D4936" i="5"/>
  <c r="C4936" i="5"/>
  <c r="G4935" i="5"/>
  <c r="I4935" i="5" s="1"/>
  <c r="E4935" i="5"/>
  <c r="D4935" i="5"/>
  <c r="C4935" i="5"/>
  <c r="E4932" i="5"/>
  <c r="D4932" i="5"/>
  <c r="C4932" i="5"/>
  <c r="E4933" i="5"/>
  <c r="D4933" i="5"/>
  <c r="C4933" i="5"/>
  <c r="E4931" i="5"/>
  <c r="D4931" i="5"/>
  <c r="C4931" i="5"/>
  <c r="G4930" i="5"/>
  <c r="I4930" i="5" s="1"/>
  <c r="E4930" i="5"/>
  <c r="D4930" i="5"/>
  <c r="C4930" i="5"/>
  <c r="E4926" i="5"/>
  <c r="D4926" i="5"/>
  <c r="C4926" i="5"/>
  <c r="H4928" i="5"/>
  <c r="E4928" i="5"/>
  <c r="D4928" i="5"/>
  <c r="C4928" i="5"/>
  <c r="G4925" i="5"/>
  <c r="I4925" i="5" s="1"/>
  <c r="E4925" i="5"/>
  <c r="D4925" i="5"/>
  <c r="C4925" i="5"/>
  <c r="C4927" i="5"/>
  <c r="G4927" i="5"/>
  <c r="I4927" i="5" s="1"/>
  <c r="E4927" i="5"/>
  <c r="D4927" i="5"/>
  <c r="G4923" i="5"/>
  <c r="I4923" i="5" s="1"/>
  <c r="G4922" i="5" s="1"/>
  <c r="E4923" i="5"/>
  <c r="D4923" i="5"/>
  <c r="C4923" i="5"/>
  <c r="E4905" i="5"/>
  <c r="D4905" i="5"/>
  <c r="C4905" i="5"/>
  <c r="E4904" i="5"/>
  <c r="D4904" i="5"/>
  <c r="C4904" i="5"/>
  <c r="E4903" i="5"/>
  <c r="D4903" i="5"/>
  <c r="C4903" i="5"/>
  <c r="I4903" i="5"/>
  <c r="E4902" i="5"/>
  <c r="D4902" i="5"/>
  <c r="C4902" i="5"/>
  <c r="G4901" i="5"/>
  <c r="I4901" i="5" s="1"/>
  <c r="E4901" i="5"/>
  <c r="D4901" i="5"/>
  <c r="C4901" i="5"/>
  <c r="E4899" i="5"/>
  <c r="D4899" i="5"/>
  <c r="C4899" i="5"/>
  <c r="E4898" i="5"/>
  <c r="D4898" i="5"/>
  <c r="C4898" i="5"/>
  <c r="E4897" i="5"/>
  <c r="D4897" i="5"/>
  <c r="C4897" i="5"/>
  <c r="G4896" i="5"/>
  <c r="I4896" i="5" s="1"/>
  <c r="G4897" i="5" s="1"/>
  <c r="E4896" i="5"/>
  <c r="D4896" i="5"/>
  <c r="C4896" i="5"/>
  <c r="E4894" i="5"/>
  <c r="D4894" i="5"/>
  <c r="C4894" i="5"/>
  <c r="E4893" i="5"/>
  <c r="D4893" i="5"/>
  <c r="C4893" i="5"/>
  <c r="E4892" i="5"/>
  <c r="D4892" i="5"/>
  <c r="C4892" i="5"/>
  <c r="G4891" i="5"/>
  <c r="E4891" i="5"/>
  <c r="D4891" i="5"/>
  <c r="C4891" i="5"/>
  <c r="E4889" i="5"/>
  <c r="D4889" i="5"/>
  <c r="C4889" i="5"/>
  <c r="E4888" i="5"/>
  <c r="D4888" i="5"/>
  <c r="C4888" i="5"/>
  <c r="E4887" i="5"/>
  <c r="D4887" i="5"/>
  <c r="C4887" i="5"/>
  <c r="G4886" i="5"/>
  <c r="I4886" i="5" s="1"/>
  <c r="E4886" i="5"/>
  <c r="D4886" i="5"/>
  <c r="C4886" i="5"/>
  <c r="G4885" i="5"/>
  <c r="I4885" i="5" s="1"/>
  <c r="E4885" i="5"/>
  <c r="D4885" i="5"/>
  <c r="C4885" i="5"/>
  <c r="E4884" i="5"/>
  <c r="C4884" i="5"/>
  <c r="D4884" i="5"/>
  <c r="E188" i="5"/>
  <c r="D188" i="5"/>
  <c r="C188" i="5"/>
  <c r="E187" i="5"/>
  <c r="E190" i="5"/>
  <c r="D190" i="5"/>
  <c r="C190" i="5"/>
  <c r="D187" i="5"/>
  <c r="C187" i="5"/>
  <c r="E189" i="5"/>
  <c r="D189" i="5"/>
  <c r="C189" i="5"/>
  <c r="E4881" i="5"/>
  <c r="D4881" i="5"/>
  <c r="C4881" i="5"/>
  <c r="E4880" i="5"/>
  <c r="D4880" i="5"/>
  <c r="C4880" i="5"/>
  <c r="E4874" i="5"/>
  <c r="D4874" i="5"/>
  <c r="C4874" i="5"/>
  <c r="E4873" i="5"/>
  <c r="E4866" i="5"/>
  <c r="D4866" i="5"/>
  <c r="C4866" i="5"/>
  <c r="D4873" i="5"/>
  <c r="C4873" i="5"/>
  <c r="E4867" i="5"/>
  <c r="D4867" i="5"/>
  <c r="C4867" i="5"/>
  <c r="G4877" i="5"/>
  <c r="I4877" i="5" s="1"/>
  <c r="E4882" i="5"/>
  <c r="D4882" i="5"/>
  <c r="C4882" i="5"/>
  <c r="E4879" i="5"/>
  <c r="D4879" i="5"/>
  <c r="C4879" i="5"/>
  <c r="E4878" i="5"/>
  <c r="D4878" i="5"/>
  <c r="C4878" i="5"/>
  <c r="E4875" i="5"/>
  <c r="D4875" i="5"/>
  <c r="C4875" i="5"/>
  <c r="E4877" i="5"/>
  <c r="D4877" i="5"/>
  <c r="C4877" i="5"/>
  <c r="E4872" i="5"/>
  <c r="D4872" i="5"/>
  <c r="C4872" i="5"/>
  <c r="E4871" i="5"/>
  <c r="D4871" i="5"/>
  <c r="C4871" i="5"/>
  <c r="G4870" i="5"/>
  <c r="I4870" i="5" s="1"/>
  <c r="E4870" i="5"/>
  <c r="D4870" i="5"/>
  <c r="C4870" i="5"/>
  <c r="E4865" i="5"/>
  <c r="D4865" i="5"/>
  <c r="C4865" i="5"/>
  <c r="E4868" i="5"/>
  <c r="D4868" i="5"/>
  <c r="C4868" i="5"/>
  <c r="E4864" i="5"/>
  <c r="C4864" i="5"/>
  <c r="D4864" i="5"/>
  <c r="G4863" i="5"/>
  <c r="I4863" i="5" s="1"/>
  <c r="E4863" i="5"/>
  <c r="C4863" i="5"/>
  <c r="D4863" i="5"/>
  <c r="G2944" i="5"/>
  <c r="E2944" i="5"/>
  <c r="E4861" i="5"/>
  <c r="D4861" i="5"/>
  <c r="C4861" i="5"/>
  <c r="E4855" i="5"/>
  <c r="D4855" i="5"/>
  <c r="C4855" i="5"/>
  <c r="E4846" i="5"/>
  <c r="E4841" i="5"/>
  <c r="E4840" i="5"/>
  <c r="E4838" i="5"/>
  <c r="E4837" i="5"/>
  <c r="E4833" i="5"/>
  <c r="D4833" i="5"/>
  <c r="C4833" i="5"/>
  <c r="E4827" i="5"/>
  <c r="E4819" i="5"/>
  <c r="C4819" i="5"/>
  <c r="E4818" i="5"/>
  <c r="C4818" i="5"/>
  <c r="E4817" i="5"/>
  <c r="D4817" i="5"/>
  <c r="E4807" i="5"/>
  <c r="D4807" i="5"/>
  <c r="C4807" i="5"/>
  <c r="E4802" i="5"/>
  <c r="E4801" i="5"/>
  <c r="E4800" i="5"/>
  <c r="E4799" i="5"/>
  <c r="E4798" i="5"/>
  <c r="E4788" i="5"/>
  <c r="E4787" i="5"/>
  <c r="E4785" i="5"/>
  <c r="D4785" i="5"/>
  <c r="C4785" i="5"/>
  <c r="E4784" i="5"/>
  <c r="E4774" i="5"/>
  <c r="C4774" i="5"/>
  <c r="E4773" i="5"/>
  <c r="E4772" i="5"/>
  <c r="E4771" i="5"/>
  <c r="E4770" i="5"/>
  <c r="D4770" i="5"/>
  <c r="E4766" i="5"/>
  <c r="D4766" i="5"/>
  <c r="C4766" i="5"/>
  <c r="E4759" i="5"/>
  <c r="D4759" i="5"/>
  <c r="C4759" i="5"/>
  <c r="C4752" i="5"/>
  <c r="D4749" i="5"/>
  <c r="E4748" i="5"/>
  <c r="D4748" i="5"/>
  <c r="C4748" i="5"/>
  <c r="E4745" i="5"/>
  <c r="D4745" i="5"/>
  <c r="C4745" i="5"/>
  <c r="E4740" i="5"/>
  <c r="D4740" i="5"/>
  <c r="C4740" i="5"/>
  <c r="E4731" i="5"/>
  <c r="D4731" i="5"/>
  <c r="C4731" i="5"/>
  <c r="E4730" i="5"/>
  <c r="D4730" i="5"/>
  <c r="C4730" i="5"/>
  <c r="E4727" i="5"/>
  <c r="D4727" i="5"/>
  <c r="C4727" i="5"/>
  <c r="E4629" i="5"/>
  <c r="D4629" i="5"/>
  <c r="C4629" i="5"/>
  <c r="E4628" i="5"/>
  <c r="E4627" i="5"/>
  <c r="D4627" i="5"/>
  <c r="C4627" i="5"/>
  <c r="E4600" i="5"/>
  <c r="D4600" i="5"/>
  <c r="C4600" i="5"/>
  <c r="E4596" i="5"/>
  <c r="D4596" i="5"/>
  <c r="C4596" i="5"/>
  <c r="E4595" i="5"/>
  <c r="D4595" i="5"/>
  <c r="C4595" i="5"/>
  <c r="E4590" i="5"/>
  <c r="D4590" i="5"/>
  <c r="C4590" i="5"/>
  <c r="E4582" i="5"/>
  <c r="D4582" i="5"/>
  <c r="C4582" i="5"/>
  <c r="E4573" i="5"/>
  <c r="D4573" i="5"/>
  <c r="C4573" i="5"/>
  <c r="E4562" i="5"/>
  <c r="D4562" i="5"/>
  <c r="C4562" i="5"/>
  <c r="E4561" i="5"/>
  <c r="D4561" i="5"/>
  <c r="C4561" i="5"/>
  <c r="E4553" i="5"/>
  <c r="D4553" i="5"/>
  <c r="C4553" i="5"/>
  <c r="E4552" i="5"/>
  <c r="D4552" i="5"/>
  <c r="C4552" i="5"/>
  <c r="E4551" i="5"/>
  <c r="D4551" i="5"/>
  <c r="C4551" i="5"/>
  <c r="E4550" i="5"/>
  <c r="D4550" i="5"/>
  <c r="C4550" i="5"/>
  <c r="E4540" i="5"/>
  <c r="D4540" i="5"/>
  <c r="C4540" i="5"/>
  <c r="E4539" i="5"/>
  <c r="D4539" i="5"/>
  <c r="C4539" i="5"/>
  <c r="E4534" i="5"/>
  <c r="D4534" i="5"/>
  <c r="C4534" i="5"/>
  <c r="E4535" i="5"/>
  <c r="D4535" i="5"/>
  <c r="C4535" i="5"/>
  <c r="E4533" i="5"/>
  <c r="D4533" i="5"/>
  <c r="C4533" i="5"/>
  <c r="E4518" i="5"/>
  <c r="D4518" i="5"/>
  <c r="C4518" i="5"/>
  <c r="E4514" i="5"/>
  <c r="D4514" i="5"/>
  <c r="C4514" i="5"/>
  <c r="E4509" i="5"/>
  <c r="D4509" i="5"/>
  <c r="C4509" i="5"/>
  <c r="G4508" i="5"/>
  <c r="E4508" i="5"/>
  <c r="E4506" i="5"/>
  <c r="D4506" i="5"/>
  <c r="C4506" i="5"/>
  <c r="E4505" i="5"/>
  <c r="D4505" i="5"/>
  <c r="C4505" i="5"/>
  <c r="E4501" i="5"/>
  <c r="D4501" i="5"/>
  <c r="C4501" i="5"/>
  <c r="E4500" i="5"/>
  <c r="D4500" i="5"/>
  <c r="C4500" i="5"/>
  <c r="E4499" i="5"/>
  <c r="D4499" i="5"/>
  <c r="C4499" i="5"/>
  <c r="E4498" i="5"/>
  <c r="D4498" i="5"/>
  <c r="C4498" i="5"/>
  <c r="E4487" i="5"/>
  <c r="D4487" i="5"/>
  <c r="C4487" i="5"/>
  <c r="E4481" i="5"/>
  <c r="D4481" i="5"/>
  <c r="C4481" i="5"/>
  <c r="E4480" i="5"/>
  <c r="D4480" i="5"/>
  <c r="C4480" i="5"/>
  <c r="E4476" i="5"/>
  <c r="D4476" i="5"/>
  <c r="C4476" i="5"/>
  <c r="E4475" i="5"/>
  <c r="D4475" i="5"/>
  <c r="C4475" i="5"/>
  <c r="E4471" i="5"/>
  <c r="D4471" i="5"/>
  <c r="C4471" i="5"/>
  <c r="E4470" i="5"/>
  <c r="D4470" i="5"/>
  <c r="C4470" i="5"/>
  <c r="E4469" i="5"/>
  <c r="D4469" i="5"/>
  <c r="C4469" i="5"/>
  <c r="E4463" i="5"/>
  <c r="D4463" i="5"/>
  <c r="C4463" i="5"/>
  <c r="E4459" i="5"/>
  <c r="D4459" i="5"/>
  <c r="C4459" i="5"/>
  <c r="E4458" i="5"/>
  <c r="D4458" i="5"/>
  <c r="C4458" i="5"/>
  <c r="E4457" i="5"/>
  <c r="D4457" i="5"/>
  <c r="C4457" i="5"/>
  <c r="E4446" i="5"/>
  <c r="D4446" i="5"/>
  <c r="C4446" i="5"/>
  <c r="E4442" i="5"/>
  <c r="D4442" i="5"/>
  <c r="C4442" i="5"/>
  <c r="E4438" i="5"/>
  <c r="D4438" i="5"/>
  <c r="C4438" i="5"/>
  <c r="E4434" i="5"/>
  <c r="D4434" i="5"/>
  <c r="C4434" i="5"/>
  <c r="E4431" i="5"/>
  <c r="D4431" i="5"/>
  <c r="C4431" i="5"/>
  <c r="E4425" i="5"/>
  <c r="D4425" i="5"/>
  <c r="C4425" i="5"/>
  <c r="E4420" i="5"/>
  <c r="D4420" i="5"/>
  <c r="C4420" i="5"/>
  <c r="E4415" i="5"/>
  <c r="D4415" i="5"/>
  <c r="C4415" i="5"/>
  <c r="E4412" i="5"/>
  <c r="D4412" i="5"/>
  <c r="C4412" i="5"/>
  <c r="E4405" i="5"/>
  <c r="D4405" i="5"/>
  <c r="C4405" i="5"/>
  <c r="E4404" i="5"/>
  <c r="D4404" i="5"/>
  <c r="C4404" i="5"/>
  <c r="E4397" i="5"/>
  <c r="D4397" i="5"/>
  <c r="C4397" i="5"/>
  <c r="E4389" i="5"/>
  <c r="D4389" i="5"/>
  <c r="C4389" i="5"/>
  <c r="E4377" i="5"/>
  <c r="D4377" i="5"/>
  <c r="C4377" i="5"/>
  <c r="E4376" i="5"/>
  <c r="D4376" i="5"/>
  <c r="C4376" i="5"/>
  <c r="E4375" i="5"/>
  <c r="D4375" i="5"/>
  <c r="C4375" i="5"/>
  <c r="E4374" i="5"/>
  <c r="D4374" i="5"/>
  <c r="C4374" i="5"/>
  <c r="E4369" i="5"/>
  <c r="D4369" i="5"/>
  <c r="C4369" i="5"/>
  <c r="E4360" i="5"/>
  <c r="D4360" i="5"/>
  <c r="C4360" i="5"/>
  <c r="E4359" i="5"/>
  <c r="D4359" i="5"/>
  <c r="C4359" i="5"/>
  <c r="E4354" i="5"/>
  <c r="D4354" i="5"/>
  <c r="C4354" i="5"/>
  <c r="E4353" i="5"/>
  <c r="D4353" i="5"/>
  <c r="C4353" i="5"/>
  <c r="E4348" i="5"/>
  <c r="D4348" i="5"/>
  <c r="C4348" i="5"/>
  <c r="E4347" i="5"/>
  <c r="D4347" i="5"/>
  <c r="C4347" i="5"/>
  <c r="E4340" i="5"/>
  <c r="D4340" i="5"/>
  <c r="C4340" i="5"/>
  <c r="E4339" i="5"/>
  <c r="D4339" i="5"/>
  <c r="C4339" i="5"/>
  <c r="E4332" i="5"/>
  <c r="D4332" i="5"/>
  <c r="C4332" i="5"/>
  <c r="E4331" i="5"/>
  <c r="D4331" i="5"/>
  <c r="C4331" i="5"/>
  <c r="E4324" i="5"/>
  <c r="D4324" i="5"/>
  <c r="C4324" i="5"/>
  <c r="E4323" i="5"/>
  <c r="D4323" i="5"/>
  <c r="C4323" i="5"/>
  <c r="E4316" i="5"/>
  <c r="D4316" i="5"/>
  <c r="C4316" i="5"/>
  <c r="E4315" i="5"/>
  <c r="D4315" i="5"/>
  <c r="C4315" i="5"/>
  <c r="E4304" i="5"/>
  <c r="D4304" i="5"/>
  <c r="C4304" i="5"/>
  <c r="E4300" i="5"/>
  <c r="D4300" i="5"/>
  <c r="C4300" i="5"/>
  <c r="E4297" i="5"/>
  <c r="D4297" i="5"/>
  <c r="C4297" i="5"/>
  <c r="E4289" i="5"/>
  <c r="D4289" i="5"/>
  <c r="C4289" i="5"/>
  <c r="E4285" i="5"/>
  <c r="D4285" i="5"/>
  <c r="C4285" i="5"/>
  <c r="E4282" i="5"/>
  <c r="D4282" i="5"/>
  <c r="C4282" i="5"/>
  <c r="E4274" i="5"/>
  <c r="D4274" i="5"/>
  <c r="C4274" i="5"/>
  <c r="E4273" i="5"/>
  <c r="D4273" i="5"/>
  <c r="C4273" i="5"/>
  <c r="E4269" i="5"/>
  <c r="D4269" i="5"/>
  <c r="C4269" i="5"/>
  <c r="E4268" i="5"/>
  <c r="D4268" i="5"/>
  <c r="C4268" i="5"/>
  <c r="E4264" i="5"/>
  <c r="D4264" i="5"/>
  <c r="C4264" i="5"/>
  <c r="E4263" i="5"/>
  <c r="D4263" i="5"/>
  <c r="C4263" i="5"/>
  <c r="E4259" i="5"/>
  <c r="D4259" i="5"/>
  <c r="C4259" i="5"/>
  <c r="E4258" i="5"/>
  <c r="D4258" i="5"/>
  <c r="C4258" i="5"/>
  <c r="E4254" i="5"/>
  <c r="D4254" i="5"/>
  <c r="C4254" i="5"/>
  <c r="E4253" i="5"/>
  <c r="D4253" i="5"/>
  <c r="C4253" i="5"/>
  <c r="E4250" i="5"/>
  <c r="D4250" i="5"/>
  <c r="C4250" i="5"/>
  <c r="E4249" i="5"/>
  <c r="D4249" i="5"/>
  <c r="C4249" i="5"/>
  <c r="E4252" i="5"/>
  <c r="D4252" i="5"/>
  <c r="C4252" i="5"/>
  <c r="E4256" i="5"/>
  <c r="D4256" i="5"/>
  <c r="C4256" i="5"/>
  <c r="E4257" i="5"/>
  <c r="D4257" i="5"/>
  <c r="C4257" i="5"/>
  <c r="E4261" i="5"/>
  <c r="D4261" i="5"/>
  <c r="C4261" i="5"/>
  <c r="E4262" i="5"/>
  <c r="D4262" i="5"/>
  <c r="C4262" i="5"/>
  <c r="E4266" i="5"/>
  <c r="D4266" i="5"/>
  <c r="C4266" i="5"/>
  <c r="E4267" i="5"/>
  <c r="D4267" i="5"/>
  <c r="C4267" i="5"/>
  <c r="E4272" i="5"/>
  <c r="D4272" i="5"/>
  <c r="C4272" i="5"/>
  <c r="E4281" i="5"/>
  <c r="D4281" i="5"/>
  <c r="C4281" i="5"/>
  <c r="E4284" i="5"/>
  <c r="D4284" i="5"/>
  <c r="C4284" i="5"/>
  <c r="E4287" i="5"/>
  <c r="D4287" i="5"/>
  <c r="C4287" i="5"/>
  <c r="E4288" i="5"/>
  <c r="D4288" i="5"/>
  <c r="C4288" i="5"/>
  <c r="E4296" i="5"/>
  <c r="D4296" i="5"/>
  <c r="C4296" i="5"/>
  <c r="E4299" i="5"/>
  <c r="D4299" i="5"/>
  <c r="C4299" i="5"/>
  <c r="E4302" i="5"/>
  <c r="D4302" i="5"/>
  <c r="C4302" i="5"/>
  <c r="E4303" i="5"/>
  <c r="D4303" i="5"/>
  <c r="C4303" i="5"/>
  <c r="E4308" i="5"/>
  <c r="D4308" i="5"/>
  <c r="C4308" i="5"/>
  <c r="E4314" i="5"/>
  <c r="D4314" i="5"/>
  <c r="C4314" i="5"/>
  <c r="E4322" i="5"/>
  <c r="D4322" i="5"/>
  <c r="C4322" i="5"/>
  <c r="E4330" i="5"/>
  <c r="D4330" i="5"/>
  <c r="C4330" i="5"/>
  <c r="E4338" i="5"/>
  <c r="D4338" i="5"/>
  <c r="C4338" i="5"/>
  <c r="E4346" i="5"/>
  <c r="D4346" i="5"/>
  <c r="C4346" i="5"/>
  <c r="E4352" i="5"/>
  <c r="D4352" i="5"/>
  <c r="C4352" i="5"/>
  <c r="E4358" i="5"/>
  <c r="D4358" i="5"/>
  <c r="C4358" i="5"/>
  <c r="E4368" i="5"/>
  <c r="D4368" i="5"/>
  <c r="C4368" i="5"/>
  <c r="E4367" i="5"/>
  <c r="D4367" i="5"/>
  <c r="C4367" i="5"/>
  <c r="E4366" i="5"/>
  <c r="D4366" i="5"/>
  <c r="C4366" i="5"/>
  <c r="E4365" i="5"/>
  <c r="D4365" i="5"/>
  <c r="C4365" i="5"/>
  <c r="E4372" i="5"/>
  <c r="D4372" i="5"/>
  <c r="C4372" i="5"/>
  <c r="E4373" i="5"/>
  <c r="D4373" i="5"/>
  <c r="C4373" i="5"/>
  <c r="E4388" i="5"/>
  <c r="D4388" i="5"/>
  <c r="C4388" i="5"/>
  <c r="E4396" i="5"/>
  <c r="D4396" i="5"/>
  <c r="C4396" i="5"/>
  <c r="E4403" i="5"/>
  <c r="D4403" i="5"/>
  <c r="C4403" i="5"/>
  <c r="E4411" i="5"/>
  <c r="D4411" i="5"/>
  <c r="C4411" i="5"/>
  <c r="E4414" i="5"/>
  <c r="D4414" i="5"/>
  <c r="C4414" i="5"/>
  <c r="E4419" i="5"/>
  <c r="D4419" i="5"/>
  <c r="C4419" i="5"/>
  <c r="E4424" i="5"/>
  <c r="D4424" i="5"/>
  <c r="C4424" i="5"/>
  <c r="E4430" i="5"/>
  <c r="D4430" i="5"/>
  <c r="C4430" i="5"/>
  <c r="E4433" i="5"/>
  <c r="D4433" i="5"/>
  <c r="C4433" i="5"/>
  <c r="E4436" i="5"/>
  <c r="D4436" i="5"/>
  <c r="C4436" i="5"/>
  <c r="E4437" i="5"/>
  <c r="D4437" i="5"/>
  <c r="C4437" i="5"/>
  <c r="E4440" i="5"/>
  <c r="D4440" i="5"/>
  <c r="C4440" i="5"/>
  <c r="E4441" i="5"/>
  <c r="D4441" i="5"/>
  <c r="C4441" i="5"/>
  <c r="E4444" i="5"/>
  <c r="D4444" i="5"/>
  <c r="C4444" i="5"/>
  <c r="E4445" i="5"/>
  <c r="D4445" i="5"/>
  <c r="C4445" i="5"/>
  <c r="E4456" i="5"/>
  <c r="D4456" i="5"/>
  <c r="C4456" i="5"/>
  <c r="E4461" i="5"/>
  <c r="D4461" i="5"/>
  <c r="C4461" i="5"/>
  <c r="E4462" i="5"/>
  <c r="D4462" i="5"/>
  <c r="C4462" i="5"/>
  <c r="E4468" i="5"/>
  <c r="D4468" i="5"/>
  <c r="C4468" i="5"/>
  <c r="E4473" i="5"/>
  <c r="D4473" i="5"/>
  <c r="C4473" i="5"/>
  <c r="E4474" i="5"/>
  <c r="D4474" i="5"/>
  <c r="C4474" i="5"/>
  <c r="E4478" i="5"/>
  <c r="D4478" i="5"/>
  <c r="C4478" i="5"/>
  <c r="E4479" i="5"/>
  <c r="D4479" i="5"/>
  <c r="C4479" i="5"/>
  <c r="E4486" i="5"/>
  <c r="D4486" i="5"/>
  <c r="C4486" i="5"/>
  <c r="E4490" i="5"/>
  <c r="D4490" i="5"/>
  <c r="C4490" i="5"/>
  <c r="E4497" i="5"/>
  <c r="D4497" i="5"/>
  <c r="C4497" i="5"/>
  <c r="E4504" i="5"/>
  <c r="D4504" i="5"/>
  <c r="C4504" i="5"/>
  <c r="E4513" i="5"/>
  <c r="D4513" i="5"/>
  <c r="C4513" i="5"/>
  <c r="E4517" i="5"/>
  <c r="D4517" i="5"/>
  <c r="C4517" i="5"/>
  <c r="E4532" i="5"/>
  <c r="D4532" i="5"/>
  <c r="C4532" i="5"/>
  <c r="E4537" i="5"/>
  <c r="D4537" i="5"/>
  <c r="C4537" i="5"/>
  <c r="E4538" i="5"/>
  <c r="D4538" i="5"/>
  <c r="C4538" i="5"/>
  <c r="E4549" i="5"/>
  <c r="D4549" i="5"/>
  <c r="C4549" i="5"/>
  <c r="E4560" i="5"/>
  <c r="D4560" i="5"/>
  <c r="C4560" i="5"/>
  <c r="E4572" i="5"/>
  <c r="D4572" i="5"/>
  <c r="C4572" i="5"/>
  <c r="E4581" i="5"/>
  <c r="D4581" i="5"/>
  <c r="C4581" i="5"/>
  <c r="E4593" i="5"/>
  <c r="E4594" i="5"/>
  <c r="D4594" i="5"/>
  <c r="C4594" i="5"/>
  <c r="E4626" i="5"/>
  <c r="E4726" i="5"/>
  <c r="E4729" i="5"/>
  <c r="E4738" i="5"/>
  <c r="E4758" i="5"/>
  <c r="E4765" i="5"/>
  <c r="E4769" i="5"/>
  <c r="E4783" i="5"/>
  <c r="E4797" i="5"/>
  <c r="E4806" i="5"/>
  <c r="E4816" i="5"/>
  <c r="E4826" i="5"/>
  <c r="E4832" i="5"/>
  <c r="E4836" i="5"/>
  <c r="C4836" i="5"/>
  <c r="E4845" i="5"/>
  <c r="D4845" i="5"/>
  <c r="C4845" i="5"/>
  <c r="E4850" i="5"/>
  <c r="D4850" i="5"/>
  <c r="C4850" i="5"/>
  <c r="E4853" i="5"/>
  <c r="D4853" i="5"/>
  <c r="C4853" i="5"/>
  <c r="E4854" i="5"/>
  <c r="D4854" i="5"/>
  <c r="C4854" i="5"/>
  <c r="E4860" i="5"/>
  <c r="C4860" i="5"/>
  <c r="E4849" i="5"/>
  <c r="E4848" i="5"/>
  <c r="E4844" i="5"/>
  <c r="E4843" i="5"/>
  <c r="E4835" i="5"/>
  <c r="E4830" i="5"/>
  <c r="E4829" i="5"/>
  <c r="E4831" i="5"/>
  <c r="E4825" i="5"/>
  <c r="E4823" i="5"/>
  <c r="E4822" i="5"/>
  <c r="E4821" i="5"/>
  <c r="E4815" i="5"/>
  <c r="E4814" i="5"/>
  <c r="E4813" i="5"/>
  <c r="E4812" i="5"/>
  <c r="E4811" i="5"/>
  <c r="E4810" i="5"/>
  <c r="E4809" i="5"/>
  <c r="E4805" i="5"/>
  <c r="E4782" i="5"/>
  <c r="E4804" i="5"/>
  <c r="E4796" i="5"/>
  <c r="E4795" i="5"/>
  <c r="E4794" i="5"/>
  <c r="E4793" i="5"/>
  <c r="E4792" i="5"/>
  <c r="E4791" i="5"/>
  <c r="E4790" i="5"/>
  <c r="E4768" i="5"/>
  <c r="E4781" i="5"/>
  <c r="E4780" i="5"/>
  <c r="E4779" i="5"/>
  <c r="E4778" i="5"/>
  <c r="E4777" i="5"/>
  <c r="E4776" i="5"/>
  <c r="C4764" i="5"/>
  <c r="E4763" i="5"/>
  <c r="E4761" i="5"/>
  <c r="E4754" i="5"/>
  <c r="D4742" i="5"/>
  <c r="C4742" i="5"/>
  <c r="E4737" i="5"/>
  <c r="D4737" i="5"/>
  <c r="E4736" i="5"/>
  <c r="D4736" i="5"/>
  <c r="C4736" i="5"/>
  <c r="C4735" i="5"/>
  <c r="E4734" i="5"/>
  <c r="D4734" i="5"/>
  <c r="C4734" i="5"/>
  <c r="E4733" i="5"/>
  <c r="D4733" i="5"/>
  <c r="C4733" i="5"/>
  <c r="E4725" i="5"/>
  <c r="D4725" i="5"/>
  <c r="C4725" i="5"/>
  <c r="E4724" i="5"/>
  <c r="D4724" i="5"/>
  <c r="C4724" i="5"/>
  <c r="E4723" i="5"/>
  <c r="D4723" i="5"/>
  <c r="C4723" i="5"/>
  <c r="E4722" i="5"/>
  <c r="D4722" i="5"/>
  <c r="C4722" i="5"/>
  <c r="E4721" i="5"/>
  <c r="D4721" i="5"/>
  <c r="C4721" i="5"/>
  <c r="E4720" i="5"/>
  <c r="D4720" i="5"/>
  <c r="C4720" i="5"/>
  <c r="E4625" i="5"/>
  <c r="E4624" i="5"/>
  <c r="D4624" i="5"/>
  <c r="C4624" i="5"/>
  <c r="E4623" i="5"/>
  <c r="D4623" i="5"/>
  <c r="C4623" i="5"/>
  <c r="G4622" i="5"/>
  <c r="I4622" i="5" s="1"/>
  <c r="E4622" i="5"/>
  <c r="D4622" i="5"/>
  <c r="C4622" i="5"/>
  <c r="E4621" i="5"/>
  <c r="D4621" i="5"/>
  <c r="C4621" i="5"/>
  <c r="G4620" i="5"/>
  <c r="E4620" i="5"/>
  <c r="D4620" i="5"/>
  <c r="C4620" i="5"/>
  <c r="E4619" i="5"/>
  <c r="D4619" i="5"/>
  <c r="C4619" i="5"/>
  <c r="D4598" i="5"/>
  <c r="C4598" i="5"/>
  <c r="E4592" i="5"/>
  <c r="D4592" i="5"/>
  <c r="C4592" i="5"/>
  <c r="E4588" i="5"/>
  <c r="E4580" i="5"/>
  <c r="E4587" i="5"/>
  <c r="E4586" i="5"/>
  <c r="D4586" i="5"/>
  <c r="C4586" i="5"/>
  <c r="E4585" i="5"/>
  <c r="D4585" i="5"/>
  <c r="C4585" i="5"/>
  <c r="E4584" i="5"/>
  <c r="D4584" i="5"/>
  <c r="C4584" i="5"/>
  <c r="E4571" i="5"/>
  <c r="E4579" i="5"/>
  <c r="D4579" i="5"/>
  <c r="C4579" i="5"/>
  <c r="E4578" i="5"/>
  <c r="D4578" i="5"/>
  <c r="C4578" i="5"/>
  <c r="E4577" i="5"/>
  <c r="D4577" i="5"/>
  <c r="C4577" i="5"/>
  <c r="E4576" i="5"/>
  <c r="D4576" i="5"/>
  <c r="C4576" i="5"/>
  <c r="E4575" i="5"/>
  <c r="D4575" i="5"/>
  <c r="C4575" i="5"/>
  <c r="E4570" i="5"/>
  <c r="D4570" i="5"/>
  <c r="C4570" i="5"/>
  <c r="E4569" i="5"/>
  <c r="D4569" i="5"/>
  <c r="C4569" i="5"/>
  <c r="E4568" i="5"/>
  <c r="D4568" i="5"/>
  <c r="C4568" i="5"/>
  <c r="E4567" i="5"/>
  <c r="D4567" i="5"/>
  <c r="C4567" i="5"/>
  <c r="E4566" i="5"/>
  <c r="D4566" i="5"/>
  <c r="C4566" i="5"/>
  <c r="E4565" i="5"/>
  <c r="D4565" i="5"/>
  <c r="C4565" i="5"/>
  <c r="E4564" i="5"/>
  <c r="D4564" i="5"/>
  <c r="C4564" i="5"/>
  <c r="E4558" i="5"/>
  <c r="D4558" i="5"/>
  <c r="C4558" i="5"/>
  <c r="E4557" i="5"/>
  <c r="D4557" i="5"/>
  <c r="C4557" i="5"/>
  <c r="E4556" i="5"/>
  <c r="D4556" i="5"/>
  <c r="C4556" i="5"/>
  <c r="E4555" i="5"/>
  <c r="D4555" i="5"/>
  <c r="C4555" i="5"/>
  <c r="E4548" i="5"/>
  <c r="E4547" i="5"/>
  <c r="D4547" i="5"/>
  <c r="C4547" i="5"/>
  <c r="E4546" i="5"/>
  <c r="D4546" i="5"/>
  <c r="C4546" i="5"/>
  <c r="E4545" i="5"/>
  <c r="D4545" i="5"/>
  <c r="C4545" i="5"/>
  <c r="E4544" i="5"/>
  <c r="D4544" i="5"/>
  <c r="C4544" i="5"/>
  <c r="E4543" i="5"/>
  <c r="D4543" i="5"/>
  <c r="C4543" i="5"/>
  <c r="E4542" i="5"/>
  <c r="D4542" i="5"/>
  <c r="C4542" i="5"/>
  <c r="E4531" i="5"/>
  <c r="D4531" i="5"/>
  <c r="C4531" i="5"/>
  <c r="E4530" i="5"/>
  <c r="D4530" i="5"/>
  <c r="C4530" i="5"/>
  <c r="E4529" i="5"/>
  <c r="D4529" i="5"/>
  <c r="C4529" i="5"/>
  <c r="E4528" i="5"/>
  <c r="D4528" i="5"/>
  <c r="C4528" i="5"/>
  <c r="E4527" i="5"/>
  <c r="D4527" i="5"/>
  <c r="C4527" i="5"/>
  <c r="E4526" i="5"/>
  <c r="E4525" i="5"/>
  <c r="E4524" i="5"/>
  <c r="D4524" i="5"/>
  <c r="C4524" i="5"/>
  <c r="E4523" i="5"/>
  <c r="D4523" i="5"/>
  <c r="C4523" i="5"/>
  <c r="E4522" i="5"/>
  <c r="D4522" i="5"/>
  <c r="C4522" i="5"/>
  <c r="E4521" i="5"/>
  <c r="D4521" i="5"/>
  <c r="C4521" i="5"/>
  <c r="E4520" i="5"/>
  <c r="D4520" i="5"/>
  <c r="C4520" i="5"/>
  <c r="E4516" i="5"/>
  <c r="D4516" i="5"/>
  <c r="C4516" i="5"/>
  <c r="E4512" i="5"/>
  <c r="E4503" i="5"/>
  <c r="E4496" i="5"/>
  <c r="E4489" i="5"/>
  <c r="E4485" i="5"/>
  <c r="D4485" i="5"/>
  <c r="C4485" i="5"/>
  <c r="E4484" i="5"/>
  <c r="D4484" i="5"/>
  <c r="C4484" i="5"/>
  <c r="E4483" i="5"/>
  <c r="D4483" i="5"/>
  <c r="C4483" i="5"/>
  <c r="E4467" i="5"/>
  <c r="E4466" i="5"/>
  <c r="D4466" i="5"/>
  <c r="C4466" i="5"/>
  <c r="G4465" i="5"/>
  <c r="I4465" i="5" s="1"/>
  <c r="E4465" i="5"/>
  <c r="D4465" i="5"/>
  <c r="C4465" i="5"/>
  <c r="E4455" i="5"/>
  <c r="C4455" i="5"/>
  <c r="E4454" i="5"/>
  <c r="D4454" i="5"/>
  <c r="C4454" i="5"/>
  <c r="E4453" i="5"/>
  <c r="D4453" i="5"/>
  <c r="C4453" i="5"/>
  <c r="E4452" i="5"/>
  <c r="D4452" i="5"/>
  <c r="C4452" i="5"/>
  <c r="E4451" i="5"/>
  <c r="D4451" i="5"/>
  <c r="C4451" i="5"/>
  <c r="E4450" i="5"/>
  <c r="D4450" i="5"/>
  <c r="C4450" i="5"/>
  <c r="E4449" i="5"/>
  <c r="D4449" i="5"/>
  <c r="C4449" i="5"/>
  <c r="E4448" i="5"/>
  <c r="D4448" i="5"/>
  <c r="C4448" i="5"/>
  <c r="E4429" i="5"/>
  <c r="D4429" i="5"/>
  <c r="C4429" i="5"/>
  <c r="E4428" i="5"/>
  <c r="D4428" i="5"/>
  <c r="C4428" i="5"/>
  <c r="E4427" i="5"/>
  <c r="D4427" i="5"/>
  <c r="C4427" i="5"/>
  <c r="E4423" i="5"/>
  <c r="E4418" i="5"/>
  <c r="E4422" i="5"/>
  <c r="D4422" i="5"/>
  <c r="C4422" i="5"/>
  <c r="E4417" i="5"/>
  <c r="D4417" i="5"/>
  <c r="C4417" i="5"/>
  <c r="E4410" i="5"/>
  <c r="D4410" i="5"/>
  <c r="C4410" i="5"/>
  <c r="E4409" i="5"/>
  <c r="D4409" i="5"/>
  <c r="C4409" i="5"/>
  <c r="E4408" i="5"/>
  <c r="D4408" i="5"/>
  <c r="C4408" i="5"/>
  <c r="E4407" i="5"/>
  <c r="D4407" i="5"/>
  <c r="C4407" i="5"/>
  <c r="E4402" i="5"/>
  <c r="D4402" i="5"/>
  <c r="C4402" i="5"/>
  <c r="E4401" i="5"/>
  <c r="D4401" i="5"/>
  <c r="C4401" i="5"/>
  <c r="E4400" i="5"/>
  <c r="D4400" i="5"/>
  <c r="C4400" i="5"/>
  <c r="E4399" i="5"/>
  <c r="D4399" i="5"/>
  <c r="C4399" i="5"/>
  <c r="E4395" i="5"/>
  <c r="D4395" i="5"/>
  <c r="C4395" i="5"/>
  <c r="E4394" i="5"/>
  <c r="D4394" i="5"/>
  <c r="C4394" i="5"/>
  <c r="E4393" i="5"/>
  <c r="D4393" i="5"/>
  <c r="C4393" i="5"/>
  <c r="E4392" i="5"/>
  <c r="D4392" i="5"/>
  <c r="C4392" i="5"/>
  <c r="E4371" i="5"/>
  <c r="E4386" i="5"/>
  <c r="C4386" i="5"/>
  <c r="E4384" i="5"/>
  <c r="D4384" i="5"/>
  <c r="C4384" i="5"/>
  <c r="E4383" i="5"/>
  <c r="D4383" i="5"/>
  <c r="C4383" i="5"/>
  <c r="E4382" i="5"/>
  <c r="D4382" i="5"/>
  <c r="C4382" i="5"/>
  <c r="E4381" i="5"/>
  <c r="D4381" i="5"/>
  <c r="C4381" i="5"/>
  <c r="E4380" i="5"/>
  <c r="D4380" i="5"/>
  <c r="C4380" i="5"/>
  <c r="E4379" i="5"/>
  <c r="D4379" i="5"/>
  <c r="C4379" i="5"/>
  <c r="E4364" i="5"/>
  <c r="D4364" i="5"/>
  <c r="C4364" i="5"/>
  <c r="E4363" i="5"/>
  <c r="D4363" i="5"/>
  <c r="C4363" i="5"/>
  <c r="E4362" i="5"/>
  <c r="D4362" i="5"/>
  <c r="C4362" i="5"/>
  <c r="E4357" i="5"/>
  <c r="D4357" i="5"/>
  <c r="C4357" i="5"/>
  <c r="E4356" i="5"/>
  <c r="D4356" i="5"/>
  <c r="C4356" i="5"/>
  <c r="E4351" i="5"/>
  <c r="D4351" i="5"/>
  <c r="C4351" i="5"/>
  <c r="E4350" i="5"/>
  <c r="D4350" i="5"/>
  <c r="C4350" i="5"/>
  <c r="E4344" i="5"/>
  <c r="D4344" i="5"/>
  <c r="C4344" i="5"/>
  <c r="E4343" i="5"/>
  <c r="D4343" i="5"/>
  <c r="C4343" i="5"/>
  <c r="E4342" i="5"/>
  <c r="D4342" i="5"/>
  <c r="C4342" i="5"/>
  <c r="E4337" i="5"/>
  <c r="D4337" i="5"/>
  <c r="C4337" i="5"/>
  <c r="E4336" i="5"/>
  <c r="D4336" i="5"/>
  <c r="C4336" i="5"/>
  <c r="E4335" i="5"/>
  <c r="D4335" i="5"/>
  <c r="C4335" i="5"/>
  <c r="E4334" i="5"/>
  <c r="E4329" i="5"/>
  <c r="D4329" i="5"/>
  <c r="C4329" i="5"/>
  <c r="E4328" i="5"/>
  <c r="D4328" i="5"/>
  <c r="C4328" i="5"/>
  <c r="E4327" i="5"/>
  <c r="D4327" i="5"/>
  <c r="C4327" i="5"/>
  <c r="E4326" i="5"/>
  <c r="E4321" i="5"/>
  <c r="D4321" i="5"/>
  <c r="C4321" i="5"/>
  <c r="E4320" i="5"/>
  <c r="D4320" i="5"/>
  <c r="C4320" i="5"/>
  <c r="E4319" i="5"/>
  <c r="D4319" i="5"/>
  <c r="C4319" i="5"/>
  <c r="E4318" i="5"/>
  <c r="D4318" i="5"/>
  <c r="C4318" i="5"/>
  <c r="E4313" i="5"/>
  <c r="D4313" i="5"/>
  <c r="C4313" i="5"/>
  <c r="E4312" i="5"/>
  <c r="D4312" i="5"/>
  <c r="C4312" i="5"/>
  <c r="E4311" i="5"/>
  <c r="D4311" i="5"/>
  <c r="C4311" i="5"/>
  <c r="E4310" i="5"/>
  <c r="D4310" i="5"/>
  <c r="C4310" i="5"/>
  <c r="E4307" i="5"/>
  <c r="C4307" i="5"/>
  <c r="E4306" i="5"/>
  <c r="D4306" i="5"/>
  <c r="C4306" i="5"/>
  <c r="E4295" i="5"/>
  <c r="D4295" i="5"/>
  <c r="C4295" i="5"/>
  <c r="E4280" i="5"/>
  <c r="D4280" i="5"/>
  <c r="C4280" i="5"/>
  <c r="E4279" i="5"/>
  <c r="D4279" i="5"/>
  <c r="C4279" i="5"/>
  <c r="E4278" i="5"/>
  <c r="D4278" i="5"/>
  <c r="C4278" i="5"/>
  <c r="G4277" i="5"/>
  <c r="I4277" i="5" s="1"/>
  <c r="E4277" i="5"/>
  <c r="D4277" i="5"/>
  <c r="C4277" i="5"/>
  <c r="E4276" i="5"/>
  <c r="D4276" i="5"/>
  <c r="C4276" i="5"/>
  <c r="E4271" i="5"/>
  <c r="E4248" i="5"/>
  <c r="D4248" i="5"/>
  <c r="C4248" i="5"/>
  <c r="E4247" i="5"/>
  <c r="D4247" i="5"/>
  <c r="C4247" i="5"/>
  <c r="E4246" i="5"/>
  <c r="D4246" i="5"/>
  <c r="C4246" i="5"/>
  <c r="E4245" i="5"/>
  <c r="D4245" i="5"/>
  <c r="C4245" i="5"/>
  <c r="E4244" i="5"/>
  <c r="D4244" i="5"/>
  <c r="C4244" i="5"/>
  <c r="E4243" i="5"/>
  <c r="D4243" i="5"/>
  <c r="C4243" i="5"/>
  <c r="E4241" i="5"/>
  <c r="D4241" i="5"/>
  <c r="C4241" i="5"/>
  <c r="E4240" i="5"/>
  <c r="D4240" i="5"/>
  <c r="C4240" i="5"/>
  <c r="E4237" i="5"/>
  <c r="D4237" i="5"/>
  <c r="C4237" i="5"/>
  <c r="E4233" i="5"/>
  <c r="D4233" i="5"/>
  <c r="C4233" i="5"/>
  <c r="E4232" i="5"/>
  <c r="D4232" i="5"/>
  <c r="C4232" i="5"/>
  <c r="E4228" i="5"/>
  <c r="D4228" i="5"/>
  <c r="C4228" i="5"/>
  <c r="E4225" i="5"/>
  <c r="D4225" i="5"/>
  <c r="C4225" i="5"/>
  <c r="E4239" i="5"/>
  <c r="D4239" i="5"/>
  <c r="C4239" i="5"/>
  <c r="E4236" i="5"/>
  <c r="D4236" i="5"/>
  <c r="C4236" i="5"/>
  <c r="E4235" i="5"/>
  <c r="D4235" i="5"/>
  <c r="C4235" i="5"/>
  <c r="E4231" i="5"/>
  <c r="D4231" i="5"/>
  <c r="C4231" i="5"/>
  <c r="E4230" i="5"/>
  <c r="D4230" i="5"/>
  <c r="C4230" i="5"/>
  <c r="E4227" i="5"/>
  <c r="D4227" i="5"/>
  <c r="C4227" i="5"/>
  <c r="E4224" i="5"/>
  <c r="D4224" i="5"/>
  <c r="C4224" i="5"/>
  <c r="E4222" i="5"/>
  <c r="D4222" i="5"/>
  <c r="C4222" i="5"/>
  <c r="E4215" i="5"/>
  <c r="D4215" i="5"/>
  <c r="C4215" i="5"/>
  <c r="E4214" i="5"/>
  <c r="D4214" i="5"/>
  <c r="C4214" i="5"/>
  <c r="E4213" i="5"/>
  <c r="D4213" i="5"/>
  <c r="C4213" i="5"/>
  <c r="E4212" i="5"/>
  <c r="D4212" i="5"/>
  <c r="C4212" i="5"/>
  <c r="E4206" i="5"/>
  <c r="D4206" i="5"/>
  <c r="C4206" i="5"/>
  <c r="E4205" i="5"/>
  <c r="D4205" i="5"/>
  <c r="C4205" i="5"/>
  <c r="E4204" i="5"/>
  <c r="D4204" i="5"/>
  <c r="C4204" i="5"/>
  <c r="E4198" i="5"/>
  <c r="D4198" i="5"/>
  <c r="C4198" i="5"/>
  <c r="E4194" i="5"/>
  <c r="D4194" i="5"/>
  <c r="C4194" i="5"/>
  <c r="E4191" i="5"/>
  <c r="D4191" i="5"/>
  <c r="C4191" i="5"/>
  <c r="E4188" i="5"/>
  <c r="D4188" i="5"/>
  <c r="C4188" i="5"/>
  <c r="E4184" i="5"/>
  <c r="D4184" i="5"/>
  <c r="C4184" i="5"/>
  <c r="E4177" i="5"/>
  <c r="D4177" i="5"/>
  <c r="C4177" i="5"/>
  <c r="E4170" i="5"/>
  <c r="D4170" i="5"/>
  <c r="C4170" i="5"/>
  <c r="E4169" i="5"/>
  <c r="D4169" i="5"/>
  <c r="C4169" i="5"/>
  <c r="E4164" i="5"/>
  <c r="D4164" i="5"/>
  <c r="C4164" i="5"/>
  <c r="E4158" i="5"/>
  <c r="D4158" i="5"/>
  <c r="C4158" i="5"/>
  <c r="E4152" i="5"/>
  <c r="D4152" i="5"/>
  <c r="C4152" i="5"/>
  <c r="E4146" i="5"/>
  <c r="D4146" i="5"/>
  <c r="C4146" i="5"/>
  <c r="E4140" i="5"/>
  <c r="D4140" i="5"/>
  <c r="C4140" i="5"/>
  <c r="E4136" i="5"/>
  <c r="D4136" i="5"/>
  <c r="C4136" i="5"/>
  <c r="E4132" i="5"/>
  <c r="D4132" i="5"/>
  <c r="C4132" i="5"/>
  <c r="E4131" i="5"/>
  <c r="D4131" i="5"/>
  <c r="C4131" i="5"/>
  <c r="E4124" i="5"/>
  <c r="D4124" i="5"/>
  <c r="C4124" i="5"/>
  <c r="E4123" i="5"/>
  <c r="D4123" i="5"/>
  <c r="C4123" i="5"/>
  <c r="E4122" i="5"/>
  <c r="D4122" i="5"/>
  <c r="C4122" i="5"/>
  <c r="E4121" i="5"/>
  <c r="D4121" i="5"/>
  <c r="C4121" i="5"/>
  <c r="E4113" i="5"/>
  <c r="D4113" i="5"/>
  <c r="C4113" i="5"/>
  <c r="E4108" i="5"/>
  <c r="D4108" i="5"/>
  <c r="C4108" i="5"/>
  <c r="E4107" i="5"/>
  <c r="D4107" i="5"/>
  <c r="C4107" i="5"/>
  <c r="E4098" i="5"/>
  <c r="D4098" i="5"/>
  <c r="C4098" i="5"/>
  <c r="E4093" i="5"/>
  <c r="D4093" i="5"/>
  <c r="C4093" i="5"/>
  <c r="E4089" i="5"/>
  <c r="D4089" i="5"/>
  <c r="C4089" i="5"/>
  <c r="E4088" i="5"/>
  <c r="D4088" i="5"/>
  <c r="C4088" i="5"/>
  <c r="E4084" i="5"/>
  <c r="D4084" i="5"/>
  <c r="C4084" i="5"/>
  <c r="E4079" i="5"/>
  <c r="D4079" i="5"/>
  <c r="C4079" i="5"/>
  <c r="E4074" i="5"/>
  <c r="D4074" i="5"/>
  <c r="C4074" i="5"/>
  <c r="E4073" i="5"/>
  <c r="D4073" i="5"/>
  <c r="C4073" i="5"/>
  <c r="E4068" i="5"/>
  <c r="D4068" i="5"/>
  <c r="C4068" i="5"/>
  <c r="E4061" i="5"/>
  <c r="D4061" i="5"/>
  <c r="C4061" i="5"/>
  <c r="E4056" i="5"/>
  <c r="D4056" i="5"/>
  <c r="C4056" i="5"/>
  <c r="E4052" i="5"/>
  <c r="D4052" i="5"/>
  <c r="C4052" i="5"/>
  <c r="E4051" i="5"/>
  <c r="D4051" i="5"/>
  <c r="C4051" i="5"/>
  <c r="E4047" i="5"/>
  <c r="D4047" i="5"/>
  <c r="C4047" i="5"/>
  <c r="E4040" i="5"/>
  <c r="D4040" i="5"/>
  <c r="C4040" i="5"/>
  <c r="E4034" i="5"/>
  <c r="D4034" i="5"/>
  <c r="C4034" i="5"/>
  <c r="E4027" i="5"/>
  <c r="D4027" i="5"/>
  <c r="C4027" i="5"/>
  <c r="E4022" i="5"/>
  <c r="D4022" i="5"/>
  <c r="C4022" i="5"/>
  <c r="E4017" i="5"/>
  <c r="D4017" i="5"/>
  <c r="C4017" i="5"/>
  <c r="E4012" i="5"/>
  <c r="D4012" i="5"/>
  <c r="C4012" i="5"/>
  <c r="E4008" i="5"/>
  <c r="D4008" i="5"/>
  <c r="C4008" i="5"/>
  <c r="E4004" i="5"/>
  <c r="D4004" i="5"/>
  <c r="C4004" i="5"/>
  <c r="E4003" i="5"/>
  <c r="D4003" i="5"/>
  <c r="C4003" i="5"/>
  <c r="E3987" i="5"/>
  <c r="D3987" i="5"/>
  <c r="C3987" i="5"/>
  <c r="E3979" i="5"/>
  <c r="D3979" i="5"/>
  <c r="C3979" i="5"/>
  <c r="E3973" i="5"/>
  <c r="D3973" i="5"/>
  <c r="C3973" i="5"/>
  <c r="E3962" i="5"/>
  <c r="D3962" i="5"/>
  <c r="C3962" i="5"/>
  <c r="E3944" i="5"/>
  <c r="D3944" i="5"/>
  <c r="C3944" i="5"/>
  <c r="E3935" i="5"/>
  <c r="D3935" i="5"/>
  <c r="C3935" i="5"/>
  <c r="E3934" i="5"/>
  <c r="D3934" i="5"/>
  <c r="C3934" i="5"/>
  <c r="E3926" i="5"/>
  <c r="D3926" i="5"/>
  <c r="C3926" i="5"/>
  <c r="E3915" i="5"/>
  <c r="D3915" i="5"/>
  <c r="C3915" i="5"/>
  <c r="E3898" i="5"/>
  <c r="D3898" i="5"/>
  <c r="C3898" i="5"/>
  <c r="E3895" i="5"/>
  <c r="D3895" i="5"/>
  <c r="C3895" i="5"/>
  <c r="E3892" i="5"/>
  <c r="D3892" i="5"/>
  <c r="C3892" i="5"/>
  <c r="E3891" i="5"/>
  <c r="D3891" i="5"/>
  <c r="C3891" i="5"/>
  <c r="E3883" i="5"/>
  <c r="D3883" i="5"/>
  <c r="C3883" i="5"/>
  <c r="E3882" i="5"/>
  <c r="D3882" i="5"/>
  <c r="C3882" i="5"/>
  <c r="E3874" i="5"/>
  <c r="D3874" i="5"/>
  <c r="C3874" i="5"/>
  <c r="E3866" i="5"/>
  <c r="D3866" i="5"/>
  <c r="C3866" i="5"/>
  <c r="E3859" i="5"/>
  <c r="D3859" i="5"/>
  <c r="C3859" i="5"/>
  <c r="E3852" i="5"/>
  <c r="D3852" i="5"/>
  <c r="C3852" i="5"/>
  <c r="E3839" i="5"/>
  <c r="D3839" i="5"/>
  <c r="C3839" i="5"/>
  <c r="E3827" i="5"/>
  <c r="D3827" i="5"/>
  <c r="C3827" i="5"/>
  <c r="E3819" i="5"/>
  <c r="D3819" i="5"/>
  <c r="C3819" i="5"/>
  <c r="E3808" i="5"/>
  <c r="D3808" i="5"/>
  <c r="C3808" i="5"/>
  <c r="E3793" i="5"/>
  <c r="D3793" i="5"/>
  <c r="C3793" i="5"/>
  <c r="E3781" i="5"/>
  <c r="D3781" i="5"/>
  <c r="C3781" i="5"/>
  <c r="E3769" i="5"/>
  <c r="D3769" i="5"/>
  <c r="C3769" i="5"/>
  <c r="E3757" i="5"/>
  <c r="D3757" i="5"/>
  <c r="C3757" i="5"/>
  <c r="E3744" i="5"/>
  <c r="D3744" i="5"/>
  <c r="C3744" i="5"/>
  <c r="E3732" i="5"/>
  <c r="D3732" i="5"/>
  <c r="C3732" i="5"/>
  <c r="E3731" i="5"/>
  <c r="D3731" i="5"/>
  <c r="C3731" i="5"/>
  <c r="E3743" i="5"/>
  <c r="D3743" i="5"/>
  <c r="C3743" i="5"/>
  <c r="E3756" i="5"/>
  <c r="D3756" i="5"/>
  <c r="C3756" i="5"/>
  <c r="E3768" i="5"/>
  <c r="D3768" i="5"/>
  <c r="C3768" i="5"/>
  <c r="E3780" i="5"/>
  <c r="D3780" i="5"/>
  <c r="C3780" i="5"/>
  <c r="E3792" i="5"/>
  <c r="D3792" i="5"/>
  <c r="C3792" i="5"/>
  <c r="E3796" i="5"/>
  <c r="D3796" i="5"/>
  <c r="C3796" i="5"/>
  <c r="E3807" i="5"/>
  <c r="D3807" i="5"/>
  <c r="C3807" i="5"/>
  <c r="E3818" i="5"/>
  <c r="D3818" i="5"/>
  <c r="C3818" i="5"/>
  <c r="E3826" i="5"/>
  <c r="D3826" i="5"/>
  <c r="C3826" i="5"/>
  <c r="E3838" i="5"/>
  <c r="D3838" i="5"/>
  <c r="C3838" i="5"/>
  <c r="E3851" i="5"/>
  <c r="D3851" i="5"/>
  <c r="C3851" i="5"/>
  <c r="E3858" i="5"/>
  <c r="D3858" i="5"/>
  <c r="C3858" i="5"/>
  <c r="E3865" i="5"/>
  <c r="D3865" i="5"/>
  <c r="C3865" i="5"/>
  <c r="E3873" i="5"/>
  <c r="D3873" i="5"/>
  <c r="C3873" i="5"/>
  <c r="E3881" i="5"/>
  <c r="D3881" i="5"/>
  <c r="C3881" i="5"/>
  <c r="E3890" i="5"/>
  <c r="D3890" i="5"/>
  <c r="C3890" i="5"/>
  <c r="E3894" i="5"/>
  <c r="D3894" i="5"/>
  <c r="C3894" i="5"/>
  <c r="E3900" i="5"/>
  <c r="D3900" i="5"/>
  <c r="C3900" i="5"/>
  <c r="E3897" i="5"/>
  <c r="D3897" i="5"/>
  <c r="C3897" i="5"/>
  <c r="E3901" i="5"/>
  <c r="D3901" i="5"/>
  <c r="C3901" i="5"/>
  <c r="E3904" i="5"/>
  <c r="D3904" i="5"/>
  <c r="C3904" i="5"/>
  <c r="E3903" i="5"/>
  <c r="D3903" i="5"/>
  <c r="C3903" i="5"/>
  <c r="E3914" i="5"/>
  <c r="D3914" i="5"/>
  <c r="C3914" i="5"/>
  <c r="E3925" i="5"/>
  <c r="D3925" i="5"/>
  <c r="C3925" i="5"/>
  <c r="E3933" i="5"/>
  <c r="D3933" i="5"/>
  <c r="C3933" i="5"/>
  <c r="E3943" i="5"/>
  <c r="D3943" i="5"/>
  <c r="C3943" i="5"/>
  <c r="E3947" i="5"/>
  <c r="D3947" i="5"/>
  <c r="C3947" i="5"/>
  <c r="E3950" i="5"/>
  <c r="D3950" i="5"/>
  <c r="C3950" i="5"/>
  <c r="E3961" i="5"/>
  <c r="D3961" i="5"/>
  <c r="C3961" i="5"/>
  <c r="E3972" i="5"/>
  <c r="D3972" i="5"/>
  <c r="C3972" i="5"/>
  <c r="E3978" i="5"/>
  <c r="D3978" i="5"/>
  <c r="C3978" i="5"/>
  <c r="E3986" i="5"/>
  <c r="D3986" i="5"/>
  <c r="C3986" i="5"/>
  <c r="E3990" i="5"/>
  <c r="D3990" i="5"/>
  <c r="C3990" i="5"/>
  <c r="E3995" i="5"/>
  <c r="D3995" i="5"/>
  <c r="C3995" i="5"/>
  <c r="E3999" i="5"/>
  <c r="D3999" i="5"/>
  <c r="C3999" i="5"/>
  <c r="E4002" i="5"/>
  <c r="D4002" i="5"/>
  <c r="C4002" i="5"/>
  <c r="E4007" i="5"/>
  <c r="D4007" i="5"/>
  <c r="C4007" i="5"/>
  <c r="E4011" i="5"/>
  <c r="D4011" i="5"/>
  <c r="C4011" i="5"/>
  <c r="E4016" i="5"/>
  <c r="D4016" i="5"/>
  <c r="C4016" i="5"/>
  <c r="E4021" i="5"/>
  <c r="D4021" i="5"/>
  <c r="C4021" i="5"/>
  <c r="E4026" i="5"/>
  <c r="D4026" i="5"/>
  <c r="C4026" i="5"/>
  <c r="E4033" i="5"/>
  <c r="D4033" i="5"/>
  <c r="C4033" i="5"/>
  <c r="E4039" i="5"/>
  <c r="D4039" i="5"/>
  <c r="C4039" i="5"/>
  <c r="E4046" i="5"/>
  <c r="D4046" i="5"/>
  <c r="C4046" i="5"/>
  <c r="E4050" i="5"/>
  <c r="D4050" i="5"/>
  <c r="C4050" i="5"/>
  <c r="E4055" i="5"/>
  <c r="D4055" i="5"/>
  <c r="C4055" i="5"/>
  <c r="E4060" i="5"/>
  <c r="D4060" i="5"/>
  <c r="C4060" i="5"/>
  <c r="E4067" i="5"/>
  <c r="D4067" i="5"/>
  <c r="C4067" i="5"/>
  <c r="E4072" i="5"/>
  <c r="D4072" i="5"/>
  <c r="C4072" i="5"/>
  <c r="E4078" i="5"/>
  <c r="D4078" i="5"/>
  <c r="C4078" i="5"/>
  <c r="E4083" i="5"/>
  <c r="D4083" i="5"/>
  <c r="C4083" i="5"/>
  <c r="E4087" i="5"/>
  <c r="D4087" i="5"/>
  <c r="C4087" i="5"/>
  <c r="E4092" i="5"/>
  <c r="D4092" i="5"/>
  <c r="C4092" i="5"/>
  <c r="E4096" i="5"/>
  <c r="D4096" i="5"/>
  <c r="C4096" i="5"/>
  <c r="E4097" i="5"/>
  <c r="D4097" i="5"/>
  <c r="C4097" i="5"/>
  <c r="E4105" i="5"/>
  <c r="D4105" i="5"/>
  <c r="C4105" i="5"/>
  <c r="E4106" i="5"/>
  <c r="D4106" i="5"/>
  <c r="C4106" i="5"/>
  <c r="E4112" i="5"/>
  <c r="D4112" i="5"/>
  <c r="C4112" i="5"/>
  <c r="E4120" i="5"/>
  <c r="D4120" i="5"/>
  <c r="C4120" i="5"/>
  <c r="E4130" i="5"/>
  <c r="D4130" i="5"/>
  <c r="C4130" i="5"/>
  <c r="E4134" i="5"/>
  <c r="D4134" i="5"/>
  <c r="C4134" i="5"/>
  <c r="E4135" i="5"/>
  <c r="D4135" i="5"/>
  <c r="C4135" i="5"/>
  <c r="E4138" i="5"/>
  <c r="D4138" i="5"/>
  <c r="C4138" i="5"/>
  <c r="E4139" i="5"/>
  <c r="D4139" i="5"/>
  <c r="C4139" i="5"/>
  <c r="E4145" i="5"/>
  <c r="D4145" i="5"/>
  <c r="C4145" i="5"/>
  <c r="E4151" i="5"/>
  <c r="D4151" i="5"/>
  <c r="C4151" i="5"/>
  <c r="E4157" i="5"/>
  <c r="D4157" i="5"/>
  <c r="C4157" i="5"/>
  <c r="E4163" i="5"/>
  <c r="D4163" i="5"/>
  <c r="C4163" i="5"/>
  <c r="E4168" i="5"/>
  <c r="D4168" i="5"/>
  <c r="C4168" i="5"/>
  <c r="E4176" i="5"/>
  <c r="D4176" i="5"/>
  <c r="C4176" i="5"/>
  <c r="E4183" i="5"/>
  <c r="D4183" i="5"/>
  <c r="C4183" i="5"/>
  <c r="E4187" i="5"/>
  <c r="D4187" i="5"/>
  <c r="C4187" i="5"/>
  <c r="E4190" i="5"/>
  <c r="D4190" i="5"/>
  <c r="C4190" i="5"/>
  <c r="E4193" i="5"/>
  <c r="D4193" i="5"/>
  <c r="C4193" i="5"/>
  <c r="E4196" i="5"/>
  <c r="D4196" i="5"/>
  <c r="C4196" i="5"/>
  <c r="E4197" i="5"/>
  <c r="D4197" i="5"/>
  <c r="C4197" i="5"/>
  <c r="E4203" i="5"/>
  <c r="D4203" i="5"/>
  <c r="C4203" i="5"/>
  <c r="E4211" i="5"/>
  <c r="D4211" i="5"/>
  <c r="C4211" i="5"/>
  <c r="E4221" i="5"/>
  <c r="D4221" i="5"/>
  <c r="C4221" i="5"/>
  <c r="E4220" i="5"/>
  <c r="D4220" i="5"/>
  <c r="C4220" i="5"/>
  <c r="E4219" i="5"/>
  <c r="D4219" i="5"/>
  <c r="C4219" i="5"/>
  <c r="E4218" i="5"/>
  <c r="D4218" i="5"/>
  <c r="C4218" i="5"/>
  <c r="E4210" i="5"/>
  <c r="E4209" i="5"/>
  <c r="E4208" i="5"/>
  <c r="D4208" i="5"/>
  <c r="C4208" i="5"/>
  <c r="E4202" i="5"/>
  <c r="E4201" i="5"/>
  <c r="D4201" i="5"/>
  <c r="C4201" i="5"/>
  <c r="E4200" i="5"/>
  <c r="D4200" i="5"/>
  <c r="C4200" i="5"/>
  <c r="E4186" i="5"/>
  <c r="D4186" i="5"/>
  <c r="C4186" i="5"/>
  <c r="E4182" i="5"/>
  <c r="D4182" i="5"/>
  <c r="C4182" i="5"/>
  <c r="E4181" i="5"/>
  <c r="D4181" i="5"/>
  <c r="C4181" i="5"/>
  <c r="E4180" i="5"/>
  <c r="D4180" i="5"/>
  <c r="C4180" i="5"/>
  <c r="E4175" i="5"/>
  <c r="D4175" i="5"/>
  <c r="C4175" i="5"/>
  <c r="E4174" i="5"/>
  <c r="D4174" i="5"/>
  <c r="C4174" i="5"/>
  <c r="E4173" i="5"/>
  <c r="D4173" i="5"/>
  <c r="C4173" i="5"/>
  <c r="E4172" i="5"/>
  <c r="D4172" i="5"/>
  <c r="C4172" i="5"/>
  <c r="E4167" i="5"/>
  <c r="D4167" i="5"/>
  <c r="C4167" i="5"/>
  <c r="E4166" i="5"/>
  <c r="D4166" i="5"/>
  <c r="C4166" i="5"/>
  <c r="E4162" i="5"/>
  <c r="D4162" i="5"/>
  <c r="C4162" i="5"/>
  <c r="E4161" i="5"/>
  <c r="D4161" i="5"/>
  <c r="C4161" i="5"/>
  <c r="E4160" i="5"/>
  <c r="D4160" i="5"/>
  <c r="C4160" i="5"/>
  <c r="E4156" i="5"/>
  <c r="D4156" i="5"/>
  <c r="C4156" i="5"/>
  <c r="E4155" i="5"/>
  <c r="D4155" i="5"/>
  <c r="C4155" i="5"/>
  <c r="E4154" i="5"/>
  <c r="D4154" i="5"/>
  <c r="C4154" i="5"/>
  <c r="E4150" i="5"/>
  <c r="D4150" i="5"/>
  <c r="C4150" i="5"/>
  <c r="E4149" i="5"/>
  <c r="D4149" i="5"/>
  <c r="C4149" i="5"/>
  <c r="E4148" i="5"/>
  <c r="D4148" i="5"/>
  <c r="C4148" i="5"/>
  <c r="E4144" i="5"/>
  <c r="D4144" i="5"/>
  <c r="C4144" i="5"/>
  <c r="E4143" i="5"/>
  <c r="D4143" i="5"/>
  <c r="C4143" i="5"/>
  <c r="E4142" i="5"/>
  <c r="D4142" i="5"/>
  <c r="C4142" i="5"/>
  <c r="E4129" i="5"/>
  <c r="E4119" i="5"/>
  <c r="E4127" i="5"/>
  <c r="E4117" i="5"/>
  <c r="E4126" i="5"/>
  <c r="D4126" i="5"/>
  <c r="C4126" i="5"/>
  <c r="E4118" i="5"/>
  <c r="E4116" i="5"/>
  <c r="D4116" i="5"/>
  <c r="C4116" i="5"/>
  <c r="E4115" i="5"/>
  <c r="D4115" i="5"/>
  <c r="C4115" i="5"/>
  <c r="E4111" i="5"/>
  <c r="E4110" i="5"/>
  <c r="D4110" i="5"/>
  <c r="C4110" i="5"/>
  <c r="E4104" i="5"/>
  <c r="E4103" i="5"/>
  <c r="D4103" i="5"/>
  <c r="C4103" i="5"/>
  <c r="E4102" i="5"/>
  <c r="D4102" i="5"/>
  <c r="C4102" i="5"/>
  <c r="E4101" i="5"/>
  <c r="D4101" i="5"/>
  <c r="C4101" i="5"/>
  <c r="E4100" i="5"/>
  <c r="D4100" i="5"/>
  <c r="C4100" i="5"/>
  <c r="E4095" i="5"/>
  <c r="D4095" i="5"/>
  <c r="C4095" i="5"/>
  <c r="E4091" i="5"/>
  <c r="D4091" i="5"/>
  <c r="C4091" i="5"/>
  <c r="E4086" i="5"/>
  <c r="D4086" i="5"/>
  <c r="C4086" i="5"/>
  <c r="E4082" i="5"/>
  <c r="E4081" i="5"/>
  <c r="D4081" i="5"/>
  <c r="C4081" i="5"/>
  <c r="E4077" i="5"/>
  <c r="E4076" i="5"/>
  <c r="D4076" i="5"/>
  <c r="C4076" i="5"/>
  <c r="E4071" i="5"/>
  <c r="E4070" i="5"/>
  <c r="D4070" i="5"/>
  <c r="C4070" i="5"/>
  <c r="E4066" i="5"/>
  <c r="D4066" i="5"/>
  <c r="C4066" i="5"/>
  <c r="E4065" i="5"/>
  <c r="D4065" i="5"/>
  <c r="C4065" i="5"/>
  <c r="E4064" i="5"/>
  <c r="D4064" i="5"/>
  <c r="C4064" i="5"/>
  <c r="E4063" i="5"/>
  <c r="D4063" i="5"/>
  <c r="C4063" i="5"/>
  <c r="E4059" i="5"/>
  <c r="E4058" i="5"/>
  <c r="D4058" i="5"/>
  <c r="C4058" i="5"/>
  <c r="E4054" i="5"/>
  <c r="D4054" i="5"/>
  <c r="C4054" i="5"/>
  <c r="E4049" i="5"/>
  <c r="D4049" i="5"/>
  <c r="C4049" i="5"/>
  <c r="E4045" i="5"/>
  <c r="D4045" i="5"/>
  <c r="C4045" i="5"/>
  <c r="E4044" i="5"/>
  <c r="D4044" i="5"/>
  <c r="C4044" i="5"/>
  <c r="E4043" i="5"/>
  <c r="D4043" i="5"/>
  <c r="C4043" i="5"/>
  <c r="E4042" i="5"/>
  <c r="D4042" i="5"/>
  <c r="C4042" i="5"/>
  <c r="E4038" i="5"/>
  <c r="E4037" i="5"/>
  <c r="D4037" i="5"/>
  <c r="C4037" i="5"/>
  <c r="E4036" i="5"/>
  <c r="D4036" i="5"/>
  <c r="C4036" i="5"/>
  <c r="E4032" i="5"/>
  <c r="D4032" i="5"/>
  <c r="C4032" i="5"/>
  <c r="E4031" i="5"/>
  <c r="D4031" i="5"/>
  <c r="C4031" i="5"/>
  <c r="E4030" i="5"/>
  <c r="D4030" i="5"/>
  <c r="C4030" i="5"/>
  <c r="E4029" i="5"/>
  <c r="D4029" i="5"/>
  <c r="C4029" i="5"/>
  <c r="E4025" i="5"/>
  <c r="E4020" i="5"/>
  <c r="E4024" i="5"/>
  <c r="D4024" i="5"/>
  <c r="C4024" i="5"/>
  <c r="E4015" i="5"/>
  <c r="D4020" i="5"/>
  <c r="D4015" i="5"/>
  <c r="C4020" i="5"/>
  <c r="C4015" i="5"/>
  <c r="E4019" i="5"/>
  <c r="D4019" i="5"/>
  <c r="C4019" i="5"/>
  <c r="E4014" i="5"/>
  <c r="D4014" i="5"/>
  <c r="C4014" i="5"/>
  <c r="E4010" i="5"/>
  <c r="D4010" i="5"/>
  <c r="C4010" i="5"/>
  <c r="E4006" i="5"/>
  <c r="D4006" i="5"/>
  <c r="C4006" i="5"/>
  <c r="E4001" i="5"/>
  <c r="D4001" i="5"/>
  <c r="C4001" i="5"/>
  <c r="E3998" i="5"/>
  <c r="D3998" i="5"/>
  <c r="C3998" i="5"/>
  <c r="E3997" i="5"/>
  <c r="D3997" i="5"/>
  <c r="C3997" i="5"/>
  <c r="E3994" i="5"/>
  <c r="D3994" i="5"/>
  <c r="C3994" i="5"/>
  <c r="E3993" i="5"/>
  <c r="D3993" i="5"/>
  <c r="C3993" i="5"/>
  <c r="E3992" i="5"/>
  <c r="D3992" i="5"/>
  <c r="C3992" i="5"/>
  <c r="E3989" i="5"/>
  <c r="D3989" i="5"/>
  <c r="C3989" i="5"/>
  <c r="E3985" i="5"/>
  <c r="D3985" i="5"/>
  <c r="C3985" i="5"/>
  <c r="E3984" i="5"/>
  <c r="D3984" i="5"/>
  <c r="C3984" i="5"/>
  <c r="E3983" i="5"/>
  <c r="D3983" i="5"/>
  <c r="C3983" i="5"/>
  <c r="E3982" i="5"/>
  <c r="D3982" i="5"/>
  <c r="C3982" i="5"/>
  <c r="E3981" i="5"/>
  <c r="D3981" i="5"/>
  <c r="C3981" i="5"/>
  <c r="E3977" i="5"/>
  <c r="D3977" i="5"/>
  <c r="C3977" i="5"/>
  <c r="G3976" i="5"/>
  <c r="I3976" i="5" s="1"/>
  <c r="E3976" i="5"/>
  <c r="D3976" i="5"/>
  <c r="C3976" i="5"/>
  <c r="E3975" i="5"/>
  <c r="D3975" i="5"/>
  <c r="C3975" i="5"/>
  <c r="G3970" i="5"/>
  <c r="I3970" i="5" s="1"/>
  <c r="E3970" i="5"/>
  <c r="D3970" i="5"/>
  <c r="C3970" i="5"/>
  <c r="E3969" i="5"/>
  <c r="D3969" i="5"/>
  <c r="C3969" i="5"/>
  <c r="E3971" i="5"/>
  <c r="D3971" i="5"/>
  <c r="C3971" i="5"/>
  <c r="E3968" i="5"/>
  <c r="D3968" i="5"/>
  <c r="D5393" i="5" s="1"/>
  <c r="C3968" i="5"/>
  <c r="E3967" i="5"/>
  <c r="D3967" i="5"/>
  <c r="C3967" i="5"/>
  <c r="E3966" i="5"/>
  <c r="D3966" i="5"/>
  <c r="C3966" i="5"/>
  <c r="E3965" i="5"/>
  <c r="D3965" i="5"/>
  <c r="C3965" i="5"/>
  <c r="E3964" i="5"/>
  <c r="D3964" i="5"/>
  <c r="C3964" i="5"/>
  <c r="E3960" i="5"/>
  <c r="E3806" i="5"/>
  <c r="G3958" i="5"/>
  <c r="I3958" i="5" s="1"/>
  <c r="E3958" i="5"/>
  <c r="D3958" i="5"/>
  <c r="C3958" i="5"/>
  <c r="E3957" i="5"/>
  <c r="D3957" i="5"/>
  <c r="C3957" i="5"/>
  <c r="E3959" i="5"/>
  <c r="D3959" i="5"/>
  <c r="C3959" i="5"/>
  <c r="E3956" i="5"/>
  <c r="D3956" i="5"/>
  <c r="C3956" i="5"/>
  <c r="E3955" i="5"/>
  <c r="D3955" i="5"/>
  <c r="C3955" i="5"/>
  <c r="E3954" i="5"/>
  <c r="D3954" i="5"/>
  <c r="C3954" i="5"/>
  <c r="E3953" i="5"/>
  <c r="D3953" i="5"/>
  <c r="C3953" i="5"/>
  <c r="E3952" i="5"/>
  <c r="D3952" i="5"/>
  <c r="C3952" i="5"/>
  <c r="E3949" i="5"/>
  <c r="D3949" i="5"/>
  <c r="C3949" i="5"/>
  <c r="E3946" i="5"/>
  <c r="D3946" i="5"/>
  <c r="C3946" i="5"/>
  <c r="E3942" i="5"/>
  <c r="D3942" i="5"/>
  <c r="C3942" i="5"/>
  <c r="E3941" i="5"/>
  <c r="D3941" i="5"/>
  <c r="C3941" i="5"/>
  <c r="E3940" i="5"/>
  <c r="D3940" i="5"/>
  <c r="C3940" i="5"/>
  <c r="E3939" i="5"/>
  <c r="D3939" i="5"/>
  <c r="C3939" i="5"/>
  <c r="E3938" i="5"/>
  <c r="D3938" i="5"/>
  <c r="C3938" i="5"/>
  <c r="E3937" i="5"/>
  <c r="D3937" i="5"/>
  <c r="C3937" i="5"/>
  <c r="E3932" i="5"/>
  <c r="D3932" i="5"/>
  <c r="C3932" i="5"/>
  <c r="E3931" i="5"/>
  <c r="D3931" i="5"/>
  <c r="C3931" i="5"/>
  <c r="E3930" i="5"/>
  <c r="D3930" i="5"/>
  <c r="C3930" i="5"/>
  <c r="E3929" i="5"/>
  <c r="D3929" i="5"/>
  <c r="C3929" i="5"/>
  <c r="E3928" i="5"/>
  <c r="D3928" i="5"/>
  <c r="C3928" i="5"/>
  <c r="G3924" i="5"/>
  <c r="I3924" i="5" s="1"/>
  <c r="E3924" i="5"/>
  <c r="D3924" i="5"/>
  <c r="C3924" i="5"/>
  <c r="G3923" i="5"/>
  <c r="I3923" i="5" s="1"/>
  <c r="E3923" i="5"/>
  <c r="D3923" i="5"/>
  <c r="C3923" i="5"/>
  <c r="E3922" i="5"/>
  <c r="D3922" i="5"/>
  <c r="C3922" i="5"/>
  <c r="E3921" i="5"/>
  <c r="D3921" i="5"/>
  <c r="C3921" i="5"/>
  <c r="E3920" i="5"/>
  <c r="D3920" i="5"/>
  <c r="C3920" i="5"/>
  <c r="E3919" i="5"/>
  <c r="D3919" i="5"/>
  <c r="C3919" i="5"/>
  <c r="E3918" i="5"/>
  <c r="D3918" i="5"/>
  <c r="C3918" i="5"/>
  <c r="E3917" i="5"/>
  <c r="D3917" i="5"/>
  <c r="C3917" i="5"/>
  <c r="G3913" i="5"/>
  <c r="I3913" i="5" s="1"/>
  <c r="E3913" i="5"/>
  <c r="D3913" i="5"/>
  <c r="C3913" i="5"/>
  <c r="G3912" i="5"/>
  <c r="I3912" i="5" s="1"/>
  <c r="E3912" i="5"/>
  <c r="D3912" i="5"/>
  <c r="C3912" i="5"/>
  <c r="E3911" i="5"/>
  <c r="D3911" i="5"/>
  <c r="C3911" i="5"/>
  <c r="E3910" i="5"/>
  <c r="D3910" i="5"/>
  <c r="C3910" i="5"/>
  <c r="E3909" i="5"/>
  <c r="D3909" i="5"/>
  <c r="C3909" i="5"/>
  <c r="E3908" i="5"/>
  <c r="D3908" i="5"/>
  <c r="C3908" i="5"/>
  <c r="E3907" i="5"/>
  <c r="D3907" i="5"/>
  <c r="C3907" i="5"/>
  <c r="G3906" i="5"/>
  <c r="I3906" i="5" s="1"/>
  <c r="E3906" i="5"/>
  <c r="D3906" i="5"/>
  <c r="C3906" i="5"/>
  <c r="E3889" i="5"/>
  <c r="D3889" i="5"/>
  <c r="C3889" i="5"/>
  <c r="E3888" i="5"/>
  <c r="D3888" i="5"/>
  <c r="C3888" i="5"/>
  <c r="E3887" i="5"/>
  <c r="D3887" i="5"/>
  <c r="C3887" i="5"/>
  <c r="E3886" i="5"/>
  <c r="D3886" i="5"/>
  <c r="C3886" i="5"/>
  <c r="E3885" i="5"/>
  <c r="D3885" i="5"/>
  <c r="C3885" i="5"/>
  <c r="G3880" i="5"/>
  <c r="I3880" i="5" s="1"/>
  <c r="E3880" i="5"/>
  <c r="D3880" i="5"/>
  <c r="C3880" i="5"/>
  <c r="E3879" i="5"/>
  <c r="D3879" i="5"/>
  <c r="C3879" i="5"/>
  <c r="E3878" i="5"/>
  <c r="D3878" i="5"/>
  <c r="C3878" i="5"/>
  <c r="E3877" i="5"/>
  <c r="D3877" i="5"/>
  <c r="C3877" i="5"/>
  <c r="E3876" i="5"/>
  <c r="D3876" i="5"/>
  <c r="C3876" i="5"/>
  <c r="G3872" i="5"/>
  <c r="I3872" i="5" s="1"/>
  <c r="E3872" i="5"/>
  <c r="D3872" i="5"/>
  <c r="C3872" i="5"/>
  <c r="G3871" i="5"/>
  <c r="I3871" i="5" s="1"/>
  <c r="E3871" i="5"/>
  <c r="D3871" i="5"/>
  <c r="C3871" i="5"/>
  <c r="E3870" i="5"/>
  <c r="D3870" i="5"/>
  <c r="C3870" i="5"/>
  <c r="E3869" i="5"/>
  <c r="D3869" i="5"/>
  <c r="C3869" i="5"/>
  <c r="E3868" i="5"/>
  <c r="D3868" i="5"/>
  <c r="C3868" i="5"/>
  <c r="E3864" i="5"/>
  <c r="D3864" i="5"/>
  <c r="C3864" i="5"/>
  <c r="E3863" i="5"/>
  <c r="D3863" i="5"/>
  <c r="C3863" i="5"/>
  <c r="E3862" i="5"/>
  <c r="D3862" i="5"/>
  <c r="C3862" i="5"/>
  <c r="E3861" i="5"/>
  <c r="D3861" i="5"/>
  <c r="C3861" i="5"/>
  <c r="E3857" i="5"/>
  <c r="D3857" i="5"/>
  <c r="C3857" i="5"/>
  <c r="E3856" i="5"/>
  <c r="D3856" i="5"/>
  <c r="C3856" i="5"/>
  <c r="E3855" i="5"/>
  <c r="C3855" i="5"/>
  <c r="E3854" i="5"/>
  <c r="D3854" i="5"/>
  <c r="C3854" i="5"/>
  <c r="E3850" i="5"/>
  <c r="E3837" i="5"/>
  <c r="E3825" i="5"/>
  <c r="G3848" i="5"/>
  <c r="I3848" i="5" s="1"/>
  <c r="E3848" i="5"/>
  <c r="D3848" i="5"/>
  <c r="C3848" i="5"/>
  <c r="G3847" i="5"/>
  <c r="I3847" i="5" s="1"/>
  <c r="E3847" i="5"/>
  <c r="D3847" i="5"/>
  <c r="C3847" i="5"/>
  <c r="E3849" i="5"/>
  <c r="D3849" i="5"/>
  <c r="C3849" i="5"/>
  <c r="E3846" i="5"/>
  <c r="D3846" i="5"/>
  <c r="C3846" i="5"/>
  <c r="E3845" i="5"/>
  <c r="D3845" i="5"/>
  <c r="C3845" i="5"/>
  <c r="E3844" i="5"/>
  <c r="D3844" i="5"/>
  <c r="C3844" i="5"/>
  <c r="E3843" i="5"/>
  <c r="D3843" i="5"/>
  <c r="C3843" i="5"/>
  <c r="E3842" i="5"/>
  <c r="D3842" i="5"/>
  <c r="C3842" i="5"/>
  <c r="E3841" i="5"/>
  <c r="D3841" i="5"/>
  <c r="C3841" i="5"/>
  <c r="G3835" i="5"/>
  <c r="I3835" i="5" s="1"/>
  <c r="E3835" i="5"/>
  <c r="D3835" i="5"/>
  <c r="C3835" i="5"/>
  <c r="E3834" i="5"/>
  <c r="D3834" i="5"/>
  <c r="C3834" i="5"/>
  <c r="E3836" i="5"/>
  <c r="D3836" i="5"/>
  <c r="C3836" i="5"/>
  <c r="E3833" i="5"/>
  <c r="D3833" i="5"/>
  <c r="C3833" i="5"/>
  <c r="E3832" i="5"/>
  <c r="D3832" i="5"/>
  <c r="C3832" i="5"/>
  <c r="E3831" i="5"/>
  <c r="D3831" i="5"/>
  <c r="C3831" i="5"/>
  <c r="E3830" i="5"/>
  <c r="D3830" i="5"/>
  <c r="C3830" i="5"/>
  <c r="E3829" i="5"/>
  <c r="D3829" i="5"/>
  <c r="C3829" i="5"/>
  <c r="E3817" i="5"/>
  <c r="E3824" i="5"/>
  <c r="D3824" i="5"/>
  <c r="C3824" i="5"/>
  <c r="E3823" i="5"/>
  <c r="D3823" i="5"/>
  <c r="C3823" i="5"/>
  <c r="E3822" i="5"/>
  <c r="D3822" i="5"/>
  <c r="C3822" i="5"/>
  <c r="E3821" i="5"/>
  <c r="D3821" i="5"/>
  <c r="C3821" i="5"/>
  <c r="E3816" i="5"/>
  <c r="D3816" i="5"/>
  <c r="C3816" i="5"/>
  <c r="G3815" i="5"/>
  <c r="I3815" i="5" s="1"/>
  <c r="E3815" i="5"/>
  <c r="D3815" i="5"/>
  <c r="C3815" i="5"/>
  <c r="E3814" i="5"/>
  <c r="D3814" i="5"/>
  <c r="C3814" i="5"/>
  <c r="E3813" i="5"/>
  <c r="D3813" i="5"/>
  <c r="C3813" i="5"/>
  <c r="E3812" i="5"/>
  <c r="D3812" i="5"/>
  <c r="C3812" i="5"/>
  <c r="E3811" i="5"/>
  <c r="D3811" i="5"/>
  <c r="C3811" i="5"/>
  <c r="E3810" i="5"/>
  <c r="D3810" i="5"/>
  <c r="C3810" i="5"/>
  <c r="E3791" i="5"/>
  <c r="G3803" i="5"/>
  <c r="I3803" i="5" s="1"/>
  <c r="E3803" i="5"/>
  <c r="D3803" i="5"/>
  <c r="C3803" i="5"/>
  <c r="G3802" i="5"/>
  <c r="I3802" i="5" s="1"/>
  <c r="E3802" i="5"/>
  <c r="D3802" i="5"/>
  <c r="C3802" i="5"/>
  <c r="E3805" i="5"/>
  <c r="D3805" i="5"/>
  <c r="C3805" i="5"/>
  <c r="E3804" i="5"/>
  <c r="D3804" i="5"/>
  <c r="C3804" i="5"/>
  <c r="E3801" i="5"/>
  <c r="D3801" i="5"/>
  <c r="C3801" i="5"/>
  <c r="E3800" i="5"/>
  <c r="D3800" i="5"/>
  <c r="C3800" i="5"/>
  <c r="G3799" i="5"/>
  <c r="I3799" i="5" s="1"/>
  <c r="E3799" i="5"/>
  <c r="D3799" i="5"/>
  <c r="C3799" i="5"/>
  <c r="E3798" i="5"/>
  <c r="D3798" i="5"/>
  <c r="C3798" i="5"/>
  <c r="E3795" i="5"/>
  <c r="D3795" i="5"/>
  <c r="C3795" i="5"/>
  <c r="E3779" i="5"/>
  <c r="G3789" i="5"/>
  <c r="I3789" i="5" s="1"/>
  <c r="E3789" i="5"/>
  <c r="D3789" i="5"/>
  <c r="C3789" i="5"/>
  <c r="E3788" i="5"/>
  <c r="D3788" i="5"/>
  <c r="C3788" i="5"/>
  <c r="E3790" i="5"/>
  <c r="D3790" i="5"/>
  <c r="C3790" i="5"/>
  <c r="E3787" i="5"/>
  <c r="D3787" i="5"/>
  <c r="C3787" i="5"/>
  <c r="E3786" i="5"/>
  <c r="D3786" i="5"/>
  <c r="C3786" i="5"/>
  <c r="E3785" i="5"/>
  <c r="D3785" i="5"/>
  <c r="C3785" i="5"/>
  <c r="E3784" i="5"/>
  <c r="D3784" i="5"/>
  <c r="C3784" i="5"/>
  <c r="E3783" i="5"/>
  <c r="D3783" i="5"/>
  <c r="C3783" i="5"/>
  <c r="E3767" i="5"/>
  <c r="E3778" i="5"/>
  <c r="D3778" i="5"/>
  <c r="C3778" i="5"/>
  <c r="G3777" i="5"/>
  <c r="I3777" i="5" s="1"/>
  <c r="E3777" i="5"/>
  <c r="D3777" i="5"/>
  <c r="C3777" i="5"/>
  <c r="E3776" i="5"/>
  <c r="D3776" i="5"/>
  <c r="C3776" i="5"/>
  <c r="E3775" i="5"/>
  <c r="D3775" i="5"/>
  <c r="C3775" i="5"/>
  <c r="E3774" i="5"/>
  <c r="D3774" i="5"/>
  <c r="C3774" i="5"/>
  <c r="E3773" i="5"/>
  <c r="D3773" i="5"/>
  <c r="C3773" i="5"/>
  <c r="E3772" i="5"/>
  <c r="D3772" i="5"/>
  <c r="C3772" i="5"/>
  <c r="E3771" i="5"/>
  <c r="D3771" i="5"/>
  <c r="C3771" i="5"/>
  <c r="E3755" i="5"/>
  <c r="E3766" i="5"/>
  <c r="D3766" i="5"/>
  <c r="C3766" i="5"/>
  <c r="G3765" i="5"/>
  <c r="I3765" i="5" s="1"/>
  <c r="E3765" i="5"/>
  <c r="D3765" i="5"/>
  <c r="C3765" i="5"/>
  <c r="G3764" i="5"/>
  <c r="I3764" i="5" s="1"/>
  <c r="E3764" i="5"/>
  <c r="D3764" i="5"/>
  <c r="C3764" i="5"/>
  <c r="E3763" i="5"/>
  <c r="D3763" i="5"/>
  <c r="C3763" i="5"/>
  <c r="E3762" i="5"/>
  <c r="D3762" i="5"/>
  <c r="C3762" i="5"/>
  <c r="E3761" i="5"/>
  <c r="D3761" i="5"/>
  <c r="C3761" i="5"/>
  <c r="E3760" i="5"/>
  <c r="D3760" i="5"/>
  <c r="C3760" i="5"/>
  <c r="E3759" i="5"/>
  <c r="D3759" i="5"/>
  <c r="C3759" i="5"/>
  <c r="E3742" i="5"/>
  <c r="G3753" i="5"/>
  <c r="I3753" i="5" s="1"/>
  <c r="E3753" i="5"/>
  <c r="D3753" i="5"/>
  <c r="C3753" i="5"/>
  <c r="G3752" i="5"/>
  <c r="I3752" i="5" s="1"/>
  <c r="E3752" i="5"/>
  <c r="D3752" i="5"/>
  <c r="C3752" i="5"/>
  <c r="E3754" i="5"/>
  <c r="D3754" i="5"/>
  <c r="C3754" i="5"/>
  <c r="E3751" i="5"/>
  <c r="D3751" i="5"/>
  <c r="C3751" i="5"/>
  <c r="E3750" i="5"/>
  <c r="D3750" i="5"/>
  <c r="C3750" i="5"/>
  <c r="E3749" i="5"/>
  <c r="D3749" i="5"/>
  <c r="C3749" i="5"/>
  <c r="E3748" i="5"/>
  <c r="D3748" i="5"/>
  <c r="C3748" i="5"/>
  <c r="E3747" i="5"/>
  <c r="D3747" i="5"/>
  <c r="C3747" i="5"/>
  <c r="E3746" i="5"/>
  <c r="D3746" i="5"/>
  <c r="C3746" i="5"/>
  <c r="E3730" i="5"/>
  <c r="E3741" i="5"/>
  <c r="D3741" i="5"/>
  <c r="C3741" i="5"/>
  <c r="G3740" i="5"/>
  <c r="I3740" i="5" s="1"/>
  <c r="E3740" i="5"/>
  <c r="D3740" i="5"/>
  <c r="C3740" i="5"/>
  <c r="E3739" i="5"/>
  <c r="D3739" i="5"/>
  <c r="C3739" i="5"/>
  <c r="E3738" i="5"/>
  <c r="D3738" i="5"/>
  <c r="C3738" i="5"/>
  <c r="E3737" i="5"/>
  <c r="D3737" i="5"/>
  <c r="C3737" i="5"/>
  <c r="E3736" i="5"/>
  <c r="D3736" i="5"/>
  <c r="C3736" i="5"/>
  <c r="E3735" i="5"/>
  <c r="D3735" i="5"/>
  <c r="C3735" i="5"/>
  <c r="E3734" i="5"/>
  <c r="D3734" i="5"/>
  <c r="C3734" i="5"/>
  <c r="G3728" i="5"/>
  <c r="I3728" i="5" s="1"/>
  <c r="E3728" i="5"/>
  <c r="D3728" i="5"/>
  <c r="C3728" i="5"/>
  <c r="G3727" i="5"/>
  <c r="I3727" i="5" s="1"/>
  <c r="E3727" i="5"/>
  <c r="D3727" i="5"/>
  <c r="C3727" i="5"/>
  <c r="E3729" i="5"/>
  <c r="D3729" i="5"/>
  <c r="C3729" i="5"/>
  <c r="E3726" i="5"/>
  <c r="D3726" i="5"/>
  <c r="C3726" i="5"/>
  <c r="E3725" i="5"/>
  <c r="D3725" i="5"/>
  <c r="C3725" i="5"/>
  <c r="E3724" i="5"/>
  <c r="D3724" i="5"/>
  <c r="C3724" i="5"/>
  <c r="E3723" i="5"/>
  <c r="D3723" i="5"/>
  <c r="C3723" i="5"/>
  <c r="E3715" i="5"/>
  <c r="D3715" i="5"/>
  <c r="C3715" i="5"/>
  <c r="E3710" i="5"/>
  <c r="D3710" i="5"/>
  <c r="C3710" i="5"/>
  <c r="E3700" i="5"/>
  <c r="D3700" i="5"/>
  <c r="C3700" i="5"/>
  <c r="E3695" i="5"/>
  <c r="D3695" i="5"/>
  <c r="C3695" i="5"/>
  <c r="E3690" i="5"/>
  <c r="D3690" i="5"/>
  <c r="C3690" i="5"/>
  <c r="E3685" i="5"/>
  <c r="D3685" i="5"/>
  <c r="C3685" i="5"/>
  <c r="E3680" i="5"/>
  <c r="D3680" i="5"/>
  <c r="C3680" i="5"/>
  <c r="E3670" i="5"/>
  <c r="D3670" i="5"/>
  <c r="C3670" i="5"/>
  <c r="E3666" i="5"/>
  <c r="D3666" i="5"/>
  <c r="C3666" i="5"/>
  <c r="E3662" i="5"/>
  <c r="D3662" i="5"/>
  <c r="C3662" i="5"/>
  <c r="E3658" i="5"/>
  <c r="D3658" i="5"/>
  <c r="C3658" i="5"/>
  <c r="E3654" i="5"/>
  <c r="D3654" i="5"/>
  <c r="C3654" i="5"/>
  <c r="E3650" i="5"/>
  <c r="D3650" i="5"/>
  <c r="C3650" i="5"/>
  <c r="E3640" i="5"/>
  <c r="D3640" i="5"/>
  <c r="C3640" i="5"/>
  <c r="E3635" i="5"/>
  <c r="D3635" i="5"/>
  <c r="D3645" i="5" s="1"/>
  <c r="C3635" i="5"/>
  <c r="E3630" i="5"/>
  <c r="D3630" i="5"/>
  <c r="C3630" i="5"/>
  <c r="E3625" i="5"/>
  <c r="D3625" i="5"/>
  <c r="C3625" i="5"/>
  <c r="E3620" i="5"/>
  <c r="D3620" i="5"/>
  <c r="C3620" i="5"/>
  <c r="E3610" i="5"/>
  <c r="D3610" i="5"/>
  <c r="C3610" i="5"/>
  <c r="E3609" i="5"/>
  <c r="D3609" i="5"/>
  <c r="C3609" i="5"/>
  <c r="E3604" i="5"/>
  <c r="D3604" i="5"/>
  <c r="C3604" i="5"/>
  <c r="E3603" i="5"/>
  <c r="D3603" i="5"/>
  <c r="C3603" i="5"/>
  <c r="E3598" i="5"/>
  <c r="D3598" i="5"/>
  <c r="C3598" i="5"/>
  <c r="E3597" i="5"/>
  <c r="D3597" i="5"/>
  <c r="C3597" i="5"/>
  <c r="E3592" i="5"/>
  <c r="D3592" i="5"/>
  <c r="C3592" i="5"/>
  <c r="E3591" i="5"/>
  <c r="D3591" i="5"/>
  <c r="C3591" i="5"/>
  <c r="E3586" i="5"/>
  <c r="D3586" i="5"/>
  <c r="C3586" i="5"/>
  <c r="E3585" i="5"/>
  <c r="D3585" i="5"/>
  <c r="C3585" i="5"/>
  <c r="E3580" i="5"/>
  <c r="D3580" i="5"/>
  <c r="C3580" i="5"/>
  <c r="E3579" i="5"/>
  <c r="D3579" i="5"/>
  <c r="C3579" i="5"/>
  <c r="E3574" i="5"/>
  <c r="D3574" i="5"/>
  <c r="C3574" i="5"/>
  <c r="E3573" i="5"/>
  <c r="D3573" i="5"/>
  <c r="C3573" i="5"/>
  <c r="E3568" i="5"/>
  <c r="D3568" i="5"/>
  <c r="C3568" i="5"/>
  <c r="E3567" i="5"/>
  <c r="D3567" i="5"/>
  <c r="C3567" i="5"/>
  <c r="E3562" i="5"/>
  <c r="D3562" i="5"/>
  <c r="C3562" i="5"/>
  <c r="E3561" i="5"/>
  <c r="D3561" i="5"/>
  <c r="C3561" i="5"/>
  <c r="E3556" i="5"/>
  <c r="D3556" i="5"/>
  <c r="C3556" i="5"/>
  <c r="E3555" i="5"/>
  <c r="D3555" i="5"/>
  <c r="C3555" i="5"/>
  <c r="E3550" i="5"/>
  <c r="D3550" i="5"/>
  <c r="C3550" i="5"/>
  <c r="E3549" i="5"/>
  <c r="D3549" i="5"/>
  <c r="C3549" i="5"/>
  <c r="E3544" i="5"/>
  <c r="D3544" i="5"/>
  <c r="C3544" i="5"/>
  <c r="E3539" i="5"/>
  <c r="D3539" i="5"/>
  <c r="C3539" i="5"/>
  <c r="E3534" i="5"/>
  <c r="D3534" i="5"/>
  <c r="C3534" i="5"/>
  <c r="E3529" i="5"/>
  <c r="D3529" i="5"/>
  <c r="C3529" i="5"/>
  <c r="E3524" i="5"/>
  <c r="D3524" i="5"/>
  <c r="C3524" i="5"/>
  <c r="E3507" i="5"/>
  <c r="D3507" i="5"/>
  <c r="C3507" i="5"/>
  <c r="E3499" i="5"/>
  <c r="D3499" i="5"/>
  <c r="C3499" i="5"/>
  <c r="E3491" i="5"/>
  <c r="D3491" i="5"/>
  <c r="C3491" i="5"/>
  <c r="E3483" i="5"/>
  <c r="D3483" i="5"/>
  <c r="C3483" i="5"/>
  <c r="E3476" i="5"/>
  <c r="D3476" i="5"/>
  <c r="C3476" i="5"/>
  <c r="E3469" i="5"/>
  <c r="D3469" i="5"/>
  <c r="C3469" i="5"/>
  <c r="E3462" i="5"/>
  <c r="D3462" i="5"/>
  <c r="C3462" i="5"/>
  <c r="E3455" i="5"/>
  <c r="D3455" i="5"/>
  <c r="C3455" i="5"/>
  <c r="E3454" i="5"/>
  <c r="D3454" i="5"/>
  <c r="C3454" i="5"/>
  <c r="E3446" i="5"/>
  <c r="D3446" i="5"/>
  <c r="C3446" i="5"/>
  <c r="E3445" i="5"/>
  <c r="D3445" i="5"/>
  <c r="C3445" i="5"/>
  <c r="E3444" i="5"/>
  <c r="D3444" i="5"/>
  <c r="C3444" i="5"/>
  <c r="E3453" i="5"/>
  <c r="D3453" i="5"/>
  <c r="C3453" i="5"/>
  <c r="E3461" i="5"/>
  <c r="D3461" i="5"/>
  <c r="C3461" i="5"/>
  <c r="E3468" i="5"/>
  <c r="D3468" i="5"/>
  <c r="C3468" i="5"/>
  <c r="E3475" i="5"/>
  <c r="D3475" i="5"/>
  <c r="C3475" i="5"/>
  <c r="E3482" i="5"/>
  <c r="D3482" i="5"/>
  <c r="C3490" i="5"/>
  <c r="C3482" i="5"/>
  <c r="E3490" i="5"/>
  <c r="D3490" i="5"/>
  <c r="C3498" i="5"/>
  <c r="E3498" i="5"/>
  <c r="D3498" i="5"/>
  <c r="E3506" i="5"/>
  <c r="D3506" i="5"/>
  <c r="C3506" i="5"/>
  <c r="E3510" i="5"/>
  <c r="D3510" i="5"/>
  <c r="C3510" i="5"/>
  <c r="E3513" i="5"/>
  <c r="D3513" i="5"/>
  <c r="C3513" i="5"/>
  <c r="E3516" i="5"/>
  <c r="D3516" i="5"/>
  <c r="C3516" i="5"/>
  <c r="E3519" i="5"/>
  <c r="D3519" i="5"/>
  <c r="C3519" i="5"/>
  <c r="E3523" i="5"/>
  <c r="D3523" i="5"/>
  <c r="C3523" i="5"/>
  <c r="E3528" i="5"/>
  <c r="D3528" i="5"/>
  <c r="C3528" i="5"/>
  <c r="E3533" i="5"/>
  <c r="D3533" i="5"/>
  <c r="C3533" i="5"/>
  <c r="E3538" i="5"/>
  <c r="C3538" i="5"/>
  <c r="D3538" i="5"/>
  <c r="E3543" i="5"/>
  <c r="D3543" i="5"/>
  <c r="C3543" i="5"/>
  <c r="E3548" i="5"/>
  <c r="D3548" i="5"/>
  <c r="C3548" i="5"/>
  <c r="E3554" i="5"/>
  <c r="D3554" i="5"/>
  <c r="C3554" i="5"/>
  <c r="E3560" i="5"/>
  <c r="D3560" i="5"/>
  <c r="C3560" i="5"/>
  <c r="E3566" i="5"/>
  <c r="D3566" i="5"/>
  <c r="C3566" i="5"/>
  <c r="E3572" i="5"/>
  <c r="D3572" i="5"/>
  <c r="C3572" i="5"/>
  <c r="E3578" i="5"/>
  <c r="D3578" i="5"/>
  <c r="C3578" i="5"/>
  <c r="E3584" i="5"/>
  <c r="D3584" i="5"/>
  <c r="C3584" i="5"/>
  <c r="E3590" i="5"/>
  <c r="D3590" i="5"/>
  <c r="C3590" i="5"/>
  <c r="E3596" i="5"/>
  <c r="D3596" i="5"/>
  <c r="C3596" i="5"/>
  <c r="E3602" i="5"/>
  <c r="D3602" i="5"/>
  <c r="C3602" i="5"/>
  <c r="E3608" i="5"/>
  <c r="D3608" i="5"/>
  <c r="C3608" i="5"/>
  <c r="E3614" i="5"/>
  <c r="D3614" i="5"/>
  <c r="C3614" i="5"/>
  <c r="E3619" i="5"/>
  <c r="D3619" i="5"/>
  <c r="C3619" i="5"/>
  <c r="E3624" i="5"/>
  <c r="D3624" i="5"/>
  <c r="C3624" i="5"/>
  <c r="E3629" i="5"/>
  <c r="D3629" i="5"/>
  <c r="C3629" i="5"/>
  <c r="E3634" i="5"/>
  <c r="D3634" i="5"/>
  <c r="D3644" i="5" s="1"/>
  <c r="C3634" i="5"/>
  <c r="E3639" i="5"/>
  <c r="D3639" i="5"/>
  <c r="C3639" i="5"/>
  <c r="E3649" i="5"/>
  <c r="D3649" i="5"/>
  <c r="C3649" i="5"/>
  <c r="E3653" i="5"/>
  <c r="D3653" i="5"/>
  <c r="C3653" i="5"/>
  <c r="E3657" i="5"/>
  <c r="D3657" i="5"/>
  <c r="C3657" i="5"/>
  <c r="E3661" i="5"/>
  <c r="D3661" i="5"/>
  <c r="C3661" i="5"/>
  <c r="E3665" i="5"/>
  <c r="D3665" i="5"/>
  <c r="C3665" i="5"/>
  <c r="E3669" i="5"/>
  <c r="D3669" i="5"/>
  <c r="C3669" i="5"/>
  <c r="E3675" i="5"/>
  <c r="D3675" i="5"/>
  <c r="C3675" i="5"/>
  <c r="E3679" i="5"/>
  <c r="D3679" i="5"/>
  <c r="C3679" i="5"/>
  <c r="E3684" i="5"/>
  <c r="D3684" i="5"/>
  <c r="C3684" i="5"/>
  <c r="E3689" i="5"/>
  <c r="D3689" i="5"/>
  <c r="C3689" i="5"/>
  <c r="E3694" i="5"/>
  <c r="D3694" i="5"/>
  <c r="C3694" i="5"/>
  <c r="E3699" i="5"/>
  <c r="D3699" i="5"/>
  <c r="C3699" i="5"/>
  <c r="E3709" i="5"/>
  <c r="D3709" i="5"/>
  <c r="C3709" i="5"/>
  <c r="E3714" i="5"/>
  <c r="D3714" i="5"/>
  <c r="C3714" i="5"/>
  <c r="E3721" i="5"/>
  <c r="D3721" i="5"/>
  <c r="C3721" i="5"/>
  <c r="G3720" i="5"/>
  <c r="I3720" i="5" s="1"/>
  <c r="E3720" i="5"/>
  <c r="D3720" i="5"/>
  <c r="C3720" i="5"/>
  <c r="E3719" i="5"/>
  <c r="D3719" i="5"/>
  <c r="C3719" i="5"/>
  <c r="E3718" i="5"/>
  <c r="D3718" i="5"/>
  <c r="C3718" i="5"/>
  <c r="E3717" i="5"/>
  <c r="D3717" i="5"/>
  <c r="C3717" i="5"/>
  <c r="E3713" i="5"/>
  <c r="D3713" i="5"/>
  <c r="C3713" i="5"/>
  <c r="E3712" i="5"/>
  <c r="D3712" i="5"/>
  <c r="C3712" i="5"/>
  <c r="E3708" i="5"/>
  <c r="D3708" i="5"/>
  <c r="C3708" i="5"/>
  <c r="E3707" i="5"/>
  <c r="D3707" i="5"/>
  <c r="C3707" i="5"/>
  <c r="E3698" i="5"/>
  <c r="D3698" i="5"/>
  <c r="C3698" i="5"/>
  <c r="E3697" i="5"/>
  <c r="C3697" i="5"/>
  <c r="D3697" i="5"/>
  <c r="E3692" i="5"/>
  <c r="D3692" i="5"/>
  <c r="C3692" i="5"/>
  <c r="E3693" i="5"/>
  <c r="D3693" i="5"/>
  <c r="C3693" i="5"/>
  <c r="E3688" i="5"/>
  <c r="D3688" i="5"/>
  <c r="C3688" i="5"/>
  <c r="E3687" i="5"/>
  <c r="D3687" i="5"/>
  <c r="C3687" i="5"/>
  <c r="E3682" i="5"/>
  <c r="D3682" i="5"/>
  <c r="C3682" i="5"/>
  <c r="E3683" i="5"/>
  <c r="D3683" i="5"/>
  <c r="C3683" i="5"/>
  <c r="E3678" i="5"/>
  <c r="D3678" i="5"/>
  <c r="C3678" i="5"/>
  <c r="E3677" i="5"/>
  <c r="D3677" i="5"/>
  <c r="C3677" i="5"/>
  <c r="G3674" i="5"/>
  <c r="I3674" i="5" s="1"/>
  <c r="E3674" i="5"/>
  <c r="D3674" i="5"/>
  <c r="C3674" i="5"/>
  <c r="E3673" i="5"/>
  <c r="D3673" i="5"/>
  <c r="C3673" i="5"/>
  <c r="E3672" i="5"/>
  <c r="D3672" i="5"/>
  <c r="C3672" i="5"/>
  <c r="E3668" i="5"/>
  <c r="D3668" i="5"/>
  <c r="C3668" i="5"/>
  <c r="E3664" i="5"/>
  <c r="D3664" i="5"/>
  <c r="C3664" i="5"/>
  <c r="E3660" i="5"/>
  <c r="D3660" i="5"/>
  <c r="C3660" i="5"/>
  <c r="E3656" i="5"/>
  <c r="D3656" i="5"/>
  <c r="C3656" i="5"/>
  <c r="E3652" i="5"/>
  <c r="D3652" i="5"/>
  <c r="C3652" i="5"/>
  <c r="E3648" i="5"/>
  <c r="D3648" i="5"/>
  <c r="C3648" i="5"/>
  <c r="E3647" i="5"/>
  <c r="D3647" i="5"/>
  <c r="C3647" i="5"/>
  <c r="E3638" i="5"/>
  <c r="D3638" i="5"/>
  <c r="C3638" i="5"/>
  <c r="E3637" i="5"/>
  <c r="D3637" i="5"/>
  <c r="C3637" i="5"/>
  <c r="E3633" i="5"/>
  <c r="D3633" i="5"/>
  <c r="D3643" i="5" s="1"/>
  <c r="C3633" i="5"/>
  <c r="E3632" i="5"/>
  <c r="D3632" i="5"/>
  <c r="C3632" i="5"/>
  <c r="E3628" i="5"/>
  <c r="D3628" i="5"/>
  <c r="C3628" i="5"/>
  <c r="E3627" i="5"/>
  <c r="D3627" i="5"/>
  <c r="C3627" i="5"/>
  <c r="E3623" i="5"/>
  <c r="D3623" i="5"/>
  <c r="C3623" i="5"/>
  <c r="E3622" i="5"/>
  <c r="D3622" i="5"/>
  <c r="C3622" i="5"/>
  <c r="E3617" i="5"/>
  <c r="C3617" i="5"/>
  <c r="E3618" i="5"/>
  <c r="D3618" i="5"/>
  <c r="C3618" i="5"/>
  <c r="E3613" i="5"/>
  <c r="D3613" i="5"/>
  <c r="C3613" i="5"/>
  <c r="E3612" i="5"/>
  <c r="D3612" i="5"/>
  <c r="C3612" i="5"/>
  <c r="E3607" i="5"/>
  <c r="E3601" i="5"/>
  <c r="D3607" i="5"/>
  <c r="D3601" i="5"/>
  <c r="C3607" i="5"/>
  <c r="C3601" i="5"/>
  <c r="E3606" i="5"/>
  <c r="D3606" i="5"/>
  <c r="C3606" i="5"/>
  <c r="E3589" i="5"/>
  <c r="D3595" i="5"/>
  <c r="C3595" i="5"/>
  <c r="E3600" i="5"/>
  <c r="D3600" i="5"/>
  <c r="C3600" i="5"/>
  <c r="E3595" i="5"/>
  <c r="D3589" i="5"/>
  <c r="C3589" i="5"/>
  <c r="E3594" i="5"/>
  <c r="D3594" i="5"/>
  <c r="C3594" i="5"/>
  <c r="E3583" i="5"/>
  <c r="D3583" i="5"/>
  <c r="E3588" i="5"/>
  <c r="D3588" i="5"/>
  <c r="C3588" i="5"/>
  <c r="E3577" i="5"/>
  <c r="C3583" i="5"/>
  <c r="C3577" i="5"/>
  <c r="E3582" i="5"/>
  <c r="D3582" i="5"/>
  <c r="C3582" i="5"/>
  <c r="E3571" i="5"/>
  <c r="D3577" i="5"/>
  <c r="D3565" i="5"/>
  <c r="C3571" i="5"/>
  <c r="E3576" i="5"/>
  <c r="D3576" i="5"/>
  <c r="C3576" i="5"/>
  <c r="E3565" i="5"/>
  <c r="D3571" i="5"/>
  <c r="C3565" i="5"/>
  <c r="E3570" i="5"/>
  <c r="D3570" i="5"/>
  <c r="C3570" i="5"/>
  <c r="E3559" i="5"/>
  <c r="D3559" i="5"/>
  <c r="C3559" i="5"/>
  <c r="E3564" i="5"/>
  <c r="D3564" i="5"/>
  <c r="C3564" i="5"/>
  <c r="E3558" i="5"/>
  <c r="D3558" i="5"/>
  <c r="C3558" i="5"/>
  <c r="D3547" i="5"/>
  <c r="E3553" i="5"/>
  <c r="E3547" i="5"/>
  <c r="D3553" i="5"/>
  <c r="C3553" i="5"/>
  <c r="E3552" i="5"/>
  <c r="D3552" i="5"/>
  <c r="C3552" i="5"/>
  <c r="E3505" i="5"/>
  <c r="D3505" i="5"/>
  <c r="C3547" i="5"/>
  <c r="E3546" i="5"/>
  <c r="D3546" i="5"/>
  <c r="C3546" i="5"/>
  <c r="E3527" i="5"/>
  <c r="D3527" i="5"/>
  <c r="C3527" i="5"/>
  <c r="E3532" i="5"/>
  <c r="D3532" i="5"/>
  <c r="C3532" i="5"/>
  <c r="E3537" i="5"/>
  <c r="D3537" i="5"/>
  <c r="C3537" i="5"/>
  <c r="E3542" i="5"/>
  <c r="D3542" i="5"/>
  <c r="C3542" i="5"/>
  <c r="E3541" i="5"/>
  <c r="D3541" i="5"/>
  <c r="C3541" i="5"/>
  <c r="E3536" i="5"/>
  <c r="D3536" i="5"/>
  <c r="C3536" i="5"/>
  <c r="E3531" i="5"/>
  <c r="D3531" i="5"/>
  <c r="C3531" i="5"/>
  <c r="E3526" i="5"/>
  <c r="D3526" i="5"/>
  <c r="C3526" i="5"/>
  <c r="E3522" i="5"/>
  <c r="D3522" i="5"/>
  <c r="C3522" i="5"/>
  <c r="E3521" i="5"/>
  <c r="D3521" i="5"/>
  <c r="C3521" i="5"/>
  <c r="E3518" i="5"/>
  <c r="D3518" i="5"/>
  <c r="C3518" i="5"/>
  <c r="E3515" i="5"/>
  <c r="D3515" i="5"/>
  <c r="C3515" i="5"/>
  <c r="E3512" i="5"/>
  <c r="D3512" i="5"/>
  <c r="C3512" i="5"/>
  <c r="E3509" i="5"/>
  <c r="D3509" i="5"/>
  <c r="C3509" i="5"/>
  <c r="G3518" i="5"/>
  <c r="I3518" i="5" s="1"/>
  <c r="G3504" i="5"/>
  <c r="I3504" i="5" s="1"/>
  <c r="E3504" i="5"/>
  <c r="D3504" i="5"/>
  <c r="C3504" i="5"/>
  <c r="G3503" i="5"/>
  <c r="I3503" i="5" s="1"/>
  <c r="E3503" i="5"/>
  <c r="D3503" i="5"/>
  <c r="C3503" i="5"/>
  <c r="G3502" i="5"/>
  <c r="I3502" i="5" s="1"/>
  <c r="E3502" i="5"/>
  <c r="D3502" i="5"/>
  <c r="C3502" i="5"/>
  <c r="E3497" i="5"/>
  <c r="C3505" i="5"/>
  <c r="C3497" i="5"/>
  <c r="E3501" i="5"/>
  <c r="D3501" i="5"/>
  <c r="C3501" i="5"/>
  <c r="E3489" i="5"/>
  <c r="D3497" i="5"/>
  <c r="D3489" i="5"/>
  <c r="G3496" i="5"/>
  <c r="I3496" i="5" s="1"/>
  <c r="E3496" i="5"/>
  <c r="D3496" i="5"/>
  <c r="C3496" i="5"/>
  <c r="E3495" i="5"/>
  <c r="D3495" i="5"/>
  <c r="C3495" i="5"/>
  <c r="E3494" i="5"/>
  <c r="D3494" i="5"/>
  <c r="C3494" i="5"/>
  <c r="E3493" i="5"/>
  <c r="D3493" i="5"/>
  <c r="C3493" i="5"/>
  <c r="C3489" i="5"/>
  <c r="G3488" i="5"/>
  <c r="I3488" i="5" s="1"/>
  <c r="E3488" i="5"/>
  <c r="D3488" i="5"/>
  <c r="C3488" i="5"/>
  <c r="G3487" i="5"/>
  <c r="I3487" i="5" s="1"/>
  <c r="E3487" i="5"/>
  <c r="D3487" i="5"/>
  <c r="C3487" i="5"/>
  <c r="E3486" i="5"/>
  <c r="D3486" i="5"/>
  <c r="C3486" i="5"/>
  <c r="E3485" i="5"/>
  <c r="D3485" i="5"/>
  <c r="C3485" i="5"/>
  <c r="G3481" i="5"/>
  <c r="I3481" i="5" s="1"/>
  <c r="E3481" i="5"/>
  <c r="D3481" i="5"/>
  <c r="C3481" i="5"/>
  <c r="G3480" i="5"/>
  <c r="I3480" i="5" s="1"/>
  <c r="E3480" i="5"/>
  <c r="D3480" i="5"/>
  <c r="C3480" i="5"/>
  <c r="E3479" i="5"/>
  <c r="D3479" i="5"/>
  <c r="C3479" i="5"/>
  <c r="E3478" i="5"/>
  <c r="D3478" i="5"/>
  <c r="C3478" i="5"/>
  <c r="G3474" i="5"/>
  <c r="I3474" i="5" s="1"/>
  <c r="E3474" i="5"/>
  <c r="D3474" i="5"/>
  <c r="C3474" i="5"/>
  <c r="G3473" i="5"/>
  <c r="I3473" i="5" s="1"/>
  <c r="E3473" i="5"/>
  <c r="D3473" i="5"/>
  <c r="C3473" i="5"/>
  <c r="E3472" i="5"/>
  <c r="D3472" i="5"/>
  <c r="C3472" i="5"/>
  <c r="E3471" i="5"/>
  <c r="D3471" i="5"/>
  <c r="C3471" i="5"/>
  <c r="G3467" i="5"/>
  <c r="I3467" i="5" s="1"/>
  <c r="E3467" i="5"/>
  <c r="D3467" i="5"/>
  <c r="C3467" i="5"/>
  <c r="G3466" i="5"/>
  <c r="I3466" i="5" s="1"/>
  <c r="E3466" i="5"/>
  <c r="D3466" i="5"/>
  <c r="C3466" i="5"/>
  <c r="E3465" i="5"/>
  <c r="D3465" i="5"/>
  <c r="C3465" i="5"/>
  <c r="E3464" i="5"/>
  <c r="D3464" i="5"/>
  <c r="C3464" i="5"/>
  <c r="G3460" i="5"/>
  <c r="I3460" i="5" s="1"/>
  <c r="E3460" i="5"/>
  <c r="D3460" i="5"/>
  <c r="C3460" i="5"/>
  <c r="G3459" i="5"/>
  <c r="I3459" i="5" s="1"/>
  <c r="E3459" i="5"/>
  <c r="D3459" i="5"/>
  <c r="C3459" i="5"/>
  <c r="E3458" i="5"/>
  <c r="D3458" i="5"/>
  <c r="C3458" i="5"/>
  <c r="E3457" i="5"/>
  <c r="D3457" i="5"/>
  <c r="C3457" i="5"/>
  <c r="G3452" i="5"/>
  <c r="I3452" i="5" s="1"/>
  <c r="E3452" i="5"/>
  <c r="D3452" i="5"/>
  <c r="C3452" i="5"/>
  <c r="G3451" i="5"/>
  <c r="I3451" i="5" s="1"/>
  <c r="E3451" i="5"/>
  <c r="D3451" i="5"/>
  <c r="C3451" i="5"/>
  <c r="E3450" i="5"/>
  <c r="D3450" i="5"/>
  <c r="C3450" i="5"/>
  <c r="E3449" i="5"/>
  <c r="D3449" i="5"/>
  <c r="C3449" i="5"/>
  <c r="E3448" i="5"/>
  <c r="D3448" i="5"/>
  <c r="C3448" i="5"/>
  <c r="G3443" i="5"/>
  <c r="I3443" i="5" s="1"/>
  <c r="E3443" i="5"/>
  <c r="D3443" i="5"/>
  <c r="C3443" i="5"/>
  <c r="G3442" i="5"/>
  <c r="I3442" i="5" s="1"/>
  <c r="E3442" i="5"/>
  <c r="D3442" i="5"/>
  <c r="C3442" i="5"/>
  <c r="E3440" i="5"/>
  <c r="D3440" i="5"/>
  <c r="C3440" i="5"/>
  <c r="E3439" i="5"/>
  <c r="D3439" i="5"/>
  <c r="C3439" i="5"/>
  <c r="E3437" i="5"/>
  <c r="D3437" i="5"/>
  <c r="C3437" i="5"/>
  <c r="E3436" i="5"/>
  <c r="D3436" i="5"/>
  <c r="C3436" i="5"/>
  <c r="E3431" i="5"/>
  <c r="D3431" i="5"/>
  <c r="C3431" i="5"/>
  <c r="E3430" i="5"/>
  <c r="D3430" i="5"/>
  <c r="C3430" i="5"/>
  <c r="E3422" i="5"/>
  <c r="D3422" i="5"/>
  <c r="C3422" i="5"/>
  <c r="E3421" i="5"/>
  <c r="D3421" i="5"/>
  <c r="C3421" i="5"/>
  <c r="E3414" i="5"/>
  <c r="D3414" i="5"/>
  <c r="C3414" i="5"/>
  <c r="E3413" i="5"/>
  <c r="D3413" i="5"/>
  <c r="C3413" i="5"/>
  <c r="E3406" i="5"/>
  <c r="D3406" i="5"/>
  <c r="C3406" i="5"/>
  <c r="E3399" i="5"/>
  <c r="D3399" i="5"/>
  <c r="C3399" i="5"/>
  <c r="E3392" i="5"/>
  <c r="D3392" i="5"/>
  <c r="C3392" i="5"/>
  <c r="E3385" i="5"/>
  <c r="D3385" i="5"/>
  <c r="C3385" i="5"/>
  <c r="E3379" i="5"/>
  <c r="D3379" i="5"/>
  <c r="C3379" i="5"/>
  <c r="E3372" i="5"/>
  <c r="D3372" i="5"/>
  <c r="C3372" i="5"/>
  <c r="E3368" i="5"/>
  <c r="D3368" i="5"/>
  <c r="C3368" i="5"/>
  <c r="E3364" i="5"/>
  <c r="D3364" i="5"/>
  <c r="C3364" i="5"/>
  <c r="E3360" i="5"/>
  <c r="D3360" i="5"/>
  <c r="C3360" i="5"/>
  <c r="E3356" i="5"/>
  <c r="D3356" i="5"/>
  <c r="C3356" i="5"/>
  <c r="E3352" i="5"/>
  <c r="D3352" i="5"/>
  <c r="C3352" i="5"/>
  <c r="E3348" i="5"/>
  <c r="D3348" i="5"/>
  <c r="C3348" i="5"/>
  <c r="E3344" i="5"/>
  <c r="D3344" i="5"/>
  <c r="C3344" i="5"/>
  <c r="E3337" i="5"/>
  <c r="D3337" i="5"/>
  <c r="C3337" i="5"/>
  <c r="E3328" i="5"/>
  <c r="D3328" i="5"/>
  <c r="C3328" i="5"/>
  <c r="E3321" i="5"/>
  <c r="D3321" i="5"/>
  <c r="C3321" i="5"/>
  <c r="E3314" i="5"/>
  <c r="D3314" i="5"/>
  <c r="C3314" i="5"/>
  <c r="E3305" i="5"/>
  <c r="D3305" i="5"/>
  <c r="C3305" i="5"/>
  <c r="E3296" i="5"/>
  <c r="D3296" i="5"/>
  <c r="C3296" i="5"/>
  <c r="E3287" i="5"/>
  <c r="D3287" i="5"/>
  <c r="C3287" i="5"/>
  <c r="E3278" i="5"/>
  <c r="D3278" i="5"/>
  <c r="C3278" i="5"/>
  <c r="E3273" i="5"/>
  <c r="D3273" i="5"/>
  <c r="C3273" i="5"/>
  <c r="E3265" i="5"/>
  <c r="D3265" i="5"/>
  <c r="C3265" i="5"/>
  <c r="E3256" i="5"/>
  <c r="D3256" i="5"/>
  <c r="C3256" i="5"/>
  <c r="E3247" i="5"/>
  <c r="D3247" i="5"/>
  <c r="C3247" i="5"/>
  <c r="E3239" i="5"/>
  <c r="D3239" i="5"/>
  <c r="C3239" i="5"/>
  <c r="E3231" i="5"/>
  <c r="D3231" i="5"/>
  <c r="C3231" i="5"/>
  <c r="E3223" i="5"/>
  <c r="D3223" i="5"/>
  <c r="C3223" i="5"/>
  <c r="E3215" i="5"/>
  <c r="D3215" i="5"/>
  <c r="C3215" i="5"/>
  <c r="E3207" i="5"/>
  <c r="D3207" i="5"/>
  <c r="C3207" i="5"/>
  <c r="E3198" i="5"/>
  <c r="D3198" i="5"/>
  <c r="C3198" i="5"/>
  <c r="E3189" i="5"/>
  <c r="D3189" i="5"/>
  <c r="C3189" i="5"/>
  <c r="E3171" i="5"/>
  <c r="D3171" i="5"/>
  <c r="C3171" i="5"/>
  <c r="E3170" i="5"/>
  <c r="D3170" i="5"/>
  <c r="C3170" i="5"/>
  <c r="E3179" i="5"/>
  <c r="D3179" i="5"/>
  <c r="C3179" i="5"/>
  <c r="E3188" i="5"/>
  <c r="D3188" i="5"/>
  <c r="C3188" i="5"/>
  <c r="E3197" i="5"/>
  <c r="D3197" i="5"/>
  <c r="C3197" i="5"/>
  <c r="E3206" i="5"/>
  <c r="D3206" i="5"/>
  <c r="C3206" i="5"/>
  <c r="E3214" i="5"/>
  <c r="D3214" i="5"/>
  <c r="C3214" i="5"/>
  <c r="E3222" i="5"/>
  <c r="D3222" i="5"/>
  <c r="C3222" i="5"/>
  <c r="E3230" i="5"/>
  <c r="D3230" i="5"/>
  <c r="C3230" i="5"/>
  <c r="E3238" i="5"/>
  <c r="D3238" i="5"/>
  <c r="C3238" i="5"/>
  <c r="E3246" i="5"/>
  <c r="D3246" i="5"/>
  <c r="C3246" i="5"/>
  <c r="E3255" i="5"/>
  <c r="D3255" i="5"/>
  <c r="C3255" i="5"/>
  <c r="E3264" i="5"/>
  <c r="D3264" i="5"/>
  <c r="C3264" i="5"/>
  <c r="E3272" i="5"/>
  <c r="D3272" i="5"/>
  <c r="C3272" i="5"/>
  <c r="E3277" i="5"/>
  <c r="D3277" i="5"/>
  <c r="C3277" i="5"/>
  <c r="E3286" i="5"/>
  <c r="D3286" i="5"/>
  <c r="C3286" i="5"/>
  <c r="E3295" i="5"/>
  <c r="D3295" i="5"/>
  <c r="C3295" i="5"/>
  <c r="E3304" i="5"/>
  <c r="D3304" i="5"/>
  <c r="C3304" i="5"/>
  <c r="E3313" i="5"/>
  <c r="D3313" i="5"/>
  <c r="C3313" i="5"/>
  <c r="E3320" i="5"/>
  <c r="D3320" i="5"/>
  <c r="C3320" i="5"/>
  <c r="E3327" i="5"/>
  <c r="D3327" i="5"/>
  <c r="C3327" i="5"/>
  <c r="E3336" i="5"/>
  <c r="D3336" i="5"/>
  <c r="C3336" i="5"/>
  <c r="E3343" i="5"/>
  <c r="D3343" i="5"/>
  <c r="C3343" i="5"/>
  <c r="E3347" i="5"/>
  <c r="D3347" i="5"/>
  <c r="C3347" i="5"/>
  <c r="E3351" i="5"/>
  <c r="D3351" i="5"/>
  <c r="C3351" i="5"/>
  <c r="E3355" i="5"/>
  <c r="D3355" i="5"/>
  <c r="C3355" i="5"/>
  <c r="E3359" i="5"/>
  <c r="D3359" i="5"/>
  <c r="C3359" i="5"/>
  <c r="E3363" i="5"/>
  <c r="D3363" i="5"/>
  <c r="C3363" i="5"/>
  <c r="E3367" i="5"/>
  <c r="D3367" i="5"/>
  <c r="C3367" i="5"/>
  <c r="E3371" i="5"/>
  <c r="D3371" i="5"/>
  <c r="C3371" i="5"/>
  <c r="E3378" i="5"/>
  <c r="D3378" i="5"/>
  <c r="C3378" i="5"/>
  <c r="E3384" i="5"/>
  <c r="D3384" i="5"/>
  <c r="C3384" i="5"/>
  <c r="E3391" i="5"/>
  <c r="D3391" i="5"/>
  <c r="C3391" i="5"/>
  <c r="E3405" i="5"/>
  <c r="D3405" i="5"/>
  <c r="C3405" i="5"/>
  <c r="E3412" i="5"/>
  <c r="D3412" i="5"/>
  <c r="C3412" i="5"/>
  <c r="E3420" i="5"/>
  <c r="D3420" i="5"/>
  <c r="C3420" i="5"/>
  <c r="E3429" i="5"/>
  <c r="D3429" i="5"/>
  <c r="C3429" i="5"/>
  <c r="E3435" i="5"/>
  <c r="D3435" i="5"/>
  <c r="C3435" i="5"/>
  <c r="E3434" i="5"/>
  <c r="D3434" i="5"/>
  <c r="C3434" i="5"/>
  <c r="E3433" i="5"/>
  <c r="D3433" i="5"/>
  <c r="C3433" i="5"/>
  <c r="G3428" i="5"/>
  <c r="I3428" i="5" s="1"/>
  <c r="E3428" i="5"/>
  <c r="D3428" i="5"/>
  <c r="C3428" i="5"/>
  <c r="G3427" i="5"/>
  <c r="I3427" i="5" s="1"/>
  <c r="E3427" i="5"/>
  <c r="D3427" i="5"/>
  <c r="C3427" i="5"/>
  <c r="E3426" i="5"/>
  <c r="D3426" i="5"/>
  <c r="C3426" i="5"/>
  <c r="E3425" i="5"/>
  <c r="D3425" i="5"/>
  <c r="C3425" i="5"/>
  <c r="E3424" i="5"/>
  <c r="D3424" i="5"/>
  <c r="C3424" i="5"/>
  <c r="G3419" i="5"/>
  <c r="I3419" i="5" s="1"/>
  <c r="E3419" i="5"/>
  <c r="D3419" i="5"/>
  <c r="C3419" i="5"/>
  <c r="G3418" i="5"/>
  <c r="I3418" i="5" s="1"/>
  <c r="E3418" i="5"/>
  <c r="D3418" i="5"/>
  <c r="C3418" i="5"/>
  <c r="E3417" i="5"/>
  <c r="D3417" i="5"/>
  <c r="C3417" i="5"/>
  <c r="E3416" i="5"/>
  <c r="D3416" i="5"/>
  <c r="C3416" i="5"/>
  <c r="G3411" i="5"/>
  <c r="I3411" i="5" s="1"/>
  <c r="E3411" i="5"/>
  <c r="D3411" i="5"/>
  <c r="C3411" i="5"/>
  <c r="G3410" i="5"/>
  <c r="I3410" i="5" s="1"/>
  <c r="E3410" i="5"/>
  <c r="D3410" i="5"/>
  <c r="C3410" i="5"/>
  <c r="E3409" i="5"/>
  <c r="D3409" i="5"/>
  <c r="C3409" i="5"/>
  <c r="E3408" i="5"/>
  <c r="D3408" i="5"/>
  <c r="C3408" i="5"/>
  <c r="G3404" i="5"/>
  <c r="I3404" i="5" s="1"/>
  <c r="E3404" i="5"/>
  <c r="D3404" i="5"/>
  <c r="C3404" i="5"/>
  <c r="G3403" i="5"/>
  <c r="I3403" i="5" s="1"/>
  <c r="E3403" i="5"/>
  <c r="D3403" i="5"/>
  <c r="C3403" i="5"/>
  <c r="E3402" i="5"/>
  <c r="D3402" i="5"/>
  <c r="C3402" i="5"/>
  <c r="E3401" i="5"/>
  <c r="D3401" i="5"/>
  <c r="C3401" i="5"/>
  <c r="G3397" i="5"/>
  <c r="I3397" i="5" s="1"/>
  <c r="E3397" i="5"/>
  <c r="D3397" i="5"/>
  <c r="C3397" i="5"/>
  <c r="G3396" i="5"/>
  <c r="I3396" i="5" s="1"/>
  <c r="E3396" i="5"/>
  <c r="D3396" i="5"/>
  <c r="C3396" i="5"/>
  <c r="E3395" i="5"/>
  <c r="D3395" i="5"/>
  <c r="C3395" i="5"/>
  <c r="E3394" i="5"/>
  <c r="D3394" i="5"/>
  <c r="C3394" i="5"/>
  <c r="G3390" i="5"/>
  <c r="I3390" i="5" s="1"/>
  <c r="E3390" i="5"/>
  <c r="D3390" i="5"/>
  <c r="C3390" i="5"/>
  <c r="G3389" i="5"/>
  <c r="I3389" i="5" s="1"/>
  <c r="E3389" i="5"/>
  <c r="D3389" i="5"/>
  <c r="C3389" i="5"/>
  <c r="E3388" i="5"/>
  <c r="D3388" i="5"/>
  <c r="C3388" i="5"/>
  <c r="E3387" i="5"/>
  <c r="D3387" i="5"/>
  <c r="C3387" i="5"/>
  <c r="E3383" i="5"/>
  <c r="D3383" i="5"/>
  <c r="C3383" i="5"/>
  <c r="E3382" i="5"/>
  <c r="D3382" i="5"/>
  <c r="C3382" i="5"/>
  <c r="E3381" i="5"/>
  <c r="D3381" i="5"/>
  <c r="C3381" i="5"/>
  <c r="E3377" i="5"/>
  <c r="D3377" i="5"/>
  <c r="C3377" i="5"/>
  <c r="E3376" i="5"/>
  <c r="D3376" i="5"/>
  <c r="C3376" i="5"/>
  <c r="E3375" i="5"/>
  <c r="D3375" i="5"/>
  <c r="C3375" i="5"/>
  <c r="E3374" i="5"/>
  <c r="D3374" i="5"/>
  <c r="C3374" i="5"/>
  <c r="E3370" i="5"/>
  <c r="D3370" i="5"/>
  <c r="C3370" i="5"/>
  <c r="E3366" i="5"/>
  <c r="D3366" i="5"/>
  <c r="C3366" i="5"/>
  <c r="E3362" i="5"/>
  <c r="D3362" i="5"/>
  <c r="C3362" i="5"/>
  <c r="E3358" i="5"/>
  <c r="D3358" i="5"/>
  <c r="C3358" i="5"/>
  <c r="E3354" i="5"/>
  <c r="D3354" i="5"/>
  <c r="C3354" i="5"/>
  <c r="E3350" i="5"/>
  <c r="D3350" i="5"/>
  <c r="C3350" i="5"/>
  <c r="E3346" i="5"/>
  <c r="D3346" i="5"/>
  <c r="C3346" i="5"/>
  <c r="E3342" i="5"/>
  <c r="D3342" i="5"/>
  <c r="C3342" i="5"/>
  <c r="E3341" i="5"/>
  <c r="D3341" i="5"/>
  <c r="C3341" i="5"/>
  <c r="E3340" i="5"/>
  <c r="D3340" i="5"/>
  <c r="C3340" i="5"/>
  <c r="E3339" i="5"/>
  <c r="D3339" i="5"/>
  <c r="C3339" i="5"/>
  <c r="E3335" i="5"/>
  <c r="D3335" i="5"/>
  <c r="C3335" i="5"/>
  <c r="E3334" i="5"/>
  <c r="D3334" i="5"/>
  <c r="C3334" i="5"/>
  <c r="G3332" i="5"/>
  <c r="I3332" i="5" s="1"/>
  <c r="E3332" i="5"/>
  <c r="D3332" i="5"/>
  <c r="C3332" i="5"/>
  <c r="G3331" i="5"/>
  <c r="I3331" i="5" s="1"/>
  <c r="E3331" i="5"/>
  <c r="D3331" i="5"/>
  <c r="C3331" i="5"/>
  <c r="E3333" i="5"/>
  <c r="D3333" i="5"/>
  <c r="C3333" i="5"/>
  <c r="E3330" i="5"/>
  <c r="D3330" i="5"/>
  <c r="C3330" i="5"/>
  <c r="E3326" i="5"/>
  <c r="D3326" i="5"/>
  <c r="C3326" i="5"/>
  <c r="E3325" i="5"/>
  <c r="D3325" i="5"/>
  <c r="C3325" i="5"/>
  <c r="E3324" i="5"/>
  <c r="D3324" i="5"/>
  <c r="C3324" i="5"/>
  <c r="E3323" i="5"/>
  <c r="D3323" i="5"/>
  <c r="C3323" i="5"/>
  <c r="E3319" i="5"/>
  <c r="D3319" i="5"/>
  <c r="C3319" i="5"/>
  <c r="E3318" i="5"/>
  <c r="D3318" i="5"/>
  <c r="C3318" i="5"/>
  <c r="E3317" i="5"/>
  <c r="D3317" i="5"/>
  <c r="C3317" i="5"/>
  <c r="E3316" i="5"/>
  <c r="D3316" i="5"/>
  <c r="C3316" i="5"/>
  <c r="E3312" i="5"/>
  <c r="D3312" i="5"/>
  <c r="C3312" i="5"/>
  <c r="E3311" i="5"/>
  <c r="D3311" i="5"/>
  <c r="C3311" i="5"/>
  <c r="G3310" i="5"/>
  <c r="I3310" i="5" s="1"/>
  <c r="E3310" i="5"/>
  <c r="D3310" i="5"/>
  <c r="C3310" i="5"/>
  <c r="G3309" i="5"/>
  <c r="I3309" i="5" s="1"/>
  <c r="E3309" i="5"/>
  <c r="D3309" i="5"/>
  <c r="C3309" i="5"/>
  <c r="E3308" i="5"/>
  <c r="D3308" i="5"/>
  <c r="C3308" i="5"/>
  <c r="E3307" i="5"/>
  <c r="D3307" i="5"/>
  <c r="C3307" i="5"/>
  <c r="E3303" i="5"/>
  <c r="D3303" i="5"/>
  <c r="C3303" i="5"/>
  <c r="E3302" i="5"/>
  <c r="D3302" i="5"/>
  <c r="C3302" i="5"/>
  <c r="G3301" i="5"/>
  <c r="I3301" i="5" s="1"/>
  <c r="E3301" i="5"/>
  <c r="D3301" i="5"/>
  <c r="C3301" i="5"/>
  <c r="G3300" i="5"/>
  <c r="I3300" i="5" s="1"/>
  <c r="E3300" i="5"/>
  <c r="D3300" i="5"/>
  <c r="C3300" i="5"/>
  <c r="E3299" i="5"/>
  <c r="D3299" i="5"/>
  <c r="C3299" i="5"/>
  <c r="E3298" i="5"/>
  <c r="D3298" i="5"/>
  <c r="C3298" i="5"/>
  <c r="E3294" i="5"/>
  <c r="D3294" i="5"/>
  <c r="C3294" i="5"/>
  <c r="E3293" i="5"/>
  <c r="D3293" i="5"/>
  <c r="C3293" i="5"/>
  <c r="G3292" i="5"/>
  <c r="I3292" i="5" s="1"/>
  <c r="E3292" i="5"/>
  <c r="D3292" i="5"/>
  <c r="C3292" i="5"/>
  <c r="G3291" i="5"/>
  <c r="I3291" i="5" s="1"/>
  <c r="E3291" i="5"/>
  <c r="D3291" i="5"/>
  <c r="C3291" i="5"/>
  <c r="E3290" i="5"/>
  <c r="D3290" i="5"/>
  <c r="C3290" i="5"/>
  <c r="E3289" i="5"/>
  <c r="D3289" i="5"/>
  <c r="C3289" i="5"/>
  <c r="E3285" i="5"/>
  <c r="D3285" i="5"/>
  <c r="C3285" i="5"/>
  <c r="E3284" i="5"/>
  <c r="D3284" i="5"/>
  <c r="C3284" i="5"/>
  <c r="G3283" i="5"/>
  <c r="I3283" i="5" s="1"/>
  <c r="E3283" i="5"/>
  <c r="D3283" i="5"/>
  <c r="C3283" i="5"/>
  <c r="G3282" i="5"/>
  <c r="I3282" i="5" s="1"/>
  <c r="E3282" i="5"/>
  <c r="D3282" i="5"/>
  <c r="C3282" i="5"/>
  <c r="E3281" i="5"/>
  <c r="D3281" i="5"/>
  <c r="C3281" i="5"/>
  <c r="E3280" i="5"/>
  <c r="D3280" i="5"/>
  <c r="C3280" i="5"/>
  <c r="E3276" i="5"/>
  <c r="D3276" i="5"/>
  <c r="C3276" i="5"/>
  <c r="E3275" i="5"/>
  <c r="D3275" i="5"/>
  <c r="C3275" i="5"/>
  <c r="E3271" i="5"/>
  <c r="D3271" i="5"/>
  <c r="C3271" i="5"/>
  <c r="E3270" i="5"/>
  <c r="D3270" i="5"/>
  <c r="C3270" i="5"/>
  <c r="E3269" i="5"/>
  <c r="E3261" i="5"/>
  <c r="D3269" i="5"/>
  <c r="D3261" i="5"/>
  <c r="C3269" i="5"/>
  <c r="G3268" i="5"/>
  <c r="I3268" i="5" s="1"/>
  <c r="E3268" i="5"/>
  <c r="D3268" i="5"/>
  <c r="C3268" i="5"/>
  <c r="E3267" i="5"/>
  <c r="D3267" i="5"/>
  <c r="C3267" i="5"/>
  <c r="E3263" i="5"/>
  <c r="E3254" i="5"/>
  <c r="D3263" i="5"/>
  <c r="C3263" i="5"/>
  <c r="G3262" i="5"/>
  <c r="I3262" i="5" s="1"/>
  <c r="E3262" i="5"/>
  <c r="D3262" i="5"/>
  <c r="C3262" i="5"/>
  <c r="G3261" i="5"/>
  <c r="I3261" i="5" s="1"/>
  <c r="C3261" i="5"/>
  <c r="G3260" i="5"/>
  <c r="I3260" i="5" s="1"/>
  <c r="E3260" i="5"/>
  <c r="D3260" i="5"/>
  <c r="C3260" i="5"/>
  <c r="E3259" i="5"/>
  <c r="D3259" i="5"/>
  <c r="C3259" i="5"/>
  <c r="E3258" i="5"/>
  <c r="D3258" i="5"/>
  <c r="C3258" i="5"/>
  <c r="D3254" i="5"/>
  <c r="C3254" i="5"/>
  <c r="E3253" i="5"/>
  <c r="D3253" i="5"/>
  <c r="C3253" i="5"/>
  <c r="G3252" i="5"/>
  <c r="I3252" i="5" s="1"/>
  <c r="E3252" i="5"/>
  <c r="D3252" i="5"/>
  <c r="C3252" i="5"/>
  <c r="G3251" i="5"/>
  <c r="I3251" i="5" s="1"/>
  <c r="E3251" i="5"/>
  <c r="D3251" i="5"/>
  <c r="C3251" i="5"/>
  <c r="E3250" i="5"/>
  <c r="D3250" i="5"/>
  <c r="C3250" i="5"/>
  <c r="E3249" i="5"/>
  <c r="D3249" i="5"/>
  <c r="C3249" i="5"/>
  <c r="G3245" i="5"/>
  <c r="I3245" i="5" s="1"/>
  <c r="E3245" i="5"/>
  <c r="D3245" i="5"/>
  <c r="C3245" i="5"/>
  <c r="E3244" i="5"/>
  <c r="D3244" i="5"/>
  <c r="C3244" i="5"/>
  <c r="E3241" i="5"/>
  <c r="D3241" i="5"/>
  <c r="C3241" i="5"/>
  <c r="E3237" i="5"/>
  <c r="D3237" i="5"/>
  <c r="C3237" i="5"/>
  <c r="E3236" i="5"/>
  <c r="D3236" i="5"/>
  <c r="C3236" i="5"/>
  <c r="E3233" i="5"/>
  <c r="D3233" i="5"/>
  <c r="C3233" i="5"/>
  <c r="G3243" i="5"/>
  <c r="I3243" i="5" s="1"/>
  <c r="E3243" i="5"/>
  <c r="D3243" i="5"/>
  <c r="C3243" i="5"/>
  <c r="G3242" i="5"/>
  <c r="I3242" i="5" s="1"/>
  <c r="E3242" i="5"/>
  <c r="D3242" i="5"/>
  <c r="C3242" i="5"/>
  <c r="G3235" i="5"/>
  <c r="I3235" i="5" s="1"/>
  <c r="E3235" i="5"/>
  <c r="D3235" i="5"/>
  <c r="C3235" i="5"/>
  <c r="G3234" i="5"/>
  <c r="I3234" i="5" s="1"/>
  <c r="E3234" i="5"/>
  <c r="D3234" i="5"/>
  <c r="C3234" i="5"/>
  <c r="G3226" i="5"/>
  <c r="I3226" i="5" s="1"/>
  <c r="E3226" i="5"/>
  <c r="D3226" i="5"/>
  <c r="C3226" i="5"/>
  <c r="G3225" i="5"/>
  <c r="I3225" i="5" s="1"/>
  <c r="E3225" i="5"/>
  <c r="D3225" i="5"/>
  <c r="C3225" i="5"/>
  <c r="E3229" i="5"/>
  <c r="D3229" i="5"/>
  <c r="C3229" i="5"/>
  <c r="E3228" i="5"/>
  <c r="D3228" i="5"/>
  <c r="C3228" i="5"/>
  <c r="E3227" i="5"/>
  <c r="D3227" i="5"/>
  <c r="C3227" i="5"/>
  <c r="E3221" i="5"/>
  <c r="D3221" i="5"/>
  <c r="C3221" i="5"/>
  <c r="E3220" i="5"/>
  <c r="D3220" i="5"/>
  <c r="C3220" i="5"/>
  <c r="G3219" i="5"/>
  <c r="I3219" i="5" s="1"/>
  <c r="E3219" i="5"/>
  <c r="D3219" i="5"/>
  <c r="C3219" i="5"/>
  <c r="G3218" i="5"/>
  <c r="I3218" i="5" s="1"/>
  <c r="E3218" i="5"/>
  <c r="D3218" i="5"/>
  <c r="C3218" i="5"/>
  <c r="E3217" i="5"/>
  <c r="D3217" i="5"/>
  <c r="C3217" i="5"/>
  <c r="E3213" i="5"/>
  <c r="D3213" i="5"/>
  <c r="C3213" i="5"/>
  <c r="E3212" i="5"/>
  <c r="D3212" i="5"/>
  <c r="C3212" i="5"/>
  <c r="G3211" i="5"/>
  <c r="I3211" i="5" s="1"/>
  <c r="E3211" i="5"/>
  <c r="D3211" i="5"/>
  <c r="C3211" i="5"/>
  <c r="G3210" i="5"/>
  <c r="I3210" i="5" s="1"/>
  <c r="E3210" i="5"/>
  <c r="D3210" i="5"/>
  <c r="C3210" i="5"/>
  <c r="E3209" i="5"/>
  <c r="D3209" i="5"/>
  <c r="C3209" i="5"/>
  <c r="E3205" i="5"/>
  <c r="D3205" i="5"/>
  <c r="C3205" i="5"/>
  <c r="E3203" i="5"/>
  <c r="D3203" i="5"/>
  <c r="C3203" i="5"/>
  <c r="E3202" i="5"/>
  <c r="D3202" i="5"/>
  <c r="C3202" i="5"/>
  <c r="E3204" i="5"/>
  <c r="D3204" i="5"/>
  <c r="C3204" i="5"/>
  <c r="G3201" i="5"/>
  <c r="I3201" i="5" s="1"/>
  <c r="E3201" i="5"/>
  <c r="D3201" i="5"/>
  <c r="C3201" i="5"/>
  <c r="G3200" i="5"/>
  <c r="I3200" i="5" s="1"/>
  <c r="E3200" i="5"/>
  <c r="D3200" i="5"/>
  <c r="C3200" i="5"/>
  <c r="E3196" i="5"/>
  <c r="D3196" i="5"/>
  <c r="C3196" i="5"/>
  <c r="E3195" i="5"/>
  <c r="D3195" i="5"/>
  <c r="C3195" i="5"/>
  <c r="E3194" i="5"/>
  <c r="D3194" i="5"/>
  <c r="C3194" i="5"/>
  <c r="E3193" i="5"/>
  <c r="D3193" i="5"/>
  <c r="C3193" i="5"/>
  <c r="G3192" i="5"/>
  <c r="I3192" i="5" s="1"/>
  <c r="E3192" i="5"/>
  <c r="D3192" i="5"/>
  <c r="C3192" i="5"/>
  <c r="G3191" i="5"/>
  <c r="I3191" i="5" s="1"/>
  <c r="E3191" i="5"/>
  <c r="D3191" i="5"/>
  <c r="C3191" i="5"/>
  <c r="E3187" i="5"/>
  <c r="D3187" i="5"/>
  <c r="C3187" i="5"/>
  <c r="E3186" i="5"/>
  <c r="D3186" i="5"/>
  <c r="C3186" i="5"/>
  <c r="E3185" i="5"/>
  <c r="D3185" i="5"/>
  <c r="C3185" i="5"/>
  <c r="G3184" i="5"/>
  <c r="I3184" i="5" s="1"/>
  <c r="E3184" i="5"/>
  <c r="D3184" i="5"/>
  <c r="C3184" i="5"/>
  <c r="G3183" i="5"/>
  <c r="I3183" i="5" s="1"/>
  <c r="E3183" i="5"/>
  <c r="D3183" i="5"/>
  <c r="C3183" i="5"/>
  <c r="E3182" i="5"/>
  <c r="D3182" i="5"/>
  <c r="C3182" i="5"/>
  <c r="E3178" i="5"/>
  <c r="D3178" i="5"/>
  <c r="C3178" i="5"/>
  <c r="E3177" i="5"/>
  <c r="D3177" i="5"/>
  <c r="C3177" i="5"/>
  <c r="E3176" i="5"/>
  <c r="D3176" i="5"/>
  <c r="C3176" i="5"/>
  <c r="E3175" i="5"/>
  <c r="D3175" i="5"/>
  <c r="C3175" i="5"/>
  <c r="G3174" i="5"/>
  <c r="I3174" i="5" s="1"/>
  <c r="E3174" i="5"/>
  <c r="D3174" i="5"/>
  <c r="C3174" i="5"/>
  <c r="G3173" i="5"/>
  <c r="I3173" i="5" s="1"/>
  <c r="E3173" i="5"/>
  <c r="D3173" i="5"/>
  <c r="C3173" i="5"/>
  <c r="E3169" i="5"/>
  <c r="D3169" i="5"/>
  <c r="C3169" i="5"/>
  <c r="E3168" i="5"/>
  <c r="D3168" i="5"/>
  <c r="C3168" i="5"/>
  <c r="G3167" i="5"/>
  <c r="I3167" i="5" s="1"/>
  <c r="E3167" i="5"/>
  <c r="D3167" i="5"/>
  <c r="C3167" i="5"/>
  <c r="G3166" i="5"/>
  <c r="I3166" i="5" s="1"/>
  <c r="E3166" i="5"/>
  <c r="D3166" i="5"/>
  <c r="C3166" i="5"/>
  <c r="E3164" i="5"/>
  <c r="D3164" i="5"/>
  <c r="C3164" i="5"/>
  <c r="E3154" i="5"/>
  <c r="D3154" i="5"/>
  <c r="C3154" i="5"/>
  <c r="E3146" i="5"/>
  <c r="D3146" i="5"/>
  <c r="C3146" i="5"/>
  <c r="E3138" i="5"/>
  <c r="D3138" i="5"/>
  <c r="C3138" i="5"/>
  <c r="E3096" i="5"/>
  <c r="D3096" i="5"/>
  <c r="C3096" i="5"/>
  <c r="E3091" i="5"/>
  <c r="D3091" i="5"/>
  <c r="C3091" i="5"/>
  <c r="E3086" i="5"/>
  <c r="D3086" i="5"/>
  <c r="C3086" i="5"/>
  <c r="E3081" i="5"/>
  <c r="D3081" i="5"/>
  <c r="C3081" i="5"/>
  <c r="E3076" i="5"/>
  <c r="D3076" i="5"/>
  <c r="C3076" i="5"/>
  <c r="E3071" i="5"/>
  <c r="D3071" i="5"/>
  <c r="C3071" i="5"/>
  <c r="E3063" i="5"/>
  <c r="D3063" i="5"/>
  <c r="C3063" i="5"/>
  <c r="E3055" i="5"/>
  <c r="D3055" i="5"/>
  <c r="C3055" i="5"/>
  <c r="E3047" i="5"/>
  <c r="D3047" i="5"/>
  <c r="C3047" i="5"/>
  <c r="E3039" i="5"/>
  <c r="D3039" i="5"/>
  <c r="C3039" i="5"/>
  <c r="E3031" i="5"/>
  <c r="D3031" i="5"/>
  <c r="C3031" i="5"/>
  <c r="E3015" i="5"/>
  <c r="D3015" i="5"/>
  <c r="C3015" i="5"/>
  <c r="E3014" i="5"/>
  <c r="D3014" i="5"/>
  <c r="C3014" i="5"/>
  <c r="E3022" i="5"/>
  <c r="D3022" i="5"/>
  <c r="C3022" i="5"/>
  <c r="E3030" i="5"/>
  <c r="D3030" i="5"/>
  <c r="C3030" i="5"/>
  <c r="E3038" i="5"/>
  <c r="D3038" i="5"/>
  <c r="C3038" i="5"/>
  <c r="E3046" i="5"/>
  <c r="D3046" i="5"/>
  <c r="C3046" i="5"/>
  <c r="E3054" i="5"/>
  <c r="D3054" i="5"/>
  <c r="C3054" i="5"/>
  <c r="E3062" i="5"/>
  <c r="D3062" i="5"/>
  <c r="C3062" i="5"/>
  <c r="E3066" i="5"/>
  <c r="D3066" i="5"/>
  <c r="C3066" i="5"/>
  <c r="E3070" i="5"/>
  <c r="D3070" i="5"/>
  <c r="C3070" i="5"/>
  <c r="E3075" i="5"/>
  <c r="D3075" i="5"/>
  <c r="C3075" i="5"/>
  <c r="E3080" i="5"/>
  <c r="D3080" i="5"/>
  <c r="C3080" i="5"/>
  <c r="E3085" i="5"/>
  <c r="D3085" i="5"/>
  <c r="C3085" i="5"/>
  <c r="E3090" i="5"/>
  <c r="D3090" i="5"/>
  <c r="C3090" i="5"/>
  <c r="E3095" i="5"/>
  <c r="D3095" i="5"/>
  <c r="C3095" i="5"/>
  <c r="E3099" i="5"/>
  <c r="D3099" i="5"/>
  <c r="C3099" i="5"/>
  <c r="E3102" i="5"/>
  <c r="D3102" i="5"/>
  <c r="C3102" i="5"/>
  <c r="E3105" i="5"/>
  <c r="D3105" i="5"/>
  <c r="C3105" i="5"/>
  <c r="E3108" i="5"/>
  <c r="D3108" i="5"/>
  <c r="C3108" i="5"/>
  <c r="E3111" i="5"/>
  <c r="D3111" i="5"/>
  <c r="C3111" i="5"/>
  <c r="E3114" i="5"/>
  <c r="D3114" i="5"/>
  <c r="C3114" i="5"/>
  <c r="E3117" i="5"/>
  <c r="D3117" i="5"/>
  <c r="C3117" i="5"/>
  <c r="E3120" i="5"/>
  <c r="D3120" i="5"/>
  <c r="C3120" i="5"/>
  <c r="E3123" i="5"/>
  <c r="D3123" i="5"/>
  <c r="C3123" i="5"/>
  <c r="E3126" i="5"/>
  <c r="D3126" i="5"/>
  <c r="C3126" i="5"/>
  <c r="E3130" i="5"/>
  <c r="D3130" i="5"/>
  <c r="C3130" i="5"/>
  <c r="E3137" i="5"/>
  <c r="D3137" i="5"/>
  <c r="C3137" i="5"/>
  <c r="E3145" i="5"/>
  <c r="D3145" i="5"/>
  <c r="C3145" i="5"/>
  <c r="E3153" i="5"/>
  <c r="D3153" i="5"/>
  <c r="C3153" i="5"/>
  <c r="E3163" i="5"/>
  <c r="D3163" i="5"/>
  <c r="C3163" i="5"/>
  <c r="E3162" i="5"/>
  <c r="D3162" i="5"/>
  <c r="C3162" i="5"/>
  <c r="E3161" i="5"/>
  <c r="D3161" i="5"/>
  <c r="C3161" i="5"/>
  <c r="E3158" i="5"/>
  <c r="D3158" i="5"/>
  <c r="C3158" i="5"/>
  <c r="E3157" i="5"/>
  <c r="D3157" i="5"/>
  <c r="C3157" i="5"/>
  <c r="E3156" i="5"/>
  <c r="D3156" i="5"/>
  <c r="C3156" i="5"/>
  <c r="E3152" i="5"/>
  <c r="D3152" i="5"/>
  <c r="C3152" i="5"/>
  <c r="E3151" i="5"/>
  <c r="D3151" i="5"/>
  <c r="C3151" i="5"/>
  <c r="E3150" i="5"/>
  <c r="D3150" i="5"/>
  <c r="C3150" i="5"/>
  <c r="E3144" i="5"/>
  <c r="D3144" i="5"/>
  <c r="C3144" i="5"/>
  <c r="E3143" i="5"/>
  <c r="D3143" i="5"/>
  <c r="C3143" i="5"/>
  <c r="G3160" i="5"/>
  <c r="I3160" i="5" s="1"/>
  <c r="E3160" i="5"/>
  <c r="D3160" i="5"/>
  <c r="C3160" i="5"/>
  <c r="G3159" i="5"/>
  <c r="I3159" i="5" s="1"/>
  <c r="E3159" i="5"/>
  <c r="D3159" i="5"/>
  <c r="C3159" i="5"/>
  <c r="G3149" i="5"/>
  <c r="I3149" i="5" s="1"/>
  <c r="E3149" i="5"/>
  <c r="D3149" i="5"/>
  <c r="C3149" i="5"/>
  <c r="G3148" i="5"/>
  <c r="I3148" i="5" s="1"/>
  <c r="E3148" i="5"/>
  <c r="D3148" i="5"/>
  <c r="C3148" i="5"/>
  <c r="G3142" i="5"/>
  <c r="I3142" i="5" s="1"/>
  <c r="E3142" i="5"/>
  <c r="D3142" i="5"/>
  <c r="C3142" i="5"/>
  <c r="G3141" i="5"/>
  <c r="I3141" i="5" s="1"/>
  <c r="E3141" i="5"/>
  <c r="D3141" i="5"/>
  <c r="C3141" i="5"/>
  <c r="E3140" i="5"/>
  <c r="D3140" i="5"/>
  <c r="C3140" i="5"/>
  <c r="E3136" i="5"/>
  <c r="D3136" i="5"/>
  <c r="C3136" i="5"/>
  <c r="E3135" i="5"/>
  <c r="D3135" i="5"/>
  <c r="C3135" i="5"/>
  <c r="E3134" i="5"/>
  <c r="D3134" i="5"/>
  <c r="C3134" i="5"/>
  <c r="G3133" i="5"/>
  <c r="I3133" i="5" s="1"/>
  <c r="E3133" i="5"/>
  <c r="D3133" i="5"/>
  <c r="C3133" i="5"/>
  <c r="G3132" i="5"/>
  <c r="I3132" i="5" s="1"/>
  <c r="E3132" i="5"/>
  <c r="D3132" i="5"/>
  <c r="C3132" i="5"/>
  <c r="E3129" i="5"/>
  <c r="D3129" i="5"/>
  <c r="C3129" i="5"/>
  <c r="E3128" i="5"/>
  <c r="D3128" i="5"/>
  <c r="C3128" i="5"/>
  <c r="E3125" i="5"/>
  <c r="D3125" i="5"/>
  <c r="C3125" i="5"/>
  <c r="E3122" i="5"/>
  <c r="D3122" i="5"/>
  <c r="C3122" i="5"/>
  <c r="E3119" i="5"/>
  <c r="D3119" i="5"/>
  <c r="C3119" i="5"/>
  <c r="E3116" i="5"/>
  <c r="D3116" i="5"/>
  <c r="C3116" i="5"/>
  <c r="E3113" i="5"/>
  <c r="D3113" i="5"/>
  <c r="C3113" i="5"/>
  <c r="E3110" i="5"/>
  <c r="D3110" i="5"/>
  <c r="C3110" i="5"/>
  <c r="E3107" i="5"/>
  <c r="D3107" i="5"/>
  <c r="C3107" i="5"/>
  <c r="E3104" i="5"/>
  <c r="D3104" i="5"/>
  <c r="C3104" i="5"/>
  <c r="E3101" i="5"/>
  <c r="D3101" i="5"/>
  <c r="C3101" i="5"/>
  <c r="E3098" i="5"/>
  <c r="D3098" i="5"/>
  <c r="C3098" i="5"/>
  <c r="E3093" i="5"/>
  <c r="D3093" i="5"/>
  <c r="C3093" i="5"/>
  <c r="E3088" i="5"/>
  <c r="D3088" i="5"/>
  <c r="C3088" i="5"/>
  <c r="E3083" i="5"/>
  <c r="D3083" i="5"/>
  <c r="C3083" i="5"/>
  <c r="E3094" i="5"/>
  <c r="D3094" i="5"/>
  <c r="C3094" i="5"/>
  <c r="E3089" i="5"/>
  <c r="D3089" i="5"/>
  <c r="C3089" i="5"/>
  <c r="E3084" i="5"/>
  <c r="D3084" i="5"/>
  <c r="C3084" i="5"/>
  <c r="E3079" i="5"/>
  <c r="D3079" i="5"/>
  <c r="C3079" i="5"/>
  <c r="E3078" i="5"/>
  <c r="D3078" i="5"/>
  <c r="C3078" i="5"/>
  <c r="E3074" i="5"/>
  <c r="D3074" i="5"/>
  <c r="C3074" i="5"/>
  <c r="E3073" i="5"/>
  <c r="D3073" i="5"/>
  <c r="C3073" i="5"/>
  <c r="E3069" i="5"/>
  <c r="D3069" i="5"/>
  <c r="C3069" i="5"/>
  <c r="E3068" i="5"/>
  <c r="D3068" i="5"/>
  <c r="C3068" i="5"/>
  <c r="E3065" i="5"/>
  <c r="D3065" i="5"/>
  <c r="C3065" i="5"/>
  <c r="E3061" i="5"/>
  <c r="E3053" i="5"/>
  <c r="D3061" i="5"/>
  <c r="D3053" i="5"/>
  <c r="C3061" i="5"/>
  <c r="C3053" i="5"/>
  <c r="G3060" i="5"/>
  <c r="I3060" i="5" s="1"/>
  <c r="G3052" i="5"/>
  <c r="I3052" i="5" s="1"/>
  <c r="E3060" i="5"/>
  <c r="E3052" i="5"/>
  <c r="D3060" i="5"/>
  <c r="D3052" i="5"/>
  <c r="C3060" i="5"/>
  <c r="C3052" i="5"/>
  <c r="G3059" i="5"/>
  <c r="I3059" i="5" s="1"/>
  <c r="G3051" i="5"/>
  <c r="I3051" i="5" s="1"/>
  <c r="E3059" i="5"/>
  <c r="E3051" i="5"/>
  <c r="D3059" i="5"/>
  <c r="D3051" i="5"/>
  <c r="C3059" i="5"/>
  <c r="E3058" i="5"/>
  <c r="D3058" i="5"/>
  <c r="C3058" i="5"/>
  <c r="E3057" i="5"/>
  <c r="D3057" i="5"/>
  <c r="C3057" i="5"/>
  <c r="E3045" i="5"/>
  <c r="D3045" i="5"/>
  <c r="C3045" i="5"/>
  <c r="G3044" i="5"/>
  <c r="I3044" i="5" s="1"/>
  <c r="E3044" i="5"/>
  <c r="D3044" i="5"/>
  <c r="C3044" i="5"/>
  <c r="G3043" i="5"/>
  <c r="I3043" i="5" s="1"/>
  <c r="E3043" i="5"/>
  <c r="D3043" i="5"/>
  <c r="C3051" i="5"/>
  <c r="C3043" i="5"/>
  <c r="E3050" i="5"/>
  <c r="D3050" i="5"/>
  <c r="C3050" i="5"/>
  <c r="E3049" i="5"/>
  <c r="D3049" i="5"/>
  <c r="C3049" i="5"/>
  <c r="E3037" i="5"/>
  <c r="D3037" i="5"/>
  <c r="C3037" i="5"/>
  <c r="E3029" i="5"/>
  <c r="D3029" i="5"/>
  <c r="G3036" i="5"/>
  <c r="I3036" i="5" s="1"/>
  <c r="E3036" i="5"/>
  <c r="D3036" i="5"/>
  <c r="C3036" i="5"/>
  <c r="G3035" i="5"/>
  <c r="I3035" i="5" s="1"/>
  <c r="E3035" i="5"/>
  <c r="D3035" i="5"/>
  <c r="C3035" i="5"/>
  <c r="E3042" i="5"/>
  <c r="D3042" i="5"/>
  <c r="C3042" i="5"/>
  <c r="E3041" i="5"/>
  <c r="D3041" i="5"/>
  <c r="C3041" i="5"/>
  <c r="G3028" i="5"/>
  <c r="I3028" i="5" s="1"/>
  <c r="E3028" i="5"/>
  <c r="D3028" i="5"/>
  <c r="C3028" i="5"/>
  <c r="G3027" i="5"/>
  <c r="I3027" i="5" s="1"/>
  <c r="E3027" i="5"/>
  <c r="D3027" i="5"/>
  <c r="C3027" i="5"/>
  <c r="E3033" i="5"/>
  <c r="D3033" i="5"/>
  <c r="C3033" i="5"/>
  <c r="E3034" i="5"/>
  <c r="E3026" i="5"/>
  <c r="D3034" i="5"/>
  <c r="D3026" i="5"/>
  <c r="C3034" i="5"/>
  <c r="E3021" i="5"/>
  <c r="D3021" i="5"/>
  <c r="C3029" i="5"/>
  <c r="E3013" i="5"/>
  <c r="D3013" i="5"/>
  <c r="C3021" i="5"/>
  <c r="G3020" i="5"/>
  <c r="I3020" i="5" s="1"/>
  <c r="E3020" i="5"/>
  <c r="D3020" i="5"/>
  <c r="C3020" i="5"/>
  <c r="G3019" i="5"/>
  <c r="I3019" i="5" s="1"/>
  <c r="D3019" i="5"/>
  <c r="C3019" i="5"/>
  <c r="E3025" i="5"/>
  <c r="D3025" i="5"/>
  <c r="C3025" i="5"/>
  <c r="C3026" i="5"/>
  <c r="G3011" i="5"/>
  <c r="I3011" i="5" s="1"/>
  <c r="E3011" i="5"/>
  <c r="D3011" i="5"/>
  <c r="C3011" i="5"/>
  <c r="G3010" i="5"/>
  <c r="I3010" i="5" s="1"/>
  <c r="E3019" i="5"/>
  <c r="E3010" i="5"/>
  <c r="D3010" i="5"/>
  <c r="E3018" i="5"/>
  <c r="D3018" i="5"/>
  <c r="C3018" i="5"/>
  <c r="E3017" i="5"/>
  <c r="D3017" i="5"/>
  <c r="C3017" i="5"/>
  <c r="C3013" i="5"/>
  <c r="E3012" i="5"/>
  <c r="D3012" i="5"/>
  <c r="C3012" i="5"/>
  <c r="G3004" i="5"/>
  <c r="I3004" i="5" s="1"/>
  <c r="E3004" i="5"/>
  <c r="D3004" i="5"/>
  <c r="C3004" i="5"/>
  <c r="G3003" i="5"/>
  <c r="I3003" i="5" s="1"/>
  <c r="E3003" i="5"/>
  <c r="D3003" i="5"/>
  <c r="C3010" i="5"/>
  <c r="C3003" i="5"/>
  <c r="E3009" i="5"/>
  <c r="D3009" i="5"/>
  <c r="C3009" i="5"/>
  <c r="E3008" i="5"/>
  <c r="D3008" i="5"/>
  <c r="C3008" i="5"/>
  <c r="G2997" i="5"/>
  <c r="I2997" i="5" s="1"/>
  <c r="D2997" i="5"/>
  <c r="C2997" i="5"/>
  <c r="G2996" i="5"/>
  <c r="I2996" i="5" s="1"/>
  <c r="E2996" i="5"/>
  <c r="C2996" i="5"/>
  <c r="E3002" i="5"/>
  <c r="D3002" i="5"/>
  <c r="C3002" i="5"/>
  <c r="E3001" i="5"/>
  <c r="D3001" i="5"/>
  <c r="C3001" i="5"/>
  <c r="G2990" i="5"/>
  <c r="I2990" i="5" s="1"/>
  <c r="E2997" i="5"/>
  <c r="E2990" i="5"/>
  <c r="D2990" i="5"/>
  <c r="C2990" i="5"/>
  <c r="D2996" i="5"/>
  <c r="C2989" i="5"/>
  <c r="E2995" i="5"/>
  <c r="D2995" i="5"/>
  <c r="C2995" i="5"/>
  <c r="E2994" i="5"/>
  <c r="D2994" i="5"/>
  <c r="C2994" i="5"/>
  <c r="E2989" i="5"/>
  <c r="D2989" i="5"/>
  <c r="E2988" i="5"/>
  <c r="D2988" i="5"/>
  <c r="C2988" i="5"/>
  <c r="E2987" i="5"/>
  <c r="D2987" i="5"/>
  <c r="C2987" i="5"/>
  <c r="E2982" i="5"/>
  <c r="D2982" i="5"/>
  <c r="C2982" i="5"/>
  <c r="E2981" i="5"/>
  <c r="D2981" i="5"/>
  <c r="C2981" i="5"/>
  <c r="E2980" i="5"/>
  <c r="D2980" i="5"/>
  <c r="C2980" i="5"/>
  <c r="E2976" i="5"/>
  <c r="D2976" i="5"/>
  <c r="C2976" i="5"/>
  <c r="E2975" i="5"/>
  <c r="C2975" i="5"/>
  <c r="D2975" i="5"/>
  <c r="E2974" i="5"/>
  <c r="D2974" i="5"/>
  <c r="C2974" i="5"/>
  <c r="E2970" i="5"/>
  <c r="D2970" i="5"/>
  <c r="C2970" i="5"/>
  <c r="E2969" i="5"/>
  <c r="D2969" i="5"/>
  <c r="C2969" i="5"/>
  <c r="E2968" i="5"/>
  <c r="D2968" i="5"/>
  <c r="C2968" i="5"/>
  <c r="E2965" i="5"/>
  <c r="D2965" i="5"/>
  <c r="C2965" i="5"/>
  <c r="E2964" i="5"/>
  <c r="D2964" i="5"/>
  <c r="C2964" i="5"/>
  <c r="E2963" i="5"/>
  <c r="D2963" i="5"/>
  <c r="C2963" i="5"/>
  <c r="E2962" i="5"/>
  <c r="D2962" i="5"/>
  <c r="C2962" i="5"/>
  <c r="E2958" i="5"/>
  <c r="D2958" i="5"/>
  <c r="C2958" i="5"/>
  <c r="E2957" i="5"/>
  <c r="D2957" i="5"/>
  <c r="C2957" i="5"/>
  <c r="E2956" i="5"/>
  <c r="D2956" i="5"/>
  <c r="C2956" i="5"/>
  <c r="E2952" i="5"/>
  <c r="D2952" i="5"/>
  <c r="C2952" i="5"/>
  <c r="E2951" i="5"/>
  <c r="D2951" i="5"/>
  <c r="C2951" i="5"/>
  <c r="E2950" i="5"/>
  <c r="D2950" i="5"/>
  <c r="C2950" i="5"/>
  <c r="E2946" i="5"/>
  <c r="D2946" i="5"/>
  <c r="C2946" i="5"/>
  <c r="E2945" i="5"/>
  <c r="D2945" i="5"/>
  <c r="C2945" i="5"/>
  <c r="C2944" i="5"/>
  <c r="E2939" i="5"/>
  <c r="D2939" i="5"/>
  <c r="C2939" i="5"/>
  <c r="E2935" i="5"/>
  <c r="D2935" i="5"/>
  <c r="C2935" i="5"/>
  <c r="E2934" i="5"/>
  <c r="D2934" i="5"/>
  <c r="C2934" i="5"/>
  <c r="E2933" i="5"/>
  <c r="D2933" i="5"/>
  <c r="C2933" i="5"/>
  <c r="E2929" i="5"/>
  <c r="E2928" i="5"/>
  <c r="D2928" i="5"/>
  <c r="C2928" i="5"/>
  <c r="E2927" i="5"/>
  <c r="D2927" i="5"/>
  <c r="C2927" i="5"/>
  <c r="E2923" i="5"/>
  <c r="E2922" i="5"/>
  <c r="D2922" i="5"/>
  <c r="C2922" i="5"/>
  <c r="E2921" i="5"/>
  <c r="D2921" i="5"/>
  <c r="C2921" i="5"/>
  <c r="E2920" i="5"/>
  <c r="D2920" i="5"/>
  <c r="C2920" i="5"/>
  <c r="E2915" i="5"/>
  <c r="D2915" i="5"/>
  <c r="C2915" i="5"/>
  <c r="E2910" i="5"/>
  <c r="E2909" i="5"/>
  <c r="D2909" i="5"/>
  <c r="C2909" i="5"/>
  <c r="E2905" i="5"/>
  <c r="D2905" i="5"/>
  <c r="C2905" i="5"/>
  <c r="E2904" i="5"/>
  <c r="D2904" i="5"/>
  <c r="C2904" i="5"/>
  <c r="E2903" i="5"/>
  <c r="D2903" i="5"/>
  <c r="C2903" i="5"/>
  <c r="E2899" i="5"/>
  <c r="E2898" i="5"/>
  <c r="D2898" i="5"/>
  <c r="C2898" i="5"/>
  <c r="E2897" i="5"/>
  <c r="D2897" i="5"/>
  <c r="C2897" i="5"/>
  <c r="E2893" i="5"/>
  <c r="E2892" i="5"/>
  <c r="D2892" i="5"/>
  <c r="C2892" i="5"/>
  <c r="E2888" i="5"/>
  <c r="E2887" i="5"/>
  <c r="D2887" i="5"/>
  <c r="C2887" i="5"/>
  <c r="E2883" i="5"/>
  <c r="E2882" i="5"/>
  <c r="D2882" i="5"/>
  <c r="C2882" i="5"/>
  <c r="E2881" i="5"/>
  <c r="D2881" i="5"/>
  <c r="C2881" i="5"/>
  <c r="E2875" i="5"/>
  <c r="E2874" i="5"/>
  <c r="E2873" i="5"/>
  <c r="D2873" i="5"/>
  <c r="C2873" i="5"/>
  <c r="E2869" i="5"/>
  <c r="D2869" i="5"/>
  <c r="C2869" i="5"/>
  <c r="E2868" i="5"/>
  <c r="D2868" i="5"/>
  <c r="C2868" i="5"/>
  <c r="E2864" i="5"/>
  <c r="D2864" i="5"/>
  <c r="C2864" i="5"/>
  <c r="E2863" i="5"/>
  <c r="D2863" i="5"/>
  <c r="C2863" i="5"/>
  <c r="E2859" i="5"/>
  <c r="D2859" i="5"/>
  <c r="C2859" i="5"/>
  <c r="E2855" i="5"/>
  <c r="D2855" i="5"/>
  <c r="C2855" i="5"/>
  <c r="E2854" i="5"/>
  <c r="D2854" i="5"/>
  <c r="C2854" i="5"/>
  <c r="E2851" i="5"/>
  <c r="D2851" i="5"/>
  <c r="C2851" i="5"/>
  <c r="E2847" i="5"/>
  <c r="D2847" i="5"/>
  <c r="C2847" i="5"/>
  <c r="E2842" i="5"/>
  <c r="D2842" i="5"/>
  <c r="C2842" i="5"/>
  <c r="E2833" i="5"/>
  <c r="D2833" i="5"/>
  <c r="C2833" i="5"/>
  <c r="E2830" i="5"/>
  <c r="D2830" i="5"/>
  <c r="C2830" i="5"/>
  <c r="E2837" i="5"/>
  <c r="D2837" i="5"/>
  <c r="C2837" i="5"/>
  <c r="E2838" i="5"/>
  <c r="D2838" i="5"/>
  <c r="C2838" i="5"/>
  <c r="E2839" i="5"/>
  <c r="D2839" i="5"/>
  <c r="C2839" i="5"/>
  <c r="E2840" i="5"/>
  <c r="D2840" i="5"/>
  <c r="C2840" i="5"/>
  <c r="E2844" i="5"/>
  <c r="D2844" i="5"/>
  <c r="C2844" i="5"/>
  <c r="E2845" i="5"/>
  <c r="D2845" i="5"/>
  <c r="C2845" i="5"/>
  <c r="E2849" i="5"/>
  <c r="D2849" i="5"/>
  <c r="C2849" i="5"/>
  <c r="E2857" i="5"/>
  <c r="D2857" i="5"/>
  <c r="C2857" i="5"/>
  <c r="E2861" i="5"/>
  <c r="D2861" i="5"/>
  <c r="C2861" i="5"/>
  <c r="E2866" i="5"/>
  <c r="D2866" i="5"/>
  <c r="C2866" i="5"/>
  <c r="E2871" i="5"/>
  <c r="D2871" i="5"/>
  <c r="C2871" i="5"/>
  <c r="E2877" i="5"/>
  <c r="D2877" i="5"/>
  <c r="C2877" i="5"/>
  <c r="E2878" i="5"/>
  <c r="D2878" i="5"/>
  <c r="C2878" i="5"/>
  <c r="E2879" i="5"/>
  <c r="D2879" i="5"/>
  <c r="C2879" i="5"/>
  <c r="E2885" i="5"/>
  <c r="D2885" i="5"/>
  <c r="C2885" i="5"/>
  <c r="E2890" i="5"/>
  <c r="D2890" i="5"/>
  <c r="C2890" i="5"/>
  <c r="E2895" i="5"/>
  <c r="D2895" i="5"/>
  <c r="C2895" i="5"/>
  <c r="E2901" i="5"/>
  <c r="D2901" i="5"/>
  <c r="C2901" i="5"/>
  <c r="E2907" i="5"/>
  <c r="D2907" i="5"/>
  <c r="C2907" i="5"/>
  <c r="E2912" i="5"/>
  <c r="D2912" i="5"/>
  <c r="C2912" i="5"/>
  <c r="E2913" i="5"/>
  <c r="D2913" i="5"/>
  <c r="C2913" i="5"/>
  <c r="E2917" i="5"/>
  <c r="D2917" i="5"/>
  <c r="C2917" i="5"/>
  <c r="E2918" i="5"/>
  <c r="D2918" i="5"/>
  <c r="C2918" i="5"/>
  <c r="E2925" i="5"/>
  <c r="D2925" i="5"/>
  <c r="C2925" i="5"/>
  <c r="E2931" i="5"/>
  <c r="D2931" i="5"/>
  <c r="C2931" i="5"/>
  <c r="E2937" i="5"/>
  <c r="D2937" i="5"/>
  <c r="C2937" i="5"/>
  <c r="E2941" i="5"/>
  <c r="D2941" i="5"/>
  <c r="C2941" i="5"/>
  <c r="E2942" i="5"/>
  <c r="D2942" i="5"/>
  <c r="C2942" i="5"/>
  <c r="E2948" i="5"/>
  <c r="D2948" i="5"/>
  <c r="C2948" i="5"/>
  <c r="E2954" i="5"/>
  <c r="D2954" i="5"/>
  <c r="C2954" i="5"/>
  <c r="E2960" i="5"/>
  <c r="D2960" i="5"/>
  <c r="C2960" i="5"/>
  <c r="E2966" i="5"/>
  <c r="D2966" i="5"/>
  <c r="C2966" i="5"/>
  <c r="E2972" i="5"/>
  <c r="D2972" i="5"/>
  <c r="C2972" i="5"/>
  <c r="E2978" i="5"/>
  <c r="D2978" i="5"/>
  <c r="C2978" i="5"/>
  <c r="E2984" i="5"/>
  <c r="D2984" i="5"/>
  <c r="C2984" i="5"/>
  <c r="E2992" i="5"/>
  <c r="D2992" i="5"/>
  <c r="C2992" i="5"/>
  <c r="E2999" i="5"/>
  <c r="D2999" i="5"/>
  <c r="C2999" i="5"/>
  <c r="E3006" i="5"/>
  <c r="D3006" i="5"/>
  <c r="C3006" i="5"/>
  <c r="E3005" i="5"/>
  <c r="D3005" i="5"/>
  <c r="C3005" i="5"/>
  <c r="E2998" i="5"/>
  <c r="D2998" i="5"/>
  <c r="C2998" i="5"/>
  <c r="E2991" i="5"/>
  <c r="D2991" i="5"/>
  <c r="C2991" i="5"/>
  <c r="E2983" i="5"/>
  <c r="D2983" i="5"/>
  <c r="C2983" i="5"/>
  <c r="E2977" i="5"/>
  <c r="D2977" i="5"/>
  <c r="C2977" i="5"/>
  <c r="E2971" i="5"/>
  <c r="D2971" i="5"/>
  <c r="C2971" i="5"/>
  <c r="E2959" i="5"/>
  <c r="D2959" i="5"/>
  <c r="C2959" i="5"/>
  <c r="E2953" i="5"/>
  <c r="D2953" i="5"/>
  <c r="C2953" i="5"/>
  <c r="E2947" i="5"/>
  <c r="D2947" i="5"/>
  <c r="C2947" i="5"/>
  <c r="E2940" i="5"/>
  <c r="D2940" i="5"/>
  <c r="C2940" i="5"/>
  <c r="E2936" i="5"/>
  <c r="D2936" i="5"/>
  <c r="C2936" i="5"/>
  <c r="E2930" i="5"/>
  <c r="D2930" i="5"/>
  <c r="C2930" i="5"/>
  <c r="E2924" i="5"/>
  <c r="H2924" i="5"/>
  <c r="D2924" i="5"/>
  <c r="C2924" i="5"/>
  <c r="E2916" i="5"/>
  <c r="D2916" i="5"/>
  <c r="C2916" i="5"/>
  <c r="E2911" i="5"/>
  <c r="D2911" i="5"/>
  <c r="C2911" i="5"/>
  <c r="E2906" i="5"/>
  <c r="D2906" i="5"/>
  <c r="C2906" i="5"/>
  <c r="E2900" i="5"/>
  <c r="D2900" i="5"/>
  <c r="C2900" i="5"/>
  <c r="E2894" i="5"/>
  <c r="D2894" i="5"/>
  <c r="C2894" i="5"/>
  <c r="E2889" i="5"/>
  <c r="D2889" i="5"/>
  <c r="C2889" i="5"/>
  <c r="E2884" i="5"/>
  <c r="D2884" i="5"/>
  <c r="C2884" i="5"/>
  <c r="E2876" i="5"/>
  <c r="D2876" i="5"/>
  <c r="C2876" i="5"/>
  <c r="E2870" i="5"/>
  <c r="D2870" i="5"/>
  <c r="C2870" i="5"/>
  <c r="E2865" i="5"/>
  <c r="D2865" i="5"/>
  <c r="C2865" i="5"/>
  <c r="E2856" i="5"/>
  <c r="D2856" i="5"/>
  <c r="C2856" i="5"/>
  <c r="E2852" i="5"/>
  <c r="D2852" i="5"/>
  <c r="C2852" i="5"/>
  <c r="E2848" i="5"/>
  <c r="D2848" i="5"/>
  <c r="C2848" i="5"/>
  <c r="E2843" i="5"/>
  <c r="D2843" i="5"/>
  <c r="C2843" i="5"/>
  <c r="E2836" i="5"/>
  <c r="D2836" i="5"/>
  <c r="C2836" i="5"/>
  <c r="E2831" i="5"/>
  <c r="D2831" i="5"/>
  <c r="C2831" i="5"/>
  <c r="E2825" i="5"/>
  <c r="E2824" i="5"/>
  <c r="D2824" i="5"/>
  <c r="C2824" i="5"/>
  <c r="E2823" i="5"/>
  <c r="D2823" i="5"/>
  <c r="C2823" i="5"/>
  <c r="E2822" i="5"/>
  <c r="D2822" i="5"/>
  <c r="C2822" i="5"/>
  <c r="E2821" i="5"/>
  <c r="D2821" i="5"/>
  <c r="C2821" i="5"/>
  <c r="E2820" i="5"/>
  <c r="D2820" i="5"/>
  <c r="C2820" i="5"/>
  <c r="E2819" i="5"/>
  <c r="D2819" i="5"/>
  <c r="C2819" i="5"/>
  <c r="E2814" i="5"/>
  <c r="E2813" i="5"/>
  <c r="D2813" i="5"/>
  <c r="C2813" i="5"/>
  <c r="E2812" i="5"/>
  <c r="D2812" i="5"/>
  <c r="C2812" i="5"/>
  <c r="E2811" i="5"/>
  <c r="D2811" i="5"/>
  <c r="C2811" i="5"/>
  <c r="E2810" i="5"/>
  <c r="D2810" i="5"/>
  <c r="C2810" i="5"/>
  <c r="E2809" i="5"/>
  <c r="D2809" i="5"/>
  <c r="C2809" i="5"/>
  <c r="E2808" i="5"/>
  <c r="D2808" i="5"/>
  <c r="C2808" i="5"/>
  <c r="E2804" i="5"/>
  <c r="D2804" i="5"/>
  <c r="C2804" i="5"/>
  <c r="E2801" i="5"/>
  <c r="D2801" i="5"/>
  <c r="C2801" i="5"/>
  <c r="E2800" i="5"/>
  <c r="D2800" i="5"/>
  <c r="C2800" i="5"/>
  <c r="E2796" i="5"/>
  <c r="D2796" i="5"/>
  <c r="C2796" i="5"/>
  <c r="D2795" i="5"/>
  <c r="C2795" i="5"/>
  <c r="E2794" i="5"/>
  <c r="D2794" i="5"/>
  <c r="C2794" i="5"/>
  <c r="E2790" i="5"/>
  <c r="D2790" i="5"/>
  <c r="C2790" i="5"/>
  <c r="G2786" i="5"/>
  <c r="I2786" i="5" s="1"/>
  <c r="E2786" i="5"/>
  <c r="D2786" i="5"/>
  <c r="C2786" i="5"/>
  <c r="E2785" i="5"/>
  <c r="D2785" i="5"/>
  <c r="C2785" i="5"/>
  <c r="E2784" i="5"/>
  <c r="D2784" i="5"/>
  <c r="C2784" i="5"/>
  <c r="E2783" i="5"/>
  <c r="D2783" i="5"/>
  <c r="C2783" i="5"/>
  <c r="E2782" i="5"/>
  <c r="D2782" i="5"/>
  <c r="C2782" i="5"/>
  <c r="E2778" i="5"/>
  <c r="D2778" i="5"/>
  <c r="C2778" i="5"/>
  <c r="E2777" i="5"/>
  <c r="D2777" i="5"/>
  <c r="C2777" i="5"/>
  <c r="E2771" i="5"/>
  <c r="E2770" i="5"/>
  <c r="D2770" i="5"/>
  <c r="C2770" i="5"/>
  <c r="E2769" i="5"/>
  <c r="D2769" i="5"/>
  <c r="C2769" i="5"/>
  <c r="E2768" i="5"/>
  <c r="D2768" i="5"/>
  <c r="C2768" i="5"/>
  <c r="E2767" i="5"/>
  <c r="D2767" i="5"/>
  <c r="C2767" i="5"/>
  <c r="E2766" i="5"/>
  <c r="D2766" i="5"/>
  <c r="C2766" i="5"/>
  <c r="E2765" i="5"/>
  <c r="D2765" i="5"/>
  <c r="C2765" i="5"/>
  <c r="E2759" i="5"/>
  <c r="E2758" i="5"/>
  <c r="D2758" i="5"/>
  <c r="C2758" i="5"/>
  <c r="E2757" i="5"/>
  <c r="D2757" i="5"/>
  <c r="C2757" i="5"/>
  <c r="E2756" i="5"/>
  <c r="D2756" i="5"/>
  <c r="C2756" i="5"/>
  <c r="E2755" i="5"/>
  <c r="D2755" i="5"/>
  <c r="C2755" i="5"/>
  <c r="E2751" i="5"/>
  <c r="D2751" i="5"/>
  <c r="C2751" i="5"/>
  <c r="E2750" i="5"/>
  <c r="D2750" i="5"/>
  <c r="C2750" i="5"/>
  <c r="E2746" i="5"/>
  <c r="D2746" i="5"/>
  <c r="C2746" i="5"/>
  <c r="E2742" i="5"/>
  <c r="E2741" i="5"/>
  <c r="D2741" i="5"/>
  <c r="C2741" i="5"/>
  <c r="E2740" i="5"/>
  <c r="D2740" i="5"/>
  <c r="C2740" i="5"/>
  <c r="E2739" i="5"/>
  <c r="D2739" i="5"/>
  <c r="C2739" i="5"/>
  <c r="E2738" i="5"/>
  <c r="D2738" i="5"/>
  <c r="C2738" i="5"/>
  <c r="E2734" i="5"/>
  <c r="E2733" i="5"/>
  <c r="D2733" i="5"/>
  <c r="C2733" i="5"/>
  <c r="E2732" i="5"/>
  <c r="D2732" i="5"/>
  <c r="C2732" i="5"/>
  <c r="E2731" i="5"/>
  <c r="D2731" i="5"/>
  <c r="C2731" i="5"/>
  <c r="E2730" i="5"/>
  <c r="D2730" i="5"/>
  <c r="C2730" i="5"/>
  <c r="E2726" i="5"/>
  <c r="E2725" i="5"/>
  <c r="D2725" i="5"/>
  <c r="C2725" i="5"/>
  <c r="E2724" i="5"/>
  <c r="D2724" i="5"/>
  <c r="C2724" i="5"/>
  <c r="E2723" i="5"/>
  <c r="D2723" i="5"/>
  <c r="C2723" i="5"/>
  <c r="E2722" i="5"/>
  <c r="D2722" i="5"/>
  <c r="C2722" i="5"/>
  <c r="E2718" i="5"/>
  <c r="E2717" i="5"/>
  <c r="D2717" i="5"/>
  <c r="C2717" i="5"/>
  <c r="G2716" i="5"/>
  <c r="I2716" i="5" s="1"/>
  <c r="E2716" i="5"/>
  <c r="D2716" i="5"/>
  <c r="C2716" i="5"/>
  <c r="E2715" i="5"/>
  <c r="D2715" i="5"/>
  <c r="C2715" i="5"/>
  <c r="E2714" i="5"/>
  <c r="D2714" i="5"/>
  <c r="C2714" i="5"/>
  <c r="E2713" i="5"/>
  <c r="D2713" i="5"/>
  <c r="C2713" i="5"/>
  <c r="E2712" i="5"/>
  <c r="D2712" i="5"/>
  <c r="C2712" i="5"/>
  <c r="E2711" i="5"/>
  <c r="D2711" i="5"/>
  <c r="C2711" i="5"/>
  <c r="E2710" i="5"/>
  <c r="D2710" i="5"/>
  <c r="C2710" i="5"/>
  <c r="E2706" i="5"/>
  <c r="E2705" i="5"/>
  <c r="D2705" i="5"/>
  <c r="C2705" i="5"/>
  <c r="E2704" i="5"/>
  <c r="D2704" i="5"/>
  <c r="C2704" i="5"/>
  <c r="E2703" i="5"/>
  <c r="D2703" i="5"/>
  <c r="C2703" i="5"/>
  <c r="G2702" i="5"/>
  <c r="I2702" i="5" s="1"/>
  <c r="E2702" i="5"/>
  <c r="D2702" i="5"/>
  <c r="C2702" i="5"/>
  <c r="E2701" i="5"/>
  <c r="D2701" i="5"/>
  <c r="C2701" i="5"/>
  <c r="E2700" i="5"/>
  <c r="D2700" i="5"/>
  <c r="C2700" i="5"/>
  <c r="E2699" i="5"/>
  <c r="D2699" i="5"/>
  <c r="C2699" i="5"/>
  <c r="E2698" i="5"/>
  <c r="D2698" i="5"/>
  <c r="C2698" i="5"/>
  <c r="E2694" i="5"/>
  <c r="E2693" i="5"/>
  <c r="D2693" i="5"/>
  <c r="C2693" i="5"/>
  <c r="E2692" i="5"/>
  <c r="D2692" i="5"/>
  <c r="C2692" i="5"/>
  <c r="E2691" i="5"/>
  <c r="D2691" i="5"/>
  <c r="C2691" i="5"/>
  <c r="G2690" i="5"/>
  <c r="I2690" i="5" s="1"/>
  <c r="E2690" i="5"/>
  <c r="D2690" i="5"/>
  <c r="C2690" i="5"/>
  <c r="E2689" i="5"/>
  <c r="D2689" i="5"/>
  <c r="C2689" i="5"/>
  <c r="E2688" i="5"/>
  <c r="D2688" i="5"/>
  <c r="C2688" i="5"/>
  <c r="E2687" i="5"/>
  <c r="D2687" i="5"/>
  <c r="C2687" i="5"/>
  <c r="E2686" i="5"/>
  <c r="D2686" i="5"/>
  <c r="C2686" i="5"/>
  <c r="E2682" i="5"/>
  <c r="E2681" i="5"/>
  <c r="D2681" i="5"/>
  <c r="C2681" i="5"/>
  <c r="E2680" i="5"/>
  <c r="D2680" i="5"/>
  <c r="C2680" i="5"/>
  <c r="E2679" i="5"/>
  <c r="D2679" i="5"/>
  <c r="C2679" i="5"/>
  <c r="E2678" i="5"/>
  <c r="D2678" i="5"/>
  <c r="C2678" i="5"/>
  <c r="E2677" i="5"/>
  <c r="D2677" i="5"/>
  <c r="C2677" i="5"/>
  <c r="E2676" i="5"/>
  <c r="D2676" i="5"/>
  <c r="C2676" i="5"/>
  <c r="E2675" i="5"/>
  <c r="D2675" i="5"/>
  <c r="C2675" i="5"/>
  <c r="E2674" i="5"/>
  <c r="D2674" i="5"/>
  <c r="C2674" i="5"/>
  <c r="E2670" i="5"/>
  <c r="E2669" i="5"/>
  <c r="D2669" i="5"/>
  <c r="C2669" i="5"/>
  <c r="E2668" i="5"/>
  <c r="D2668" i="5"/>
  <c r="C2668" i="5"/>
  <c r="E2667" i="5"/>
  <c r="D2667" i="5"/>
  <c r="C2667" i="5"/>
  <c r="E2666" i="5"/>
  <c r="D2666" i="5"/>
  <c r="C2666" i="5"/>
  <c r="E2665" i="5"/>
  <c r="D2665" i="5"/>
  <c r="C2665" i="5"/>
  <c r="E2664" i="5"/>
  <c r="D2664" i="5"/>
  <c r="C2664" i="5"/>
  <c r="E2663" i="5"/>
  <c r="D2663" i="5"/>
  <c r="C2663" i="5"/>
  <c r="E2662" i="5"/>
  <c r="D2662" i="5"/>
  <c r="C2662" i="5"/>
  <c r="E2658" i="5"/>
  <c r="E2657" i="5"/>
  <c r="D2657" i="5"/>
  <c r="C2657" i="5"/>
  <c r="E2656" i="5"/>
  <c r="D2656" i="5"/>
  <c r="C2656" i="5"/>
  <c r="E2655" i="5"/>
  <c r="D2655" i="5"/>
  <c r="C2655" i="5"/>
  <c r="E2654" i="5"/>
  <c r="D2654" i="5"/>
  <c r="C2654" i="5"/>
  <c r="E2653" i="5"/>
  <c r="D2653" i="5"/>
  <c r="C2653" i="5"/>
  <c r="E2652" i="5"/>
  <c r="D2652" i="5"/>
  <c r="C2652" i="5"/>
  <c r="E2650" i="5"/>
  <c r="D2650" i="5"/>
  <c r="C2650" i="5"/>
  <c r="E2649" i="5"/>
  <c r="D2649" i="5"/>
  <c r="C2649" i="5"/>
  <c r="E2643" i="5"/>
  <c r="D2643" i="5"/>
  <c r="C2643" i="5"/>
  <c r="E2638" i="5"/>
  <c r="D2638" i="5"/>
  <c r="C2638" i="5"/>
  <c r="E2637" i="5"/>
  <c r="D2637" i="5"/>
  <c r="C2637" i="5"/>
  <c r="E2636" i="5"/>
  <c r="D2636" i="5"/>
  <c r="C2636" i="5"/>
  <c r="E2630" i="5"/>
  <c r="D2630" i="5"/>
  <c r="C2630" i="5"/>
  <c r="E2629" i="5"/>
  <c r="D2629" i="5"/>
  <c r="C2629" i="5"/>
  <c r="E2628" i="5"/>
  <c r="D2628" i="5"/>
  <c r="C2628" i="5"/>
  <c r="E2624" i="5"/>
  <c r="D2624" i="5"/>
  <c r="C2624" i="5"/>
  <c r="E2623" i="5"/>
  <c r="D2623" i="5"/>
  <c r="C2623" i="5"/>
  <c r="E2622" i="5"/>
  <c r="D2622" i="5"/>
  <c r="C2622" i="5"/>
  <c r="E2617" i="5"/>
  <c r="D2617" i="5"/>
  <c r="C2617" i="5"/>
  <c r="E2612" i="5"/>
  <c r="D2612" i="5"/>
  <c r="C2612" i="5"/>
  <c r="E2607" i="5"/>
  <c r="D2607" i="5"/>
  <c r="C2607" i="5"/>
  <c r="E2601" i="5"/>
  <c r="D2601" i="5"/>
  <c r="C2601" i="5"/>
  <c r="E2603" i="5"/>
  <c r="D2603" i="5"/>
  <c r="C2603" i="5"/>
  <c r="E2604" i="5"/>
  <c r="D2604" i="5"/>
  <c r="C2604" i="5"/>
  <c r="E2605" i="5"/>
  <c r="D2605" i="5"/>
  <c r="C2605" i="5"/>
  <c r="E2609" i="5"/>
  <c r="D2609" i="5"/>
  <c r="C2609" i="5"/>
  <c r="E2610" i="5"/>
  <c r="D2610" i="5"/>
  <c r="C2610" i="5"/>
  <c r="E2614" i="5"/>
  <c r="D2614" i="5"/>
  <c r="C2614" i="5"/>
  <c r="E2615" i="5"/>
  <c r="D2615" i="5"/>
  <c r="C2615" i="5"/>
  <c r="E2620" i="5"/>
  <c r="D2620" i="5"/>
  <c r="C2620" i="5"/>
  <c r="E2625" i="5"/>
  <c r="D2625" i="5"/>
  <c r="C2625" i="5"/>
  <c r="E2626" i="5"/>
  <c r="D2626" i="5"/>
  <c r="C2626" i="5"/>
  <c r="E2632" i="5"/>
  <c r="D2632" i="5"/>
  <c r="C2632" i="5"/>
  <c r="E2633" i="5"/>
  <c r="D2633" i="5"/>
  <c r="C2633" i="5"/>
  <c r="E2634" i="5"/>
  <c r="D2634" i="5"/>
  <c r="C2634" i="5"/>
  <c r="E2640" i="5"/>
  <c r="D2640" i="5"/>
  <c r="C2640" i="5"/>
  <c r="E2641" i="5"/>
  <c r="C2641" i="5"/>
  <c r="E2645" i="5"/>
  <c r="D2645" i="5"/>
  <c r="C2645" i="5"/>
  <c r="E2646" i="5"/>
  <c r="D2646" i="5"/>
  <c r="C2646" i="5"/>
  <c r="E2660" i="5"/>
  <c r="D2660" i="5"/>
  <c r="C2660" i="5"/>
  <c r="E2672" i="5"/>
  <c r="D2672" i="5"/>
  <c r="C2672" i="5"/>
  <c r="E2684" i="5"/>
  <c r="D2684" i="5"/>
  <c r="C2684" i="5"/>
  <c r="E2696" i="5"/>
  <c r="D2696" i="5"/>
  <c r="C2696" i="5"/>
  <c r="E2708" i="5"/>
  <c r="D2708" i="5"/>
  <c r="C2708" i="5"/>
  <c r="E2720" i="5"/>
  <c r="D2720" i="5"/>
  <c r="C2720" i="5"/>
  <c r="E2728" i="5"/>
  <c r="D2728" i="5"/>
  <c r="C2728" i="5"/>
  <c r="E2736" i="5"/>
  <c r="D2736" i="5"/>
  <c r="C2736" i="5"/>
  <c r="E2744" i="5"/>
  <c r="D2744" i="5"/>
  <c r="C2744" i="5"/>
  <c r="E2748" i="5"/>
  <c r="D2748" i="5"/>
  <c r="C2748" i="5"/>
  <c r="E2753" i="5"/>
  <c r="D2753" i="5"/>
  <c r="C2753" i="5"/>
  <c r="E2763" i="5"/>
  <c r="D2763" i="5"/>
  <c r="C2763" i="5"/>
  <c r="E2762" i="5"/>
  <c r="D2762" i="5"/>
  <c r="C2762" i="5"/>
  <c r="E2774" i="5"/>
  <c r="D2774" i="5"/>
  <c r="C2774" i="5"/>
  <c r="E2775" i="5"/>
  <c r="D2775" i="5"/>
  <c r="C2775" i="5"/>
  <c r="E2780" i="5"/>
  <c r="D2780" i="5"/>
  <c r="C2780" i="5"/>
  <c r="E2788" i="5"/>
  <c r="C2788" i="5"/>
  <c r="E2798" i="5"/>
  <c r="D2798" i="5"/>
  <c r="C2798" i="5"/>
  <c r="E2806" i="5"/>
  <c r="D2806" i="5"/>
  <c r="C2806" i="5"/>
  <c r="E2816" i="5"/>
  <c r="D2816" i="5"/>
  <c r="C2816" i="5"/>
  <c r="E2817" i="5"/>
  <c r="D2817" i="5"/>
  <c r="C2817" i="5"/>
  <c r="E2828" i="5"/>
  <c r="D2828" i="5"/>
  <c r="C2828" i="5"/>
  <c r="E2827" i="5"/>
  <c r="D2827" i="5"/>
  <c r="C2827" i="5"/>
  <c r="E2826" i="5"/>
  <c r="D2826" i="5"/>
  <c r="C2826" i="5"/>
  <c r="E2815" i="5"/>
  <c r="D2815" i="5"/>
  <c r="C2815" i="5"/>
  <c r="E2805" i="5"/>
  <c r="D2805" i="5"/>
  <c r="C2805" i="5"/>
  <c r="E2802" i="5"/>
  <c r="D2802" i="5"/>
  <c r="C2802" i="5"/>
  <c r="E2797" i="5"/>
  <c r="D2797" i="5"/>
  <c r="C2797" i="5"/>
  <c r="E2792" i="5"/>
  <c r="D2792" i="5"/>
  <c r="C2792" i="5"/>
  <c r="E2787" i="5"/>
  <c r="D2787" i="5"/>
  <c r="C2787" i="5"/>
  <c r="E2779" i="5"/>
  <c r="D2779" i="5"/>
  <c r="C2779" i="5"/>
  <c r="E2773" i="5"/>
  <c r="D2773" i="5"/>
  <c r="C2773" i="5"/>
  <c r="E2772" i="5"/>
  <c r="D2772" i="5"/>
  <c r="C2772" i="5"/>
  <c r="E2761" i="5"/>
  <c r="D2761" i="5"/>
  <c r="C2761" i="5"/>
  <c r="E2760" i="5"/>
  <c r="D2760" i="5"/>
  <c r="C2760" i="5"/>
  <c r="E2752" i="5"/>
  <c r="D2752" i="5"/>
  <c r="C2752" i="5"/>
  <c r="E2747" i="5"/>
  <c r="D2747" i="5"/>
  <c r="C2747" i="5"/>
  <c r="E2743" i="5"/>
  <c r="D2743" i="5"/>
  <c r="C2743" i="5"/>
  <c r="E2735" i="5"/>
  <c r="D2735" i="5"/>
  <c r="C2735" i="5"/>
  <c r="E2727" i="5"/>
  <c r="D2727" i="5"/>
  <c r="C2727" i="5"/>
  <c r="E2719" i="5"/>
  <c r="D2719" i="5"/>
  <c r="C2719" i="5"/>
  <c r="E2707" i="5"/>
  <c r="D2707" i="5"/>
  <c r="C2707" i="5"/>
  <c r="E2695" i="5"/>
  <c r="D2695" i="5"/>
  <c r="C2695" i="5"/>
  <c r="E2683" i="5"/>
  <c r="D2683" i="5"/>
  <c r="C2683" i="5"/>
  <c r="E2671" i="5"/>
  <c r="D2671" i="5"/>
  <c r="C2671" i="5"/>
  <c r="E2659" i="5"/>
  <c r="D2659" i="5"/>
  <c r="C2659" i="5"/>
  <c r="E2644" i="5"/>
  <c r="D2644" i="5"/>
  <c r="C2644" i="5"/>
  <c r="E2639" i="5"/>
  <c r="D2639" i="5"/>
  <c r="C2639" i="5"/>
  <c r="E2631" i="5"/>
  <c r="D2631" i="5"/>
  <c r="C2631" i="5"/>
  <c r="E2619" i="5"/>
  <c r="D2619" i="5"/>
  <c r="C2619" i="5"/>
  <c r="E2613" i="5"/>
  <c r="D2613" i="5"/>
  <c r="C2613" i="5"/>
  <c r="E2608" i="5"/>
  <c r="D2608" i="5"/>
  <c r="C2608" i="5"/>
  <c r="E2602" i="5"/>
  <c r="D2602" i="5"/>
  <c r="C2602" i="5"/>
  <c r="E2595" i="5"/>
  <c r="D2595" i="5"/>
  <c r="C2595" i="5"/>
  <c r="E2594" i="5"/>
  <c r="D2594" i="5"/>
  <c r="C2594" i="5"/>
  <c r="E2593" i="5"/>
  <c r="D2593" i="5"/>
  <c r="C2593" i="5"/>
  <c r="E2588" i="5"/>
  <c r="D2588" i="5"/>
  <c r="C2588" i="5"/>
  <c r="E2587" i="5"/>
  <c r="D2587" i="5"/>
  <c r="C2587" i="5"/>
  <c r="E2586" i="5"/>
  <c r="D2586" i="5"/>
  <c r="C2586" i="5"/>
  <c r="E2585" i="5"/>
  <c r="D2585" i="5"/>
  <c r="C2585" i="5"/>
  <c r="E2581" i="5"/>
  <c r="D2581" i="5"/>
  <c r="C2581" i="5"/>
  <c r="E2577" i="5"/>
  <c r="D2577" i="5"/>
  <c r="C2577" i="5"/>
  <c r="E2576" i="5"/>
  <c r="D2576" i="5"/>
  <c r="C2576" i="5"/>
  <c r="E2572" i="5"/>
  <c r="D2572" i="5"/>
  <c r="C2572" i="5"/>
  <c r="E2571" i="5"/>
  <c r="D2571" i="5"/>
  <c r="C2571" i="5"/>
  <c r="E2570" i="5"/>
  <c r="D2570" i="5"/>
  <c r="C2570" i="5"/>
  <c r="E2569" i="5"/>
  <c r="D2569" i="5"/>
  <c r="C2569" i="5"/>
  <c r="E2568" i="5"/>
  <c r="D2568" i="5"/>
  <c r="C2568" i="5"/>
  <c r="E2567" i="5"/>
  <c r="D2567" i="5"/>
  <c r="C2567" i="5"/>
  <c r="E2562" i="5"/>
  <c r="E2561" i="5"/>
  <c r="D2561" i="5"/>
  <c r="C2561" i="5"/>
  <c r="E2560" i="5"/>
  <c r="D2560" i="5"/>
  <c r="C2560" i="5"/>
  <c r="E2559" i="5"/>
  <c r="D2559" i="5"/>
  <c r="C2559" i="5"/>
  <c r="E2558" i="5"/>
  <c r="D2558" i="5"/>
  <c r="C2558" i="5"/>
  <c r="E2557" i="5"/>
  <c r="D2557" i="5"/>
  <c r="C2557" i="5"/>
  <c r="E2556" i="5"/>
  <c r="D2556" i="5"/>
  <c r="C2556" i="5"/>
  <c r="E2551" i="5"/>
  <c r="E2546" i="5"/>
  <c r="D2546" i="5"/>
  <c r="C2546" i="5"/>
  <c r="E2541" i="5"/>
  <c r="D2541" i="5"/>
  <c r="C2541" i="5"/>
  <c r="E2540" i="5"/>
  <c r="E2536" i="5"/>
  <c r="D2536" i="5"/>
  <c r="C2536" i="5"/>
  <c r="E2535" i="5"/>
  <c r="D2535" i="5"/>
  <c r="C2535" i="5"/>
  <c r="E2530" i="5"/>
  <c r="D2530" i="5"/>
  <c r="C2530" i="5"/>
  <c r="E2529" i="5"/>
  <c r="D2529" i="5"/>
  <c r="C2529" i="5"/>
  <c r="E2528" i="5"/>
  <c r="D2528" i="5"/>
  <c r="C2528" i="5"/>
  <c r="E2527" i="5"/>
  <c r="D2527" i="5"/>
  <c r="C2527" i="5"/>
  <c r="E2526" i="5"/>
  <c r="D2526" i="5"/>
  <c r="C2526" i="5"/>
  <c r="E2525" i="5"/>
  <c r="D2525" i="5"/>
  <c r="C2525" i="5"/>
  <c r="G2520" i="5"/>
  <c r="I2520" i="5" s="1"/>
  <c r="E2520" i="5"/>
  <c r="D2520" i="5"/>
  <c r="C2520" i="5"/>
  <c r="G2519" i="5"/>
  <c r="I2519" i="5" s="1"/>
  <c r="E2519" i="5"/>
  <c r="D2519" i="5"/>
  <c r="C2519" i="5"/>
  <c r="G2518" i="5"/>
  <c r="I2518" i="5" s="1"/>
  <c r="E2518" i="5"/>
  <c r="D2518" i="5"/>
  <c r="C2518" i="5"/>
  <c r="G2517" i="5"/>
  <c r="I2517" i="5" s="1"/>
  <c r="E2517" i="5"/>
  <c r="D2517" i="5"/>
  <c r="C2517" i="5"/>
  <c r="E2516" i="5"/>
  <c r="D2516" i="5"/>
  <c r="C2516" i="5"/>
  <c r="E2515" i="5"/>
  <c r="D2515" i="5"/>
  <c r="C2515" i="5"/>
  <c r="E2510" i="5"/>
  <c r="D2510" i="5"/>
  <c r="C2510" i="5"/>
  <c r="E2509" i="5"/>
  <c r="D2509" i="5"/>
  <c r="C2509" i="5"/>
  <c r="E2508" i="5"/>
  <c r="D2508" i="5"/>
  <c r="C2508" i="5"/>
  <c r="E2507" i="5"/>
  <c r="D2507" i="5"/>
  <c r="C2507" i="5"/>
  <c r="E2506" i="5"/>
  <c r="D2506" i="5"/>
  <c r="C2506" i="5"/>
  <c r="E2505" i="5"/>
  <c r="D2505" i="5"/>
  <c r="C2505" i="5"/>
  <c r="E2500" i="5"/>
  <c r="D2500" i="5"/>
  <c r="C2500" i="5"/>
  <c r="E2499" i="5"/>
  <c r="D2499" i="5"/>
  <c r="C2499" i="5"/>
  <c r="E2498" i="5"/>
  <c r="D2498" i="5"/>
  <c r="C2498" i="5"/>
  <c r="E2497" i="5"/>
  <c r="D2497" i="5"/>
  <c r="C2497" i="5"/>
  <c r="E2496" i="5"/>
  <c r="D2496" i="5"/>
  <c r="C2496" i="5"/>
  <c r="E2495" i="5"/>
  <c r="D2495" i="5"/>
  <c r="C2495" i="5"/>
  <c r="E2491" i="5"/>
  <c r="D2491" i="5"/>
  <c r="C2491" i="5"/>
  <c r="E2490" i="5"/>
  <c r="D2490" i="5"/>
  <c r="C2490" i="5"/>
  <c r="E2489" i="5"/>
  <c r="D2489" i="5"/>
  <c r="C2489" i="5"/>
  <c r="E2488" i="5"/>
  <c r="D2488" i="5"/>
  <c r="C2488" i="5"/>
  <c r="E2487" i="5"/>
  <c r="D2487" i="5"/>
  <c r="C2487" i="5"/>
  <c r="E2486" i="5"/>
  <c r="D2486" i="5"/>
  <c r="C2486" i="5"/>
  <c r="E2482" i="5"/>
  <c r="D2482" i="5"/>
  <c r="C2482" i="5"/>
  <c r="E2481" i="5"/>
  <c r="D2481" i="5"/>
  <c r="C2481" i="5"/>
  <c r="E2480" i="5"/>
  <c r="D2480" i="5"/>
  <c r="C2480" i="5"/>
  <c r="E2475" i="5"/>
  <c r="D2475" i="5"/>
  <c r="C2475" i="5"/>
  <c r="E2474" i="5"/>
  <c r="D2474" i="5"/>
  <c r="C2474" i="5"/>
  <c r="E2470" i="5"/>
  <c r="D2470" i="5"/>
  <c r="C2470" i="5"/>
  <c r="E2469" i="5"/>
  <c r="D2469" i="5"/>
  <c r="C2469" i="5"/>
  <c r="E2468" i="5"/>
  <c r="D2468" i="5"/>
  <c r="C2468" i="5"/>
  <c r="E2464" i="5"/>
  <c r="D2464" i="5"/>
  <c r="C2464" i="5"/>
  <c r="E2463" i="5"/>
  <c r="D2463" i="5"/>
  <c r="C2463" i="5"/>
  <c r="E2462" i="5"/>
  <c r="D2462" i="5"/>
  <c r="C2462" i="5"/>
  <c r="E2458" i="5"/>
  <c r="D2458" i="5"/>
  <c r="C2458" i="5"/>
  <c r="E2457" i="5"/>
  <c r="E2453" i="5"/>
  <c r="D2453" i="5"/>
  <c r="C2453" i="5"/>
  <c r="E2452" i="5"/>
  <c r="D2452" i="5"/>
  <c r="C2452" i="5"/>
  <c r="E2451" i="5"/>
  <c r="D2451" i="5"/>
  <c r="C2451" i="5"/>
  <c r="E2447" i="5"/>
  <c r="D2447" i="5"/>
  <c r="C2447" i="5"/>
  <c r="E2441" i="5"/>
  <c r="D2441" i="5"/>
  <c r="C2441" i="5"/>
  <c r="E2435" i="5"/>
  <c r="D2435" i="5"/>
  <c r="C2435" i="5"/>
  <c r="E2434" i="5"/>
  <c r="D2434" i="5"/>
  <c r="C2434" i="5"/>
  <c r="E2433" i="5"/>
  <c r="D2433" i="5"/>
  <c r="C2433" i="5"/>
  <c r="E2432" i="5"/>
  <c r="D2432" i="5"/>
  <c r="C2432" i="5"/>
  <c r="E2428" i="5"/>
  <c r="D2428" i="5"/>
  <c r="C2428" i="5"/>
  <c r="E2427" i="5"/>
  <c r="D2427" i="5"/>
  <c r="C2427" i="5"/>
  <c r="E2426" i="5"/>
  <c r="D2426" i="5"/>
  <c r="C2426" i="5"/>
  <c r="E2425" i="5"/>
  <c r="D2425" i="5"/>
  <c r="C2425" i="5"/>
  <c r="E2424" i="5"/>
  <c r="D2424" i="5"/>
  <c r="C2424" i="5"/>
  <c r="E2423" i="5"/>
  <c r="D2423" i="5"/>
  <c r="C2423" i="5"/>
  <c r="E2419" i="5"/>
  <c r="D2419" i="5"/>
  <c r="C2419" i="5"/>
  <c r="E2418" i="5"/>
  <c r="D2418" i="5"/>
  <c r="C2418" i="5"/>
  <c r="E2417" i="5"/>
  <c r="D2417" i="5"/>
  <c r="C2417" i="5"/>
  <c r="E2413" i="5"/>
  <c r="D2413" i="5"/>
  <c r="C2413" i="5"/>
  <c r="E2412" i="5"/>
  <c r="D2412" i="5"/>
  <c r="C2412" i="5"/>
  <c r="E2411" i="5"/>
  <c r="D2411" i="5"/>
  <c r="C2411" i="5"/>
  <c r="E2410" i="5"/>
  <c r="D2410" i="5"/>
  <c r="C2410" i="5"/>
  <c r="E2406" i="5"/>
  <c r="D2406" i="5"/>
  <c r="C2406" i="5"/>
  <c r="E2405" i="5"/>
  <c r="D2405" i="5"/>
  <c r="C2405" i="5"/>
  <c r="E2404" i="5"/>
  <c r="D2404" i="5"/>
  <c r="C2404" i="5"/>
  <c r="E2398" i="5"/>
  <c r="D2398" i="5"/>
  <c r="C2398" i="5"/>
  <c r="E2394" i="5"/>
  <c r="D2394" i="5"/>
  <c r="C2394" i="5"/>
  <c r="E2393" i="5"/>
  <c r="D2393" i="5"/>
  <c r="C2393" i="5"/>
  <c r="E2392" i="5"/>
  <c r="D2392" i="5"/>
  <c r="C2392" i="5"/>
  <c r="E2388" i="5"/>
  <c r="D2388" i="5"/>
  <c r="C2388" i="5"/>
  <c r="E2387" i="5"/>
  <c r="D2387" i="5"/>
  <c r="C2387" i="5"/>
  <c r="E2386" i="5"/>
  <c r="D2386" i="5"/>
  <c r="C2386" i="5"/>
  <c r="E2385" i="5"/>
  <c r="D2385" i="5"/>
  <c r="C2385" i="5"/>
  <c r="E2381" i="5"/>
  <c r="D2381" i="5"/>
  <c r="C2381" i="5"/>
  <c r="G2377" i="5"/>
  <c r="I2377" i="5" s="1"/>
  <c r="E2377" i="5"/>
  <c r="D2377" i="5"/>
  <c r="C2377" i="5"/>
  <c r="E2376" i="5"/>
  <c r="D2376" i="5"/>
  <c r="C2376" i="5"/>
  <c r="E2375" i="5"/>
  <c r="D2375" i="5"/>
  <c r="C2375" i="5"/>
  <c r="G2374" i="5"/>
  <c r="I2374" i="5" s="1"/>
  <c r="E2374" i="5"/>
  <c r="D2374" i="5"/>
  <c r="C2374" i="5"/>
  <c r="E2370" i="5"/>
  <c r="D2370" i="5"/>
  <c r="C2370" i="5"/>
  <c r="E2369" i="5"/>
  <c r="D2369" i="5"/>
  <c r="C2369" i="5"/>
  <c r="E2365" i="5"/>
  <c r="D2365" i="5"/>
  <c r="C2365" i="5"/>
  <c r="E2364" i="5"/>
  <c r="D2364" i="5"/>
  <c r="C2364" i="5"/>
  <c r="E2360" i="5"/>
  <c r="D2360" i="5"/>
  <c r="C2360" i="5"/>
  <c r="E2359" i="5"/>
  <c r="D2359" i="5"/>
  <c r="C2359" i="5"/>
  <c r="E2362" i="5"/>
  <c r="D2362" i="5"/>
  <c r="C2362" i="5"/>
  <c r="E2367" i="5"/>
  <c r="D2367" i="5"/>
  <c r="C2367" i="5"/>
  <c r="E2372" i="5"/>
  <c r="D2372" i="5"/>
  <c r="C2372" i="5"/>
  <c r="E2379" i="5"/>
  <c r="D2379" i="5"/>
  <c r="C2379" i="5"/>
  <c r="E2383" i="5"/>
  <c r="D2383" i="5"/>
  <c r="C2383" i="5"/>
  <c r="E2390" i="5"/>
  <c r="D2390" i="5"/>
  <c r="C2390" i="5"/>
  <c r="E2396" i="5"/>
  <c r="D2396" i="5"/>
  <c r="C2396" i="5"/>
  <c r="E2400" i="5"/>
  <c r="D2400" i="5"/>
  <c r="C2400" i="5"/>
  <c r="E2402" i="5"/>
  <c r="D2402" i="5"/>
  <c r="C2402" i="5"/>
  <c r="E2408" i="5"/>
  <c r="D2408" i="5"/>
  <c r="C2408" i="5"/>
  <c r="E2415" i="5"/>
  <c r="D2415" i="5"/>
  <c r="C2415" i="5"/>
  <c r="E2421" i="5"/>
  <c r="D2421" i="5"/>
  <c r="C2421" i="5"/>
  <c r="E2430" i="5"/>
  <c r="D2430" i="5"/>
  <c r="C2430" i="5"/>
  <c r="E2437" i="5"/>
  <c r="D2437" i="5"/>
  <c r="C2437" i="5"/>
  <c r="E2439" i="5"/>
  <c r="D2439" i="5"/>
  <c r="C2439" i="5"/>
  <c r="E2443" i="5"/>
  <c r="D2443" i="5"/>
  <c r="C2443" i="5"/>
  <c r="E2449" i="5"/>
  <c r="D2449" i="5"/>
  <c r="C2449" i="5"/>
  <c r="E2455" i="5"/>
  <c r="D2455" i="5"/>
  <c r="C2455" i="5"/>
  <c r="E2460" i="5"/>
  <c r="D2460" i="5"/>
  <c r="C2460" i="5"/>
  <c r="E2466" i="5"/>
  <c r="D2466" i="5"/>
  <c r="C2466" i="5"/>
  <c r="E2472" i="5"/>
  <c r="D2472" i="5"/>
  <c r="C2472" i="5"/>
  <c r="E2477" i="5"/>
  <c r="C2477" i="5"/>
  <c r="E2478" i="5"/>
  <c r="D2478" i="5"/>
  <c r="C2478" i="5"/>
  <c r="E2484" i="5"/>
  <c r="D2484" i="5"/>
  <c r="C2484" i="5"/>
  <c r="E2493" i="5"/>
  <c r="D2493" i="5"/>
  <c r="C2493" i="5"/>
  <c r="E2502" i="5"/>
  <c r="D2502" i="5"/>
  <c r="C2502" i="5"/>
  <c r="E2503" i="5"/>
  <c r="D2503" i="5"/>
  <c r="C2503" i="5"/>
  <c r="E2512" i="5"/>
  <c r="D2512" i="5"/>
  <c r="C2512" i="5"/>
  <c r="E2513" i="5"/>
  <c r="D2513" i="5"/>
  <c r="C2513" i="5"/>
  <c r="E2522" i="5"/>
  <c r="D2522" i="5"/>
  <c r="C2522" i="5"/>
  <c r="E2523" i="5"/>
  <c r="D2523" i="5"/>
  <c r="C2523" i="5"/>
  <c r="E2532" i="5"/>
  <c r="D2532" i="5"/>
  <c r="C2532" i="5"/>
  <c r="E2533" i="5"/>
  <c r="D2533" i="5"/>
  <c r="C2533" i="5"/>
  <c r="E2538" i="5"/>
  <c r="D2538" i="5"/>
  <c r="C2538" i="5"/>
  <c r="E2543" i="5"/>
  <c r="D2543" i="5"/>
  <c r="C2543" i="5"/>
  <c r="E2544" i="5"/>
  <c r="D2544" i="5"/>
  <c r="C2544" i="5"/>
  <c r="E2548" i="5"/>
  <c r="D2548" i="5"/>
  <c r="C2548" i="5"/>
  <c r="E2549" i="5"/>
  <c r="D2549" i="5"/>
  <c r="C2549" i="5"/>
  <c r="E2553" i="5"/>
  <c r="D2553" i="5"/>
  <c r="C2553" i="5"/>
  <c r="E2554" i="5"/>
  <c r="D2554" i="5"/>
  <c r="C2554" i="5"/>
  <c r="E2564" i="5"/>
  <c r="D2564" i="5"/>
  <c r="C2564" i="5"/>
  <c r="E2565" i="5"/>
  <c r="D2565" i="5"/>
  <c r="C2565" i="5"/>
  <c r="E2574" i="5"/>
  <c r="D2574" i="5"/>
  <c r="C2574" i="5"/>
  <c r="E2579" i="5"/>
  <c r="D2579" i="5"/>
  <c r="C2579" i="5"/>
  <c r="E2583" i="5"/>
  <c r="D2583" i="5"/>
  <c r="C2583" i="5"/>
  <c r="E2590" i="5"/>
  <c r="D2590" i="5"/>
  <c r="C2590" i="5"/>
  <c r="E2591" i="5"/>
  <c r="D2591" i="5"/>
  <c r="C2591" i="5"/>
  <c r="E2597" i="5"/>
  <c r="D2597" i="5"/>
  <c r="C2597" i="5"/>
  <c r="E2599" i="5"/>
  <c r="D2599" i="5"/>
  <c r="C2599" i="5"/>
  <c r="E2596" i="5"/>
  <c r="D2596" i="5"/>
  <c r="C2596" i="5"/>
  <c r="E2589" i="5"/>
  <c r="D2589" i="5"/>
  <c r="C2589" i="5"/>
  <c r="E2582" i="5"/>
  <c r="D2582" i="5"/>
  <c r="C2582" i="5"/>
  <c r="E2578" i="5"/>
  <c r="D2578" i="5"/>
  <c r="C2578" i="5"/>
  <c r="E2573" i="5"/>
  <c r="D2573" i="5"/>
  <c r="C2573" i="5"/>
  <c r="E2563" i="5"/>
  <c r="D2563" i="5"/>
  <c r="C2563" i="5"/>
  <c r="E2552" i="5"/>
  <c r="D2552" i="5"/>
  <c r="C2552" i="5"/>
  <c r="E2547" i="5"/>
  <c r="D2547" i="5"/>
  <c r="C2547" i="5"/>
  <c r="E2542" i="5"/>
  <c r="D2542" i="5"/>
  <c r="C2542" i="5"/>
  <c r="E2537" i="5"/>
  <c r="D2537" i="5"/>
  <c r="C2537" i="5"/>
  <c r="E2531" i="5"/>
  <c r="D2531" i="5"/>
  <c r="C2531" i="5"/>
  <c r="E2521" i="5"/>
  <c r="D2521" i="5"/>
  <c r="C2521" i="5"/>
  <c r="E2511" i="5"/>
  <c r="D2511" i="5"/>
  <c r="C2511" i="5"/>
  <c r="E2501" i="5"/>
  <c r="D2501" i="5"/>
  <c r="C2501" i="5"/>
  <c r="E2492" i="5"/>
  <c r="D2492" i="5"/>
  <c r="C2492" i="5"/>
  <c r="E2483" i="5"/>
  <c r="D2483" i="5"/>
  <c r="C2483" i="5"/>
  <c r="E2476" i="5"/>
  <c r="D2476" i="5"/>
  <c r="C2476" i="5"/>
  <c r="E2471" i="5"/>
  <c r="D2471" i="5"/>
  <c r="C2471" i="5"/>
  <c r="E2465" i="5"/>
  <c r="D2465" i="5"/>
  <c r="C2465" i="5"/>
  <c r="E2459" i="5"/>
  <c r="D2459" i="5"/>
  <c r="C2459" i="5"/>
  <c r="E2454" i="5"/>
  <c r="D2454" i="5"/>
  <c r="C2454" i="5"/>
  <c r="E2448" i="5"/>
  <c r="D2448" i="5"/>
  <c r="C2448" i="5"/>
  <c r="E2445" i="5"/>
  <c r="D2445" i="5"/>
  <c r="C2445" i="5"/>
  <c r="E2442" i="5"/>
  <c r="D2442" i="5"/>
  <c r="C2442" i="5"/>
  <c r="E2436" i="5"/>
  <c r="D2436" i="5"/>
  <c r="C2436" i="5"/>
  <c r="E2429" i="5"/>
  <c r="D2429" i="5"/>
  <c r="C2429" i="5"/>
  <c r="E2420" i="5"/>
  <c r="D2420" i="5"/>
  <c r="C2420" i="5"/>
  <c r="E2414" i="5"/>
  <c r="D2414" i="5"/>
  <c r="C2414" i="5"/>
  <c r="E2407" i="5"/>
  <c r="D2407" i="5"/>
  <c r="C2407" i="5"/>
  <c r="E2399" i="5"/>
  <c r="D2399" i="5"/>
  <c r="C2399" i="5"/>
  <c r="E2395" i="5"/>
  <c r="D2395" i="5"/>
  <c r="C2395" i="5"/>
  <c r="E2389" i="5"/>
  <c r="D2389" i="5"/>
  <c r="C2389" i="5"/>
  <c r="E2382" i="5"/>
  <c r="D2382" i="5"/>
  <c r="C2382" i="5"/>
  <c r="E2378" i="5"/>
  <c r="D2378" i="5"/>
  <c r="C2378" i="5"/>
  <c r="E2371" i="5"/>
  <c r="D2371" i="5"/>
  <c r="C2371" i="5"/>
  <c r="E2366" i="5"/>
  <c r="D2366" i="5"/>
  <c r="C2366" i="5"/>
  <c r="E2361" i="5"/>
  <c r="D2361" i="5"/>
  <c r="C2361" i="5"/>
  <c r="E2357" i="5"/>
  <c r="D2357" i="5"/>
  <c r="C2357" i="5"/>
  <c r="E2356" i="5"/>
  <c r="D2356" i="5"/>
  <c r="C2356" i="5"/>
  <c r="E2355" i="5"/>
  <c r="D2355" i="5"/>
  <c r="C2355" i="5"/>
  <c r="E2351" i="5"/>
  <c r="D2351" i="5"/>
  <c r="C2351" i="5"/>
  <c r="E2347" i="5"/>
  <c r="E2346" i="5"/>
  <c r="D2346" i="5"/>
  <c r="C2346" i="5"/>
  <c r="E2345" i="5"/>
  <c r="D2345" i="5"/>
  <c r="C2345" i="5"/>
  <c r="E2340" i="5"/>
  <c r="E2339" i="5"/>
  <c r="D2339" i="5"/>
  <c r="C2339" i="5"/>
  <c r="E2338" i="5"/>
  <c r="D2338" i="5"/>
  <c r="C2338" i="5"/>
  <c r="E2337" i="5"/>
  <c r="D2337" i="5"/>
  <c r="C2337" i="5"/>
  <c r="E2336" i="5"/>
  <c r="D2336" i="5"/>
  <c r="C2336" i="5"/>
  <c r="E2335" i="5"/>
  <c r="D2335" i="5"/>
  <c r="C2335" i="5"/>
  <c r="E2334" i="5"/>
  <c r="D2334" i="5"/>
  <c r="C2334" i="5"/>
  <c r="E2333" i="5"/>
  <c r="D2333" i="5"/>
  <c r="C2333" i="5"/>
  <c r="E2332" i="5"/>
  <c r="D2332" i="5"/>
  <c r="C2332" i="5"/>
  <c r="G2327" i="5"/>
  <c r="I2327" i="5" s="1"/>
  <c r="E2327" i="5"/>
  <c r="G2326" i="5"/>
  <c r="I2326" i="5" s="1"/>
  <c r="E2326" i="5"/>
  <c r="D2326" i="5"/>
  <c r="C2326" i="5"/>
  <c r="G2325" i="5"/>
  <c r="I2325" i="5" s="1"/>
  <c r="E2325" i="5"/>
  <c r="D2325" i="5"/>
  <c r="C2325" i="5"/>
  <c r="G2324" i="5"/>
  <c r="I2324" i="5" s="1"/>
  <c r="E2324" i="5"/>
  <c r="D2324" i="5"/>
  <c r="C2324" i="5"/>
  <c r="G2323" i="5"/>
  <c r="I2323" i="5" s="1"/>
  <c r="E2323" i="5"/>
  <c r="D2323" i="5"/>
  <c r="C2323" i="5"/>
  <c r="G2322" i="5"/>
  <c r="I2322" i="5" s="1"/>
  <c r="E2322" i="5"/>
  <c r="D2322" i="5"/>
  <c r="C2322" i="5"/>
  <c r="G2321" i="5"/>
  <c r="I2321" i="5" s="1"/>
  <c r="E2321" i="5"/>
  <c r="D2321" i="5"/>
  <c r="C2321" i="5"/>
  <c r="G2316" i="5"/>
  <c r="I2316" i="5" s="1"/>
  <c r="E2316" i="5"/>
  <c r="G2315" i="5"/>
  <c r="I2315" i="5" s="1"/>
  <c r="E2315" i="5"/>
  <c r="D2315" i="5"/>
  <c r="C2315" i="5"/>
  <c r="G2314" i="5"/>
  <c r="I2314" i="5" s="1"/>
  <c r="E2314" i="5"/>
  <c r="D2314" i="5"/>
  <c r="C2314" i="5"/>
  <c r="G2313" i="5"/>
  <c r="I2313" i="5" s="1"/>
  <c r="E2313" i="5"/>
  <c r="D2313" i="5"/>
  <c r="C2313" i="5"/>
  <c r="E2312" i="5"/>
  <c r="D2312" i="5"/>
  <c r="C2312" i="5"/>
  <c r="G2311" i="5"/>
  <c r="I2311" i="5" s="1"/>
  <c r="E2311" i="5"/>
  <c r="D2311" i="5"/>
  <c r="C2311" i="5"/>
  <c r="G2310" i="5"/>
  <c r="I2310" i="5" s="1"/>
  <c r="E2310" i="5"/>
  <c r="D2310" i="5"/>
  <c r="C2310" i="5"/>
  <c r="G2305" i="5"/>
  <c r="I2305" i="5" s="1"/>
  <c r="E2305" i="5"/>
  <c r="G2304" i="5"/>
  <c r="I2304" i="5" s="1"/>
  <c r="E2304" i="5"/>
  <c r="D2304" i="5"/>
  <c r="C2304" i="5"/>
  <c r="G2303" i="5"/>
  <c r="I2303" i="5" s="1"/>
  <c r="E2303" i="5"/>
  <c r="D2303" i="5"/>
  <c r="C2303" i="5"/>
  <c r="G2302" i="5"/>
  <c r="I2302" i="5" s="1"/>
  <c r="E2302" i="5"/>
  <c r="D2302" i="5"/>
  <c r="C2302" i="5"/>
  <c r="G2301" i="5"/>
  <c r="I2301" i="5" s="1"/>
  <c r="E2301" i="5"/>
  <c r="D2301" i="5"/>
  <c r="C2301" i="5"/>
  <c r="G2300" i="5"/>
  <c r="I2300" i="5" s="1"/>
  <c r="E2300" i="5"/>
  <c r="D2300" i="5"/>
  <c r="C2300" i="5"/>
  <c r="G2299" i="5"/>
  <c r="I2299" i="5" s="1"/>
  <c r="E2299" i="5"/>
  <c r="D2299" i="5"/>
  <c r="C2299" i="5"/>
  <c r="G2294" i="5"/>
  <c r="I2294" i="5" s="1"/>
  <c r="E2294" i="5"/>
  <c r="D2294" i="5"/>
  <c r="C2294" i="5"/>
  <c r="E2293" i="5"/>
  <c r="D2293" i="5"/>
  <c r="C2293" i="5"/>
  <c r="E2292" i="5"/>
  <c r="D2292" i="5"/>
  <c r="C2292" i="5"/>
  <c r="E2291" i="5"/>
  <c r="D2291" i="5"/>
  <c r="C2291" i="5"/>
  <c r="E2290" i="5"/>
  <c r="D2290" i="5"/>
  <c r="C2290" i="5"/>
  <c r="E2289" i="5"/>
  <c r="D2289" i="5"/>
  <c r="C2289" i="5"/>
  <c r="E2288" i="5"/>
  <c r="D2288" i="5"/>
  <c r="C2288" i="5"/>
  <c r="E2283" i="5"/>
  <c r="G2282" i="5"/>
  <c r="I2282" i="5" s="1"/>
  <c r="E2282" i="5"/>
  <c r="D2282" i="5"/>
  <c r="C2282" i="5"/>
  <c r="G2281" i="5"/>
  <c r="I2281" i="5" s="1"/>
  <c r="E2281" i="5"/>
  <c r="D2281" i="5"/>
  <c r="C2281" i="5"/>
  <c r="G2280" i="5"/>
  <c r="I2280" i="5" s="1"/>
  <c r="E2280" i="5"/>
  <c r="D2280" i="5"/>
  <c r="C2280" i="5"/>
  <c r="E2279" i="5"/>
  <c r="D2279" i="5"/>
  <c r="C2279" i="5"/>
  <c r="E2278" i="5"/>
  <c r="D2278" i="5"/>
  <c r="C2278" i="5"/>
  <c r="E2277" i="5"/>
  <c r="D2277" i="5"/>
  <c r="C2277" i="5"/>
  <c r="E2272" i="5"/>
  <c r="D2272" i="5"/>
  <c r="C2272" i="5"/>
  <c r="E2271" i="5"/>
  <c r="D2271" i="5"/>
  <c r="C2271" i="5"/>
  <c r="E2270" i="5"/>
  <c r="D2270" i="5"/>
  <c r="C2270" i="5"/>
  <c r="E2269" i="5"/>
  <c r="D2269" i="5"/>
  <c r="C2269" i="5"/>
  <c r="E2268" i="5"/>
  <c r="D2268" i="5"/>
  <c r="C2268" i="5"/>
  <c r="E2267" i="5"/>
  <c r="D2267" i="5"/>
  <c r="C2267" i="5"/>
  <c r="E2266" i="5"/>
  <c r="D2266" i="5"/>
  <c r="C2266" i="5"/>
  <c r="E2261" i="5"/>
  <c r="D2261" i="5"/>
  <c r="C2261" i="5"/>
  <c r="E2260" i="5"/>
  <c r="D2260" i="5"/>
  <c r="C2260" i="5"/>
  <c r="E2259" i="5"/>
  <c r="D2259" i="5"/>
  <c r="C2259" i="5"/>
  <c r="E2258" i="5"/>
  <c r="D2258" i="5"/>
  <c r="C2258" i="5"/>
  <c r="E2257" i="5"/>
  <c r="D2257" i="5"/>
  <c r="C2257" i="5"/>
  <c r="E2256" i="5"/>
  <c r="D2256" i="5"/>
  <c r="C2256" i="5"/>
  <c r="E2255" i="5"/>
  <c r="D2255" i="5"/>
  <c r="C2255" i="5"/>
  <c r="E2251" i="5"/>
  <c r="D2251" i="5"/>
  <c r="C2251" i="5"/>
  <c r="E2250" i="5"/>
  <c r="D2250" i="5"/>
  <c r="C2250" i="5"/>
  <c r="E2249" i="5"/>
  <c r="D2249" i="5"/>
  <c r="C2249" i="5"/>
  <c r="E2244" i="5"/>
  <c r="D2244" i="5"/>
  <c r="C2244" i="5"/>
  <c r="E2243" i="5"/>
  <c r="D2243" i="5"/>
  <c r="C2243" i="5"/>
  <c r="E2242" i="5"/>
  <c r="D2242" i="5"/>
  <c r="C2242" i="5"/>
  <c r="E2238" i="5"/>
  <c r="D2238" i="5"/>
  <c r="C2238" i="5"/>
  <c r="E2237" i="5"/>
  <c r="D2237" i="5"/>
  <c r="C2237" i="5"/>
  <c r="E2236" i="5"/>
  <c r="D2236" i="5"/>
  <c r="C2236" i="5"/>
  <c r="E2235" i="5"/>
  <c r="D2235" i="5"/>
  <c r="C2235" i="5"/>
  <c r="E2230" i="5"/>
  <c r="D2230" i="5"/>
  <c r="C2230" i="5"/>
  <c r="E2229" i="5"/>
  <c r="D2229" i="5"/>
  <c r="C2229" i="5"/>
  <c r="E2228" i="5"/>
  <c r="D2228" i="5"/>
  <c r="C2228" i="5"/>
  <c r="E2227" i="5"/>
  <c r="D2227" i="5"/>
  <c r="C2227" i="5"/>
  <c r="E2222" i="5"/>
  <c r="D2222" i="5"/>
  <c r="C2222" i="5"/>
  <c r="E2221" i="5"/>
  <c r="D2221" i="5"/>
  <c r="C2221" i="5"/>
  <c r="E2220" i="5"/>
  <c r="D2220" i="5"/>
  <c r="C2220" i="5"/>
  <c r="E2219" i="5"/>
  <c r="D2219" i="5"/>
  <c r="C2219" i="5"/>
  <c r="E2215" i="5"/>
  <c r="D2215" i="5"/>
  <c r="C2215" i="5"/>
  <c r="E2211" i="5"/>
  <c r="D2211" i="5"/>
  <c r="C2211" i="5"/>
  <c r="E2206" i="5"/>
  <c r="D2206" i="5"/>
  <c r="C2206" i="5"/>
  <c r="E2205" i="5"/>
  <c r="D2205" i="5"/>
  <c r="C2205" i="5"/>
  <c r="E2200" i="5"/>
  <c r="D2200" i="5"/>
  <c r="C2200" i="5"/>
  <c r="E2196" i="5"/>
  <c r="D2196" i="5"/>
  <c r="C2196" i="5"/>
  <c r="E2191" i="5"/>
  <c r="D2191" i="5"/>
  <c r="C2191" i="5"/>
  <c r="E2186" i="5"/>
  <c r="D2186" i="5"/>
  <c r="C2186" i="5"/>
  <c r="E2185" i="5"/>
  <c r="E2180" i="5"/>
  <c r="D2180" i="5"/>
  <c r="C2180" i="5"/>
  <c r="E2179" i="5"/>
  <c r="D2179" i="5"/>
  <c r="C2179" i="5"/>
  <c r="E2174" i="5"/>
  <c r="D2174" i="5"/>
  <c r="C2174" i="5"/>
  <c r="E2173" i="5"/>
  <c r="D2173" i="5"/>
  <c r="C2173" i="5"/>
  <c r="E2167" i="5"/>
  <c r="E2166" i="5"/>
  <c r="D2166" i="5"/>
  <c r="C2166" i="5"/>
  <c r="E2165" i="5"/>
  <c r="D2165" i="5"/>
  <c r="C2165" i="5"/>
  <c r="E2164" i="5"/>
  <c r="D2164" i="5"/>
  <c r="C2164" i="5"/>
  <c r="E2163" i="5"/>
  <c r="D2163" i="5"/>
  <c r="C2163" i="5"/>
  <c r="E2162" i="5"/>
  <c r="D2162" i="5"/>
  <c r="C2162" i="5"/>
  <c r="E2161" i="5"/>
  <c r="D2161" i="5"/>
  <c r="C2161" i="5"/>
  <c r="E2156" i="5"/>
  <c r="E2155" i="5"/>
  <c r="D2155" i="5"/>
  <c r="C2155" i="5"/>
  <c r="E2149" i="5"/>
  <c r="D2149" i="5"/>
  <c r="C2149" i="5"/>
  <c r="E2148" i="5"/>
  <c r="D2148" i="5"/>
  <c r="C2148" i="5"/>
  <c r="E2147" i="5"/>
  <c r="D2147" i="5"/>
  <c r="C2147" i="5"/>
  <c r="E2146" i="5"/>
  <c r="D2146" i="5"/>
  <c r="C2146" i="5"/>
  <c r="E2145" i="5"/>
  <c r="D2145" i="5"/>
  <c r="C2145" i="5"/>
  <c r="E2144" i="5"/>
  <c r="D2144" i="5"/>
  <c r="C2144" i="5"/>
  <c r="E2143" i="5"/>
  <c r="D2143" i="5"/>
  <c r="C2143" i="5"/>
  <c r="E2136" i="5"/>
  <c r="D2136" i="5"/>
  <c r="C2136" i="5"/>
  <c r="E2135" i="5"/>
  <c r="D2135" i="5"/>
  <c r="C2135" i="5"/>
  <c r="E2134" i="5"/>
  <c r="D2134" i="5"/>
  <c r="C2134" i="5"/>
  <c r="E2130" i="5"/>
  <c r="D2130" i="5"/>
  <c r="C2130" i="5"/>
  <c r="E2126" i="5"/>
  <c r="D2126" i="5"/>
  <c r="C2126" i="5"/>
  <c r="E2125" i="5"/>
  <c r="D2125" i="5"/>
  <c r="C2125" i="5"/>
  <c r="E2128" i="5"/>
  <c r="D2128" i="5"/>
  <c r="C2128" i="5"/>
  <c r="E2132" i="5"/>
  <c r="D2132" i="5"/>
  <c r="C2132" i="5"/>
  <c r="E2138" i="5"/>
  <c r="D2138" i="5"/>
  <c r="C2138" i="5"/>
  <c r="E2141" i="5"/>
  <c r="D2141" i="5"/>
  <c r="C2141" i="5"/>
  <c r="E2151" i="5"/>
  <c r="D2151" i="5"/>
  <c r="C2151" i="5"/>
  <c r="E2152" i="5"/>
  <c r="D2152" i="5"/>
  <c r="C2152" i="5"/>
  <c r="E2153" i="5"/>
  <c r="D2153" i="5"/>
  <c r="C2153" i="5"/>
  <c r="E2158" i="5"/>
  <c r="D2158" i="5"/>
  <c r="C2158" i="5"/>
  <c r="E2159" i="5"/>
  <c r="D2159" i="5"/>
  <c r="C2159" i="5"/>
  <c r="E2169" i="5"/>
  <c r="D2169" i="5"/>
  <c r="C2169" i="5"/>
  <c r="E2170" i="5"/>
  <c r="D2170" i="5"/>
  <c r="C2170" i="5"/>
  <c r="E2176" i="5"/>
  <c r="D2176" i="5"/>
  <c r="C2176" i="5"/>
  <c r="E2177" i="5"/>
  <c r="D2177" i="5"/>
  <c r="C2177" i="5"/>
  <c r="E2182" i="5"/>
  <c r="D2182" i="5"/>
  <c r="C2182" i="5"/>
  <c r="E2183" i="5"/>
  <c r="D2183" i="5"/>
  <c r="C2183" i="5"/>
  <c r="E2188" i="5"/>
  <c r="D2188" i="5"/>
  <c r="C2188" i="5"/>
  <c r="E2189" i="5"/>
  <c r="D2189" i="5"/>
  <c r="C2189" i="5"/>
  <c r="E2193" i="5"/>
  <c r="D2193" i="5"/>
  <c r="C2193" i="5"/>
  <c r="E2194" i="5"/>
  <c r="D2194" i="5"/>
  <c r="C2194" i="5"/>
  <c r="E2198" i="5"/>
  <c r="D2198" i="5"/>
  <c r="C2198" i="5"/>
  <c r="E2203" i="5"/>
  <c r="D2203" i="5"/>
  <c r="C2203" i="5"/>
  <c r="E2202" i="5"/>
  <c r="D2202" i="5"/>
  <c r="C2202" i="5"/>
  <c r="E2209" i="5"/>
  <c r="D2209" i="5"/>
  <c r="C2209" i="5"/>
  <c r="C2208" i="5"/>
  <c r="E2208" i="5"/>
  <c r="D2208" i="5"/>
  <c r="E2213" i="5"/>
  <c r="D2213" i="5"/>
  <c r="C2213" i="5"/>
  <c r="E2217" i="5"/>
  <c r="D2217" i="5"/>
  <c r="C2217" i="5"/>
  <c r="E2224" i="5"/>
  <c r="D2224" i="5"/>
  <c r="C2224" i="5"/>
  <c r="E2225" i="5"/>
  <c r="D2225" i="5"/>
  <c r="C2225" i="5"/>
  <c r="E2232" i="5"/>
  <c r="D2232" i="5"/>
  <c r="C2232" i="5"/>
  <c r="E2233" i="5"/>
  <c r="D2233" i="5"/>
  <c r="C2233" i="5"/>
  <c r="E2240" i="5"/>
  <c r="D2240" i="5"/>
  <c r="C2240" i="5"/>
  <c r="E2246" i="5"/>
  <c r="D2246" i="5"/>
  <c r="C2246" i="5"/>
  <c r="E2247" i="5"/>
  <c r="D2247" i="5"/>
  <c r="C2247" i="5"/>
  <c r="E2253" i="5"/>
  <c r="D2253" i="5"/>
  <c r="C2253" i="5"/>
  <c r="E2263" i="5"/>
  <c r="D2263" i="5"/>
  <c r="C2263" i="5"/>
  <c r="E2264" i="5"/>
  <c r="D2264" i="5"/>
  <c r="C2264" i="5"/>
  <c r="E2274" i="5"/>
  <c r="D2274" i="5"/>
  <c r="C2274" i="5"/>
  <c r="E2275" i="5"/>
  <c r="D2275" i="5"/>
  <c r="C2275" i="5"/>
  <c r="E2285" i="5"/>
  <c r="D2285" i="5"/>
  <c r="C2285" i="5"/>
  <c r="E2286" i="5"/>
  <c r="D2286" i="5"/>
  <c r="C2286" i="5"/>
  <c r="E2296" i="5"/>
  <c r="D2296" i="5"/>
  <c r="C2296" i="5"/>
  <c r="E2297" i="5"/>
  <c r="D2297" i="5"/>
  <c r="C2297" i="5"/>
  <c r="E2307" i="5"/>
  <c r="D2307" i="5"/>
  <c r="C2307" i="5"/>
  <c r="E2308" i="5"/>
  <c r="D2308" i="5"/>
  <c r="C2308" i="5"/>
  <c r="E2318" i="5"/>
  <c r="D2318" i="5"/>
  <c r="C2318" i="5"/>
  <c r="E2319" i="5"/>
  <c r="D2319" i="5"/>
  <c r="C2319" i="5"/>
  <c r="E2330" i="5"/>
  <c r="D2330" i="5"/>
  <c r="C2330" i="5"/>
  <c r="E2329" i="5"/>
  <c r="D2329" i="5"/>
  <c r="C2329" i="5"/>
  <c r="E2343" i="5"/>
  <c r="D2343" i="5"/>
  <c r="C2343" i="5"/>
  <c r="E2342" i="5"/>
  <c r="D2342" i="5"/>
  <c r="C2342" i="5"/>
  <c r="E2349" i="5"/>
  <c r="D2349" i="5"/>
  <c r="C2349" i="5"/>
  <c r="E2353" i="5"/>
  <c r="D2353" i="5"/>
  <c r="C2353" i="5"/>
  <c r="E2352" i="5"/>
  <c r="D2352" i="5"/>
  <c r="C2352" i="5"/>
  <c r="E2348" i="5"/>
  <c r="D2348" i="5"/>
  <c r="C2348" i="5"/>
  <c r="E2341" i="5"/>
  <c r="D2341" i="5"/>
  <c r="C2341" i="5"/>
  <c r="E2328" i="5"/>
  <c r="D2328" i="5"/>
  <c r="C2328" i="5"/>
  <c r="E2317" i="5"/>
  <c r="D2317" i="5"/>
  <c r="C2317" i="5"/>
  <c r="E2306" i="5"/>
  <c r="D2306" i="5"/>
  <c r="C2306" i="5"/>
  <c r="E2295" i="5"/>
  <c r="D2295" i="5"/>
  <c r="C2295" i="5"/>
  <c r="E2284" i="5"/>
  <c r="D2284" i="5"/>
  <c r="C2284" i="5"/>
  <c r="E2273" i="5"/>
  <c r="D2273" i="5"/>
  <c r="C2273" i="5"/>
  <c r="E2262" i="5"/>
  <c r="D2262" i="5"/>
  <c r="C2262" i="5"/>
  <c r="E2252" i="5"/>
  <c r="D2252" i="5"/>
  <c r="C2252" i="5"/>
  <c r="E2245" i="5"/>
  <c r="D2245" i="5"/>
  <c r="C2245" i="5"/>
  <c r="E2239" i="5"/>
  <c r="D2239" i="5"/>
  <c r="C2239" i="5"/>
  <c r="E2231" i="5"/>
  <c r="D2231" i="5"/>
  <c r="C2231" i="5"/>
  <c r="E2223" i="5"/>
  <c r="D2223" i="5"/>
  <c r="C2223" i="5"/>
  <c r="E2216" i="5"/>
  <c r="D2216" i="5"/>
  <c r="C2216" i="5"/>
  <c r="E2212" i="5"/>
  <c r="D2212" i="5"/>
  <c r="C2212" i="5"/>
  <c r="E2207" i="5"/>
  <c r="D2207" i="5"/>
  <c r="C2207" i="5"/>
  <c r="E2201" i="5"/>
  <c r="D2201" i="5"/>
  <c r="C2201" i="5"/>
  <c r="E2197" i="5"/>
  <c r="D2197" i="5"/>
  <c r="C2197" i="5"/>
  <c r="E2192" i="5"/>
  <c r="D2192" i="5"/>
  <c r="C2192" i="5"/>
  <c r="E2187" i="5"/>
  <c r="D2187" i="5"/>
  <c r="C2187" i="5"/>
  <c r="E2181" i="5"/>
  <c r="D2181" i="5"/>
  <c r="C2181" i="5"/>
  <c r="E2175" i="5"/>
  <c r="D2175" i="5"/>
  <c r="C2175" i="5"/>
  <c r="E2168" i="5"/>
  <c r="D2168" i="5"/>
  <c r="C2168" i="5"/>
  <c r="E2157" i="5"/>
  <c r="D2157" i="5"/>
  <c r="C2157" i="5"/>
  <c r="E2150" i="5"/>
  <c r="D2150" i="5"/>
  <c r="C2150" i="5"/>
  <c r="E2140" i="5"/>
  <c r="D2140" i="5"/>
  <c r="C2140" i="5"/>
  <c r="E2137" i="5"/>
  <c r="D2137" i="5"/>
  <c r="C2137" i="5"/>
  <c r="E2131" i="5"/>
  <c r="D2131" i="5"/>
  <c r="C2131" i="5"/>
  <c r="E2127" i="5"/>
  <c r="D2127" i="5"/>
  <c r="C2127" i="5"/>
  <c r="E2120" i="5"/>
  <c r="E2119" i="5"/>
  <c r="D2119" i="5"/>
  <c r="C2119" i="5"/>
  <c r="E2114" i="5"/>
  <c r="D2114" i="5"/>
  <c r="C2114" i="5"/>
  <c r="E2113" i="5"/>
  <c r="D2113" i="5"/>
  <c r="C2113" i="5"/>
  <c r="E2112" i="5"/>
  <c r="D2112" i="5"/>
  <c r="C2112" i="5"/>
  <c r="E2108" i="5"/>
  <c r="E2107" i="5"/>
  <c r="D2107" i="5"/>
  <c r="C2107" i="5"/>
  <c r="E2106" i="5"/>
  <c r="D2106" i="5"/>
  <c r="C2106" i="5"/>
  <c r="E2105" i="5"/>
  <c r="D2105" i="5"/>
  <c r="C2105" i="5"/>
  <c r="E2104" i="5"/>
  <c r="D2104" i="5"/>
  <c r="C2104" i="5"/>
  <c r="E2103" i="5"/>
  <c r="D2103" i="5"/>
  <c r="C2103" i="5"/>
  <c r="E2102" i="5"/>
  <c r="D2102" i="5"/>
  <c r="C2102" i="5"/>
  <c r="E2101" i="5"/>
  <c r="D2101" i="5"/>
  <c r="C2101" i="5"/>
  <c r="E2097" i="5"/>
  <c r="D2097" i="5"/>
  <c r="C2097" i="5"/>
  <c r="E2093" i="5"/>
  <c r="D2093" i="5"/>
  <c r="C2093" i="5"/>
  <c r="E2088" i="5"/>
  <c r="E2087" i="5"/>
  <c r="D2087" i="5"/>
  <c r="C2087" i="5"/>
  <c r="E2082" i="5"/>
  <c r="E2081" i="5"/>
  <c r="D2081" i="5"/>
  <c r="C2081" i="5"/>
  <c r="E2080" i="5"/>
  <c r="D2080" i="5"/>
  <c r="C2080" i="5"/>
  <c r="E2079" i="5"/>
  <c r="D2079" i="5"/>
  <c r="C2079" i="5"/>
  <c r="E2074" i="5"/>
  <c r="E2073" i="5"/>
  <c r="D2073" i="5"/>
  <c r="C2073" i="5"/>
  <c r="E2072" i="5"/>
  <c r="D2072" i="5"/>
  <c r="C2072" i="5"/>
  <c r="E2067" i="5"/>
  <c r="E2066" i="5"/>
  <c r="D2066" i="5"/>
  <c r="C2066" i="5"/>
  <c r="E2065" i="5"/>
  <c r="D2065" i="5"/>
  <c r="C2065" i="5"/>
  <c r="E2061" i="5"/>
  <c r="E2060" i="5"/>
  <c r="D2060" i="5"/>
  <c r="C2060" i="5"/>
  <c r="E2059" i="5"/>
  <c r="D2059" i="5"/>
  <c r="C2059" i="5"/>
  <c r="E2058" i="5"/>
  <c r="D2058" i="5"/>
  <c r="C2058" i="5"/>
  <c r="G2055" i="5"/>
  <c r="I2055" i="5" s="1"/>
  <c r="E2055" i="5"/>
  <c r="D2055" i="5"/>
  <c r="C2055" i="5"/>
  <c r="E2051" i="5"/>
  <c r="E2049" i="5"/>
  <c r="D2049" i="5"/>
  <c r="C2049" i="5"/>
  <c r="E2048" i="5"/>
  <c r="D2048" i="5"/>
  <c r="C2048" i="5"/>
  <c r="E2047" i="5"/>
  <c r="D2047" i="5"/>
  <c r="C2047" i="5"/>
  <c r="E2046" i="5"/>
  <c r="D2046" i="5"/>
  <c r="C2046" i="5"/>
  <c r="E2045" i="5"/>
  <c r="D2045" i="5"/>
  <c r="C2045" i="5"/>
  <c r="E2044" i="5"/>
  <c r="D2044" i="5"/>
  <c r="C2044" i="5"/>
  <c r="E2043" i="5"/>
  <c r="D2043" i="5"/>
  <c r="C2043" i="5"/>
  <c r="E2038" i="5"/>
  <c r="E2037" i="5"/>
  <c r="D2037" i="5"/>
  <c r="C2037" i="5"/>
  <c r="E2036" i="5"/>
  <c r="D2036" i="5"/>
  <c r="E2035" i="5"/>
  <c r="D2035" i="5"/>
  <c r="C2035" i="5"/>
  <c r="E2034" i="5"/>
  <c r="D2034" i="5"/>
  <c r="C2034" i="5"/>
  <c r="E2033" i="5"/>
  <c r="D2033" i="5"/>
  <c r="C2033" i="5"/>
  <c r="E2032" i="5"/>
  <c r="D2032" i="5"/>
  <c r="C2032" i="5"/>
  <c r="E2031" i="5"/>
  <c r="D2031" i="5"/>
  <c r="C2031" i="5"/>
  <c r="E2026" i="5"/>
  <c r="E2025" i="5"/>
  <c r="D2025" i="5"/>
  <c r="C2025" i="5"/>
  <c r="E2024" i="5"/>
  <c r="D2024" i="5"/>
  <c r="C2024" i="5"/>
  <c r="E2023" i="5"/>
  <c r="D2023" i="5"/>
  <c r="C2023" i="5"/>
  <c r="E2022" i="5"/>
  <c r="D2022" i="5"/>
  <c r="C2022" i="5"/>
  <c r="E2021" i="5"/>
  <c r="D2021" i="5"/>
  <c r="C2021" i="5"/>
  <c r="E2020" i="5"/>
  <c r="D2020" i="5"/>
  <c r="C2020" i="5"/>
  <c r="E2019" i="5"/>
  <c r="D2019" i="5"/>
  <c r="C2019" i="5"/>
  <c r="E2018" i="5"/>
  <c r="D2018" i="5"/>
  <c r="C2018" i="5"/>
  <c r="E2013" i="5"/>
  <c r="E2012" i="5"/>
  <c r="D2012" i="5"/>
  <c r="C2012" i="5"/>
  <c r="E2011" i="5"/>
  <c r="D2011" i="5"/>
  <c r="C2011" i="5"/>
  <c r="E2007" i="5"/>
  <c r="D2007" i="5"/>
  <c r="C2007" i="5"/>
  <c r="E2003" i="5"/>
  <c r="D2003" i="5"/>
  <c r="C2003" i="5"/>
  <c r="E2002" i="5"/>
  <c r="D2002" i="5"/>
  <c r="C2002" i="5"/>
  <c r="E2001" i="5"/>
  <c r="E2000" i="5"/>
  <c r="E1999" i="5"/>
  <c r="D1999" i="5"/>
  <c r="C1999" i="5"/>
  <c r="E1998" i="5"/>
  <c r="D1998" i="5"/>
  <c r="C1998" i="5"/>
  <c r="E1997" i="5"/>
  <c r="D1997" i="5"/>
  <c r="C1997" i="5"/>
  <c r="E1993" i="5"/>
  <c r="D1993" i="5"/>
  <c r="C1993" i="5"/>
  <c r="E1992" i="5"/>
  <c r="D1992" i="5"/>
  <c r="C1992" i="5"/>
  <c r="E1991" i="5"/>
  <c r="D1991" i="5"/>
  <c r="C1991" i="5"/>
  <c r="E1990" i="5"/>
  <c r="D1990" i="5"/>
  <c r="C1990" i="5"/>
  <c r="E1985" i="5"/>
  <c r="D1985" i="5"/>
  <c r="C1985" i="5"/>
  <c r="E1984" i="5"/>
  <c r="D1984" i="5"/>
  <c r="C1984" i="5"/>
  <c r="E1983" i="5"/>
  <c r="D1983" i="5"/>
  <c r="C1983" i="5"/>
  <c r="E1982" i="5"/>
  <c r="D1982" i="5"/>
  <c r="C1982" i="5"/>
  <c r="E1981" i="5"/>
  <c r="D1981" i="5"/>
  <c r="C1981" i="5"/>
  <c r="E1980" i="5"/>
  <c r="D1980" i="5"/>
  <c r="C1980" i="5"/>
  <c r="E1979" i="5"/>
  <c r="D1979" i="5"/>
  <c r="C1979" i="5"/>
  <c r="E1978" i="5"/>
  <c r="D1978" i="5"/>
  <c r="C1978" i="5"/>
  <c r="E1974" i="5"/>
  <c r="E1973" i="5"/>
  <c r="D1973" i="5"/>
  <c r="C1973" i="5"/>
  <c r="D1972" i="5"/>
  <c r="C1972" i="5"/>
  <c r="E1972" i="5"/>
  <c r="D1971" i="5"/>
  <c r="C1971" i="5"/>
  <c r="E1970" i="5"/>
  <c r="D1970" i="5"/>
  <c r="C1970" i="5"/>
  <c r="E1969" i="5"/>
  <c r="D1969" i="5"/>
  <c r="C1969" i="5"/>
  <c r="E1968" i="5"/>
  <c r="D1968" i="5"/>
  <c r="C1968" i="5"/>
  <c r="E1957" i="5"/>
  <c r="D1957" i="5"/>
  <c r="C1957" i="5"/>
  <c r="E1976" i="5"/>
  <c r="D1976" i="5"/>
  <c r="C1976" i="5"/>
  <c r="E1987" i="5"/>
  <c r="D1987" i="5"/>
  <c r="C1987" i="5"/>
  <c r="E1988" i="5"/>
  <c r="D1988" i="5"/>
  <c r="C1988" i="5"/>
  <c r="E1995" i="5"/>
  <c r="D1995" i="5"/>
  <c r="C1995" i="5"/>
  <c r="E2005" i="5"/>
  <c r="D2005" i="5"/>
  <c r="C2005" i="5"/>
  <c r="E2009" i="5"/>
  <c r="D2009" i="5"/>
  <c r="C2009" i="5"/>
  <c r="E2016" i="5"/>
  <c r="D2016" i="5"/>
  <c r="C2016" i="5"/>
  <c r="E2015" i="5"/>
  <c r="D2015" i="5"/>
  <c r="C2015" i="5"/>
  <c r="E2029" i="5"/>
  <c r="D2029" i="5"/>
  <c r="C2029" i="5"/>
  <c r="E2028" i="5"/>
  <c r="D2028" i="5"/>
  <c r="C2028" i="5"/>
  <c r="E2040" i="5"/>
  <c r="D2040" i="5"/>
  <c r="C2040" i="5"/>
  <c r="E2041" i="5"/>
  <c r="D2041" i="5"/>
  <c r="C2041" i="5"/>
  <c r="E2053" i="5"/>
  <c r="D2053" i="5"/>
  <c r="C2053" i="5"/>
  <c r="E2063" i="5"/>
  <c r="D2063" i="5"/>
  <c r="C2063" i="5"/>
  <c r="E2070" i="5"/>
  <c r="D2070" i="5"/>
  <c r="C2070" i="5"/>
  <c r="E2069" i="5"/>
  <c r="D2069" i="5"/>
  <c r="C2069" i="5"/>
  <c r="E2077" i="5"/>
  <c r="D2077" i="5"/>
  <c r="C2077" i="5"/>
  <c r="E2076" i="5"/>
  <c r="D2076" i="5"/>
  <c r="C2076" i="5"/>
  <c r="E2085" i="5"/>
  <c r="D2085" i="5"/>
  <c r="C2085" i="5"/>
  <c r="E2084" i="5"/>
  <c r="D2084" i="5"/>
  <c r="C2084" i="5"/>
  <c r="E2091" i="5"/>
  <c r="D2091" i="5"/>
  <c r="C2091" i="5"/>
  <c r="E2090" i="5"/>
  <c r="D2090" i="5"/>
  <c r="C2090" i="5"/>
  <c r="E2095" i="5"/>
  <c r="D2095" i="5"/>
  <c r="C2095" i="5"/>
  <c r="E2099" i="5"/>
  <c r="D2099" i="5"/>
  <c r="C2099" i="5"/>
  <c r="E2110" i="5"/>
  <c r="D2110" i="5"/>
  <c r="C2110" i="5"/>
  <c r="E2117" i="5"/>
  <c r="D2117" i="5"/>
  <c r="C2117" i="5"/>
  <c r="E2116" i="5"/>
  <c r="D2116" i="5"/>
  <c r="C2116" i="5"/>
  <c r="E2123" i="5"/>
  <c r="D2123" i="5"/>
  <c r="C2123" i="5"/>
  <c r="E2122" i="5"/>
  <c r="D2122" i="5"/>
  <c r="C2122" i="5"/>
  <c r="E2121" i="5"/>
  <c r="D2121" i="5"/>
  <c r="C2121" i="5"/>
  <c r="E2115" i="5"/>
  <c r="D2115" i="5"/>
  <c r="C2115" i="5"/>
  <c r="E2109" i="5"/>
  <c r="D2109" i="5"/>
  <c r="C2109" i="5"/>
  <c r="E2098" i="5"/>
  <c r="D2098" i="5"/>
  <c r="C2098" i="5"/>
  <c r="E2094" i="5"/>
  <c r="D2094" i="5"/>
  <c r="C2094" i="5"/>
  <c r="E2089" i="5"/>
  <c r="D2089" i="5"/>
  <c r="C2089" i="5"/>
  <c r="E2083" i="5"/>
  <c r="D2083" i="5"/>
  <c r="C2083" i="5"/>
  <c r="E2075" i="5"/>
  <c r="D2075" i="5"/>
  <c r="C2075" i="5"/>
  <c r="E2068" i="5"/>
  <c r="D2068" i="5"/>
  <c r="C2068" i="5"/>
  <c r="E2062" i="5"/>
  <c r="D2062" i="5"/>
  <c r="C2062" i="5"/>
  <c r="E2056" i="5"/>
  <c r="D2056" i="5"/>
  <c r="C2056" i="5"/>
  <c r="E2052" i="5"/>
  <c r="D2052" i="5"/>
  <c r="C2052" i="5"/>
  <c r="E2039" i="5"/>
  <c r="D2039" i="5"/>
  <c r="C2039" i="5"/>
  <c r="E2027" i="5"/>
  <c r="D2027" i="5"/>
  <c r="C2027" i="5"/>
  <c r="E2014" i="5"/>
  <c r="D2014" i="5"/>
  <c r="C2014" i="5"/>
  <c r="E2008" i="5"/>
  <c r="D2008" i="5"/>
  <c r="C2008" i="5"/>
  <c r="E2004" i="5"/>
  <c r="D2004" i="5"/>
  <c r="C2004" i="5"/>
  <c r="E1994" i="5"/>
  <c r="D1994" i="5"/>
  <c r="C1994" i="5"/>
  <c r="E1986" i="5"/>
  <c r="D1986" i="5"/>
  <c r="C1986" i="5"/>
  <c r="E1975" i="5"/>
  <c r="D1975" i="5"/>
  <c r="C1975" i="5"/>
  <c r="E1964" i="5"/>
  <c r="E1963" i="5"/>
  <c r="D1963" i="5"/>
  <c r="C1963" i="5"/>
  <c r="E1962" i="5"/>
  <c r="D1962" i="5"/>
  <c r="C1962" i="5"/>
  <c r="E1961" i="5"/>
  <c r="D1961" i="5"/>
  <c r="C1961" i="5"/>
  <c r="E1960" i="5"/>
  <c r="D1960" i="5"/>
  <c r="C1960" i="5"/>
  <c r="E1959" i="5"/>
  <c r="D1959" i="5"/>
  <c r="C1959" i="5"/>
  <c r="E1955" i="5"/>
  <c r="D1955" i="5"/>
  <c r="C1955" i="5"/>
  <c r="G1954" i="5"/>
  <c r="I1954" i="5" s="1"/>
  <c r="E1954" i="5"/>
  <c r="D1954" i="5"/>
  <c r="C1954" i="5"/>
  <c r="E1950" i="5"/>
  <c r="D1950" i="5"/>
  <c r="C1950" i="5"/>
  <c r="E1949" i="5"/>
  <c r="D1949" i="5"/>
  <c r="C1949" i="5"/>
  <c r="E1945" i="5"/>
  <c r="D1945" i="5"/>
  <c r="C1945" i="5"/>
  <c r="E1944" i="5"/>
  <c r="D1944" i="5"/>
  <c r="C1944" i="5"/>
  <c r="E1943" i="5"/>
  <c r="D1943" i="5"/>
  <c r="C1943" i="5"/>
  <c r="E1942" i="5"/>
  <c r="D1942" i="5"/>
  <c r="C1942" i="5"/>
  <c r="E1938" i="5"/>
  <c r="D1938" i="5"/>
  <c r="C1938" i="5"/>
  <c r="E1937" i="5"/>
  <c r="D1937" i="5"/>
  <c r="C1937" i="5"/>
  <c r="E1936" i="5"/>
  <c r="D1936" i="5"/>
  <c r="C1936" i="5"/>
  <c r="E1935" i="5"/>
  <c r="D1935" i="5"/>
  <c r="C1935" i="5"/>
  <c r="E1931" i="5"/>
  <c r="D1931" i="5"/>
  <c r="C1931" i="5"/>
  <c r="E1930" i="5"/>
  <c r="D1930" i="5"/>
  <c r="C1930" i="5"/>
  <c r="E1929" i="5"/>
  <c r="D1929" i="5"/>
  <c r="C1929" i="5"/>
  <c r="E1928" i="5"/>
  <c r="D1928" i="5"/>
  <c r="C1928" i="5"/>
  <c r="E1924" i="5"/>
  <c r="D1924" i="5"/>
  <c r="C1924" i="5"/>
  <c r="E1923" i="5"/>
  <c r="D1923" i="5"/>
  <c r="C1923" i="5"/>
  <c r="E1922" i="5"/>
  <c r="D1922" i="5"/>
  <c r="C1922" i="5"/>
  <c r="E1921" i="5"/>
  <c r="D1921" i="5"/>
  <c r="C1921" i="5"/>
  <c r="E1917" i="5"/>
  <c r="D1917" i="5"/>
  <c r="C1917" i="5"/>
  <c r="E1916" i="5"/>
  <c r="D1916" i="5"/>
  <c r="C1916" i="5"/>
  <c r="E1915" i="5"/>
  <c r="D1915" i="5"/>
  <c r="C1915" i="5"/>
  <c r="E1914" i="5"/>
  <c r="D1914" i="5"/>
  <c r="C1914" i="5"/>
  <c r="E1910" i="5"/>
  <c r="D1910" i="5"/>
  <c r="C1910" i="5"/>
  <c r="E1909" i="5"/>
  <c r="D1909" i="5"/>
  <c r="C1909" i="5"/>
  <c r="E1908" i="5"/>
  <c r="D1908" i="5"/>
  <c r="C1908" i="5"/>
  <c r="E1907" i="5"/>
  <c r="D1907" i="5"/>
  <c r="C1907" i="5"/>
  <c r="E1902" i="5"/>
  <c r="D1902" i="5"/>
  <c r="C1902" i="5"/>
  <c r="E1901" i="5"/>
  <c r="D1901" i="5"/>
  <c r="C1901" i="5"/>
  <c r="E1900" i="5"/>
  <c r="D1900" i="5"/>
  <c r="C1900" i="5"/>
  <c r="E1899" i="5"/>
  <c r="D1899" i="5"/>
  <c r="C1899" i="5"/>
  <c r="E1898" i="5"/>
  <c r="D1898" i="5"/>
  <c r="C1898" i="5"/>
  <c r="E1893" i="5"/>
  <c r="E1892" i="5"/>
  <c r="D1892" i="5"/>
  <c r="C1892" i="5"/>
  <c r="E1891" i="5"/>
  <c r="D1891" i="5"/>
  <c r="C1891" i="5"/>
  <c r="E1886" i="5"/>
  <c r="D1886" i="5"/>
  <c r="C1886" i="5"/>
  <c r="E1885" i="5"/>
  <c r="D1885" i="5"/>
  <c r="C1885" i="5"/>
  <c r="E1884" i="5"/>
  <c r="D1884" i="5"/>
  <c r="C1884" i="5"/>
  <c r="E1879" i="5"/>
  <c r="D1879" i="5"/>
  <c r="C1879" i="5"/>
  <c r="E1878" i="5"/>
  <c r="D1878" i="5"/>
  <c r="C1878" i="5"/>
  <c r="E1877" i="5"/>
  <c r="D1877" i="5"/>
  <c r="C1877" i="5"/>
  <c r="E1873" i="5"/>
  <c r="D1873" i="5"/>
  <c r="C1873" i="5"/>
  <c r="E1872" i="5"/>
  <c r="D1872" i="5"/>
  <c r="C1872" i="5"/>
  <c r="E1871" i="5"/>
  <c r="D1871" i="5"/>
  <c r="C1871" i="5"/>
  <c r="E1870" i="5"/>
  <c r="D1870" i="5"/>
  <c r="C1870" i="5"/>
  <c r="E1865" i="5"/>
  <c r="D1865" i="5"/>
  <c r="C1865" i="5"/>
  <c r="E1864" i="5"/>
  <c r="D1864" i="5"/>
  <c r="C1864" i="5"/>
  <c r="E1882" i="5"/>
  <c r="D1882" i="5"/>
  <c r="C1882" i="5"/>
  <c r="E1881" i="5"/>
  <c r="D1881" i="5"/>
  <c r="C1881" i="5"/>
  <c r="E1875" i="5"/>
  <c r="D1875" i="5"/>
  <c r="C1875" i="5"/>
  <c r="E1868" i="5"/>
  <c r="D1868" i="5"/>
  <c r="C1868" i="5"/>
  <c r="E1867" i="5"/>
  <c r="D1867" i="5"/>
  <c r="C1867" i="5"/>
  <c r="E1858" i="5"/>
  <c r="E1857" i="5"/>
  <c r="E1856" i="5"/>
  <c r="E1855" i="5"/>
  <c r="D1855" i="5"/>
  <c r="C1855" i="5"/>
  <c r="E1854" i="5"/>
  <c r="D1854" i="5"/>
  <c r="C1854" i="5"/>
  <c r="E1853" i="5"/>
  <c r="D1853" i="5"/>
  <c r="C1853" i="5"/>
  <c r="E1852" i="5"/>
  <c r="D1852" i="5"/>
  <c r="C1852" i="5"/>
  <c r="E1851" i="5"/>
  <c r="D1851" i="5"/>
  <c r="C1851" i="5"/>
  <c r="E1850" i="5"/>
  <c r="D1850" i="5"/>
  <c r="C1850" i="5"/>
  <c r="E1849" i="5"/>
  <c r="D1849" i="5"/>
  <c r="C1849" i="5"/>
  <c r="E1848" i="5"/>
  <c r="D1848" i="5"/>
  <c r="C1848" i="5"/>
  <c r="E1847" i="5"/>
  <c r="D1847" i="5"/>
  <c r="C1847" i="5"/>
  <c r="E1846" i="5"/>
  <c r="D1846" i="5"/>
  <c r="C1846" i="5"/>
  <c r="E1862" i="5"/>
  <c r="D1862" i="5"/>
  <c r="C1862" i="5"/>
  <c r="E1861" i="5"/>
  <c r="D1861" i="5"/>
  <c r="C1861" i="5"/>
  <c r="G1844" i="5"/>
  <c r="E1844" i="5"/>
  <c r="D1844" i="5"/>
  <c r="C1844" i="5"/>
  <c r="E1843" i="5"/>
  <c r="D1843" i="5"/>
  <c r="C1843" i="5"/>
  <c r="E1842" i="5"/>
  <c r="D1842" i="5"/>
  <c r="C1842" i="5"/>
  <c r="E1828" i="5"/>
  <c r="D1828" i="5"/>
  <c r="C1828" i="5"/>
  <c r="E1827" i="5"/>
  <c r="D1827" i="5"/>
  <c r="C1827" i="5"/>
  <c r="E1826" i="5"/>
  <c r="D1826" i="5"/>
  <c r="C1826" i="5"/>
  <c r="E1812" i="5"/>
  <c r="D1812" i="5"/>
  <c r="C1812" i="5"/>
  <c r="E1840" i="5"/>
  <c r="D1840" i="5"/>
  <c r="C1840" i="5"/>
  <c r="E1839" i="5"/>
  <c r="D1839" i="5"/>
  <c r="C1839" i="5"/>
  <c r="E1838" i="5"/>
  <c r="E1837" i="5"/>
  <c r="E1836" i="5"/>
  <c r="E1835" i="5"/>
  <c r="D1834" i="5"/>
  <c r="C1834" i="5"/>
  <c r="E1833" i="5"/>
  <c r="D1833" i="5"/>
  <c r="C1833" i="5"/>
  <c r="E1832" i="5"/>
  <c r="D1832" i="5"/>
  <c r="C1832" i="5"/>
  <c r="E1831" i="5"/>
  <c r="D1831" i="5"/>
  <c r="C1831" i="5"/>
  <c r="E1830" i="5"/>
  <c r="D1830" i="5"/>
  <c r="C1830" i="5"/>
  <c r="E1824" i="5"/>
  <c r="E1823" i="5"/>
  <c r="E1822" i="5"/>
  <c r="E1821" i="5"/>
  <c r="E1820" i="5"/>
  <c r="E1819" i="5"/>
  <c r="E1818" i="5"/>
  <c r="D1818" i="5"/>
  <c r="C1818" i="5"/>
  <c r="E1817" i="5"/>
  <c r="D1817" i="5"/>
  <c r="C1817" i="5"/>
  <c r="E1816" i="5"/>
  <c r="D1816" i="5"/>
  <c r="C1816" i="5"/>
  <c r="E1815" i="5"/>
  <c r="D1815" i="5"/>
  <c r="C1815" i="5"/>
  <c r="E1814" i="5"/>
  <c r="D1814" i="5"/>
  <c r="C1814" i="5"/>
  <c r="E1810" i="5"/>
  <c r="E1809" i="5"/>
  <c r="E1808" i="5"/>
  <c r="D1808" i="5"/>
  <c r="C1808" i="5"/>
  <c r="E1807" i="5"/>
  <c r="D1807" i="5"/>
  <c r="C1807" i="5"/>
  <c r="E1806" i="5"/>
  <c r="D1806" i="5"/>
  <c r="C1806" i="5"/>
  <c r="E1805" i="5"/>
  <c r="D1805" i="5"/>
  <c r="C1805" i="5"/>
  <c r="E1889" i="5"/>
  <c r="D1889" i="5"/>
  <c r="C1889" i="5"/>
  <c r="E1888" i="5"/>
  <c r="D1888" i="5"/>
  <c r="C1888" i="5"/>
  <c r="E1895" i="5"/>
  <c r="D1895" i="5"/>
  <c r="C1895" i="5"/>
  <c r="E1896" i="5"/>
  <c r="D1896" i="5"/>
  <c r="C1896" i="5"/>
  <c r="E1904" i="5"/>
  <c r="D1904" i="5"/>
  <c r="C1904" i="5"/>
  <c r="E1905" i="5"/>
  <c r="D1905" i="5"/>
  <c r="C1905" i="5"/>
  <c r="E1912" i="5"/>
  <c r="D1912" i="5"/>
  <c r="C1912" i="5"/>
  <c r="E1919" i="5"/>
  <c r="D1919" i="5"/>
  <c r="C1919" i="5"/>
  <c r="E1926" i="5"/>
  <c r="D1926" i="5"/>
  <c r="C1926" i="5"/>
  <c r="E1933" i="5"/>
  <c r="D1933" i="5"/>
  <c r="C1933" i="5"/>
  <c r="E1940" i="5"/>
  <c r="D1940" i="5"/>
  <c r="C1940" i="5"/>
  <c r="E1947" i="5"/>
  <c r="D1947" i="5"/>
  <c r="C1947" i="5"/>
  <c r="E1952" i="5"/>
  <c r="D1952" i="5"/>
  <c r="C1952" i="5"/>
  <c r="E1966" i="5"/>
  <c r="D1966" i="5"/>
  <c r="C1966" i="5"/>
  <c r="E1965" i="5"/>
  <c r="D1965" i="5"/>
  <c r="C1965" i="5"/>
  <c r="E1956" i="5"/>
  <c r="D1956" i="5"/>
  <c r="C1956" i="5"/>
  <c r="E1951" i="5"/>
  <c r="D1951" i="5"/>
  <c r="C1951" i="5"/>
  <c r="E1946" i="5"/>
  <c r="D1946" i="5"/>
  <c r="C1946" i="5"/>
  <c r="E1939" i="5"/>
  <c r="D1939" i="5"/>
  <c r="C1939" i="5"/>
  <c r="E1932" i="5"/>
  <c r="D1932" i="5"/>
  <c r="C1932" i="5"/>
  <c r="E1925" i="5"/>
  <c r="D1925" i="5"/>
  <c r="C1925" i="5"/>
  <c r="E1918" i="5"/>
  <c r="D1918" i="5"/>
  <c r="C1918" i="5"/>
  <c r="E1911" i="5"/>
  <c r="D1911" i="5"/>
  <c r="C1911" i="5"/>
  <c r="E1903" i="5"/>
  <c r="D1903" i="5"/>
  <c r="C1903" i="5"/>
  <c r="E1894" i="5"/>
  <c r="D1894" i="5"/>
  <c r="C1894" i="5"/>
  <c r="E1887" i="5"/>
  <c r="D1887" i="5"/>
  <c r="C1887" i="5"/>
  <c r="E1880" i="5"/>
  <c r="D1880" i="5"/>
  <c r="C1880" i="5"/>
  <c r="E1874" i="5"/>
  <c r="D1874" i="5"/>
  <c r="C1874" i="5"/>
  <c r="E1866" i="5"/>
  <c r="D1866" i="5"/>
  <c r="C1866" i="5"/>
  <c r="E1860" i="5"/>
  <c r="D1860" i="5"/>
  <c r="C1860" i="5"/>
  <c r="E1859" i="5"/>
  <c r="D1859" i="5"/>
  <c r="C1859" i="5"/>
  <c r="E1841" i="5"/>
  <c r="D1841" i="5"/>
  <c r="C1841" i="5"/>
  <c r="E1825" i="5"/>
  <c r="D1825" i="5"/>
  <c r="C1825" i="5"/>
  <c r="E1811" i="5"/>
  <c r="D1811" i="5"/>
  <c r="C1811" i="5"/>
  <c r="E1793" i="5"/>
  <c r="E1792" i="5"/>
  <c r="E1791" i="5"/>
  <c r="D1791" i="5"/>
  <c r="C1791" i="5"/>
  <c r="E1790" i="5"/>
  <c r="D1790" i="5"/>
  <c r="C1790" i="5"/>
  <c r="E1789" i="5"/>
  <c r="D1789" i="5"/>
  <c r="C1789" i="5"/>
  <c r="E1785" i="5"/>
  <c r="E1784" i="5"/>
  <c r="D1784" i="5"/>
  <c r="C1784" i="5"/>
  <c r="E1783" i="5"/>
  <c r="E1782" i="5"/>
  <c r="E1781" i="5"/>
  <c r="E1780" i="5"/>
  <c r="D1780" i="5"/>
  <c r="C1780" i="5"/>
  <c r="E1779" i="5"/>
  <c r="D1779" i="5"/>
  <c r="C1779" i="5"/>
  <c r="E1778" i="5"/>
  <c r="D1778" i="5"/>
  <c r="C1778" i="5"/>
  <c r="E1777" i="5"/>
  <c r="D1777" i="5"/>
  <c r="C1777" i="5"/>
  <c r="E1772" i="5"/>
  <c r="E1771" i="5"/>
  <c r="E1770" i="5"/>
  <c r="E1769" i="5"/>
  <c r="D1769" i="5"/>
  <c r="C1769" i="5"/>
  <c r="E1768" i="5"/>
  <c r="D1768" i="5"/>
  <c r="C1768" i="5"/>
  <c r="E1767" i="5"/>
  <c r="D1767" i="5"/>
  <c r="C1767" i="5"/>
  <c r="E1766" i="5"/>
  <c r="D1766" i="5"/>
  <c r="C1766" i="5"/>
  <c r="E1761" i="5"/>
  <c r="E1760" i="5"/>
  <c r="E1759" i="5"/>
  <c r="E1758" i="5"/>
  <c r="E1757" i="5"/>
  <c r="E1756" i="5"/>
  <c r="D1756" i="5"/>
  <c r="C1756" i="5"/>
  <c r="E1755" i="5"/>
  <c r="D1755" i="5"/>
  <c r="C1755" i="5"/>
  <c r="E1754" i="5"/>
  <c r="D1754" i="5"/>
  <c r="C1754" i="5"/>
  <c r="E1753" i="5"/>
  <c r="D1753" i="5"/>
  <c r="C1753" i="5"/>
  <c r="E1752" i="5"/>
  <c r="D1752" i="5"/>
  <c r="C1752" i="5"/>
  <c r="E1751" i="5"/>
  <c r="D1751" i="5"/>
  <c r="C1751" i="5"/>
  <c r="E1750" i="5"/>
  <c r="D1750" i="5"/>
  <c r="C1750" i="5"/>
  <c r="E1746" i="5"/>
  <c r="E1745" i="5"/>
  <c r="E1744" i="5"/>
  <c r="C1744" i="5"/>
  <c r="E1743" i="5"/>
  <c r="C1743" i="5"/>
  <c r="E1742" i="5"/>
  <c r="E1741" i="5"/>
  <c r="D1741" i="5"/>
  <c r="C1741" i="5"/>
  <c r="E1740" i="5"/>
  <c r="D1740" i="5"/>
  <c r="C1740" i="5"/>
  <c r="E1739" i="5"/>
  <c r="D1739" i="5"/>
  <c r="C1739" i="5"/>
  <c r="E1738" i="5"/>
  <c r="D1738" i="5"/>
  <c r="C1738" i="5"/>
  <c r="E1735" i="5"/>
  <c r="E1734" i="5"/>
  <c r="D1734" i="5"/>
  <c r="C1734" i="5"/>
  <c r="E1733" i="5"/>
  <c r="D1733" i="5"/>
  <c r="C1733" i="5"/>
  <c r="E1732" i="5"/>
  <c r="D1732" i="5"/>
  <c r="C1732" i="5"/>
  <c r="E1728" i="5"/>
  <c r="E1727" i="5"/>
  <c r="D1727" i="5"/>
  <c r="C1727" i="5"/>
  <c r="E1726" i="5"/>
  <c r="D1726" i="5"/>
  <c r="C1726" i="5"/>
  <c r="E1725" i="5"/>
  <c r="D1725" i="5"/>
  <c r="C1725" i="5"/>
  <c r="E1724" i="5"/>
  <c r="D1724" i="5"/>
  <c r="C1724" i="5"/>
  <c r="E1723" i="5"/>
  <c r="D1723" i="5"/>
  <c r="C1723" i="5"/>
  <c r="E1722" i="5"/>
  <c r="D1722" i="5"/>
  <c r="C1722" i="5"/>
  <c r="E1718" i="5"/>
  <c r="G1717" i="5"/>
  <c r="I1717" i="5" s="1"/>
  <c r="E1717" i="5"/>
  <c r="D1717" i="5"/>
  <c r="C1717" i="5"/>
  <c r="E1716" i="5"/>
  <c r="D1716" i="5"/>
  <c r="C1716" i="5"/>
  <c r="G1715" i="5"/>
  <c r="I1715" i="5" s="1"/>
  <c r="E1715" i="5"/>
  <c r="D1715" i="5"/>
  <c r="C1715" i="5"/>
  <c r="E1714" i="5"/>
  <c r="D1714" i="5"/>
  <c r="C1714" i="5"/>
  <c r="E1713" i="5"/>
  <c r="D1713" i="5"/>
  <c r="C1713" i="5"/>
  <c r="E1709" i="5"/>
  <c r="E1708" i="5"/>
  <c r="D1708" i="5"/>
  <c r="C1708" i="5"/>
  <c r="E1707" i="5"/>
  <c r="D1707" i="5"/>
  <c r="C1707" i="5"/>
  <c r="E1706" i="5"/>
  <c r="D1706" i="5"/>
  <c r="C1706" i="5"/>
  <c r="E1705" i="5"/>
  <c r="D1705" i="5"/>
  <c r="C1705" i="5"/>
  <c r="E1704" i="5"/>
  <c r="D1704" i="5"/>
  <c r="C1704" i="5"/>
  <c r="E1703" i="5"/>
  <c r="D1703" i="5"/>
  <c r="C1703" i="5"/>
  <c r="E1699" i="5"/>
  <c r="E1698" i="5"/>
  <c r="D1698" i="5"/>
  <c r="C1698" i="5"/>
  <c r="E1697" i="5"/>
  <c r="D1697" i="5"/>
  <c r="C1697" i="5"/>
  <c r="E1696" i="5"/>
  <c r="D1696" i="5"/>
  <c r="C1696" i="5"/>
  <c r="E1695" i="5"/>
  <c r="D1695" i="5"/>
  <c r="C1695" i="5"/>
  <c r="E1694" i="5"/>
  <c r="D1694" i="5"/>
  <c r="C1694" i="5"/>
  <c r="E1693" i="5"/>
  <c r="D1692" i="5"/>
  <c r="C1692" i="5"/>
  <c r="D1693" i="5"/>
  <c r="C1693" i="5"/>
  <c r="E1692" i="5"/>
  <c r="E1691" i="5"/>
  <c r="D1691" i="5"/>
  <c r="C1691" i="5"/>
  <c r="E1686" i="5"/>
  <c r="D1686" i="5"/>
  <c r="C1686" i="5"/>
  <c r="E1685" i="5"/>
  <c r="D1685" i="5"/>
  <c r="C1685" i="5"/>
  <c r="E1684" i="5"/>
  <c r="D1684" i="5"/>
  <c r="C1684" i="5"/>
  <c r="E1683" i="5"/>
  <c r="D1683" i="5"/>
  <c r="C1683" i="5"/>
  <c r="E1682" i="5"/>
  <c r="D1682" i="5"/>
  <c r="C1682" i="5"/>
  <c r="E1681" i="5"/>
  <c r="D1681" i="5"/>
  <c r="C1681" i="5"/>
  <c r="E1680" i="5"/>
  <c r="D1680" i="5"/>
  <c r="C1680" i="5"/>
  <c r="E1794" i="5"/>
  <c r="D1794" i="5"/>
  <c r="C1794" i="5"/>
  <c r="E1786" i="5"/>
  <c r="D1786" i="5"/>
  <c r="C1786" i="5"/>
  <c r="E1773" i="5"/>
  <c r="D1773" i="5"/>
  <c r="C1773" i="5"/>
  <c r="E1762" i="5"/>
  <c r="D1762" i="5"/>
  <c r="C1762" i="5"/>
  <c r="E1747" i="5"/>
  <c r="D1747" i="5"/>
  <c r="C1747" i="5"/>
  <c r="E1736" i="5"/>
  <c r="D1736" i="5"/>
  <c r="C1736" i="5"/>
  <c r="E1729" i="5"/>
  <c r="D1729" i="5"/>
  <c r="C1729" i="5"/>
  <c r="E1719" i="5"/>
  <c r="D1719" i="5"/>
  <c r="C1719" i="5"/>
  <c r="E1710" i="5"/>
  <c r="D1710" i="5"/>
  <c r="C1710" i="5"/>
  <c r="E1700" i="5"/>
  <c r="D1699" i="5"/>
  <c r="C1699" i="5"/>
  <c r="E1687" i="5"/>
  <c r="D1687" i="5"/>
  <c r="C1687" i="5"/>
  <c r="E1677" i="5"/>
  <c r="D1677" i="5"/>
  <c r="C1677" i="5"/>
  <c r="E1676" i="5"/>
  <c r="E1675" i="5"/>
  <c r="D1675" i="5"/>
  <c r="C1675" i="5"/>
  <c r="E1674" i="5"/>
  <c r="D1674" i="5"/>
  <c r="C1674" i="5"/>
  <c r="G1673" i="5"/>
  <c r="I1673" i="5" s="1"/>
  <c r="E1673" i="5"/>
  <c r="D1673" i="5"/>
  <c r="C1673" i="5"/>
  <c r="E1670" i="5"/>
  <c r="D1670" i="5"/>
  <c r="C1670" i="5"/>
  <c r="E1669" i="5"/>
  <c r="E1668" i="5"/>
  <c r="D1668" i="5"/>
  <c r="C1668" i="5"/>
  <c r="E1667" i="5"/>
  <c r="D1667" i="5"/>
  <c r="C1667" i="5"/>
  <c r="E1666" i="5"/>
  <c r="D1666" i="5"/>
  <c r="C1666" i="5"/>
  <c r="E1665" i="5"/>
  <c r="D1665" i="5"/>
  <c r="C1665" i="5"/>
  <c r="E1664" i="5"/>
  <c r="D1664" i="5"/>
  <c r="C1664" i="5"/>
  <c r="E1661" i="5"/>
  <c r="D1661" i="5"/>
  <c r="C1661" i="5"/>
  <c r="E1660" i="5"/>
  <c r="E1659" i="5"/>
  <c r="D1659" i="5"/>
  <c r="C1659" i="5"/>
  <c r="E1658" i="5"/>
  <c r="D1658" i="5"/>
  <c r="C1658" i="5"/>
  <c r="E1657" i="5"/>
  <c r="D1657" i="5"/>
  <c r="C1657" i="5"/>
  <c r="E1656" i="5"/>
  <c r="D1656" i="5"/>
  <c r="C1656" i="5"/>
  <c r="E1652" i="5"/>
  <c r="D1652" i="5"/>
  <c r="C1652" i="5"/>
  <c r="E1651" i="5"/>
  <c r="D1651" i="5"/>
  <c r="C1651" i="5"/>
  <c r="E1650" i="5"/>
  <c r="D1650" i="5"/>
  <c r="C1650" i="5"/>
  <c r="E1649" i="5"/>
  <c r="D1649" i="5"/>
  <c r="C1649" i="5"/>
  <c r="E1648" i="5"/>
  <c r="D1648" i="5"/>
  <c r="C1648" i="5"/>
  <c r="E1647" i="5"/>
  <c r="D1647" i="5"/>
  <c r="C1647" i="5"/>
  <c r="E1646" i="5"/>
  <c r="D1646" i="5"/>
  <c r="C1646" i="5"/>
  <c r="E1635" i="5"/>
  <c r="D1635" i="5"/>
  <c r="C1635" i="5"/>
  <c r="E1634" i="5"/>
  <c r="D1634" i="5"/>
  <c r="C1634" i="5"/>
  <c r="E1633" i="5"/>
  <c r="D1633" i="5"/>
  <c r="C1633" i="5"/>
  <c r="E1632" i="5"/>
  <c r="D1632" i="5"/>
  <c r="C1632" i="5"/>
  <c r="E1631" i="5"/>
  <c r="D1631" i="5"/>
  <c r="C1631" i="5"/>
  <c r="E1630" i="5"/>
  <c r="D1630" i="5"/>
  <c r="C1630" i="5"/>
  <c r="E1627" i="5"/>
  <c r="D1627" i="5"/>
  <c r="C1627" i="5"/>
  <c r="E1626" i="5"/>
  <c r="D1626" i="5"/>
  <c r="C1626" i="5"/>
  <c r="E1625" i="5"/>
  <c r="D1625" i="5"/>
  <c r="C1625" i="5"/>
  <c r="E1624" i="5"/>
  <c r="D1624" i="5"/>
  <c r="C1624" i="5"/>
  <c r="E1621" i="5"/>
  <c r="D1621" i="5"/>
  <c r="C1621" i="5"/>
  <c r="E1620" i="5"/>
  <c r="D1620" i="5"/>
  <c r="C1620" i="5"/>
  <c r="E1619" i="5"/>
  <c r="D1619" i="5"/>
  <c r="C1619" i="5"/>
  <c r="E1618" i="5"/>
  <c r="D1618" i="5"/>
  <c r="C1618" i="5"/>
  <c r="E1617" i="5"/>
  <c r="D1617" i="5"/>
  <c r="C1617" i="5"/>
  <c r="E1614" i="5"/>
  <c r="D1614" i="5"/>
  <c r="C1614" i="5"/>
  <c r="E1613" i="5"/>
  <c r="E1612" i="5"/>
  <c r="D1612" i="5"/>
  <c r="C1612" i="5"/>
  <c r="E1611" i="5"/>
  <c r="D1611" i="5"/>
  <c r="C1611" i="5"/>
  <c r="E1610" i="5"/>
  <c r="D1610" i="5"/>
  <c r="C1610" i="5"/>
  <c r="E1607" i="5"/>
  <c r="D1607" i="5"/>
  <c r="C1607" i="5"/>
  <c r="E1606" i="5"/>
  <c r="E1602" i="5"/>
  <c r="D1602" i="5"/>
  <c r="C1602" i="5"/>
  <c r="E1601" i="5"/>
  <c r="D1601" i="5"/>
  <c r="C1601" i="5"/>
  <c r="E1600" i="5"/>
  <c r="D1600" i="5"/>
  <c r="C1600" i="5"/>
  <c r="E1599" i="5"/>
  <c r="D1599" i="5"/>
  <c r="C1599" i="5"/>
  <c r="E1598" i="5"/>
  <c r="D1598" i="5"/>
  <c r="C1598" i="5"/>
  <c r="E1594" i="5"/>
  <c r="D1594" i="5"/>
  <c r="C1594" i="5"/>
  <c r="E1593" i="5"/>
  <c r="D1593" i="5"/>
  <c r="C1593" i="5"/>
  <c r="E1592" i="5"/>
  <c r="D1592" i="5"/>
  <c r="C1592" i="5"/>
  <c r="E1591" i="5"/>
  <c r="D1591" i="5"/>
  <c r="C1591" i="5"/>
  <c r="E1590" i="5"/>
  <c r="D1590" i="5"/>
  <c r="C1590" i="5"/>
  <c r="E1585" i="5"/>
  <c r="D1585" i="5"/>
  <c r="C1585" i="5"/>
  <c r="E1584" i="5"/>
  <c r="G1583" i="5"/>
  <c r="I1583" i="5" s="1"/>
  <c r="E1583" i="5"/>
  <c r="D1583" i="5"/>
  <c r="C1583" i="5"/>
  <c r="E1795" i="5"/>
  <c r="D1795" i="5"/>
  <c r="C1795" i="5"/>
  <c r="E1787" i="5"/>
  <c r="D1787" i="5"/>
  <c r="C1787" i="5"/>
  <c r="E1775" i="5"/>
  <c r="D1775" i="5"/>
  <c r="C1775" i="5"/>
  <c r="E1774" i="5"/>
  <c r="D1774" i="5"/>
  <c r="C1774" i="5"/>
  <c r="E1764" i="5"/>
  <c r="D1764" i="5"/>
  <c r="C1764" i="5"/>
  <c r="E1763" i="5"/>
  <c r="D1763" i="5"/>
  <c r="C1763" i="5"/>
  <c r="E1748" i="5"/>
  <c r="D1748" i="5"/>
  <c r="C1748" i="5"/>
  <c r="E1730" i="5"/>
  <c r="D1730" i="5"/>
  <c r="C1730" i="5"/>
  <c r="E1720" i="5"/>
  <c r="D1720" i="5"/>
  <c r="C1720" i="5"/>
  <c r="E1711" i="5"/>
  <c r="D1711" i="5"/>
  <c r="C1711" i="5"/>
  <c r="E1701" i="5"/>
  <c r="D1701" i="5"/>
  <c r="C1701" i="5"/>
  <c r="D1700" i="5"/>
  <c r="C1700" i="5"/>
  <c r="E1689" i="5"/>
  <c r="D1689" i="5"/>
  <c r="C1689" i="5"/>
  <c r="E1688" i="5"/>
  <c r="D1688" i="5"/>
  <c r="C1688" i="5"/>
  <c r="E1678" i="5"/>
  <c r="D1678" i="5"/>
  <c r="C1678" i="5"/>
  <c r="E1671" i="5"/>
  <c r="D1671" i="5"/>
  <c r="C1671" i="5"/>
  <c r="E1662" i="5"/>
  <c r="D1662" i="5"/>
  <c r="C1662" i="5"/>
  <c r="E1654" i="5"/>
  <c r="D1654" i="5"/>
  <c r="C1654" i="5"/>
  <c r="E1653" i="5"/>
  <c r="D1653" i="5"/>
  <c r="C1653" i="5"/>
  <c r="E1644" i="5"/>
  <c r="D1644" i="5"/>
  <c r="C1644" i="5"/>
  <c r="E1637" i="5"/>
  <c r="D1637" i="5"/>
  <c r="C1637" i="5"/>
  <c r="E1636" i="5"/>
  <c r="D1636" i="5"/>
  <c r="C1636" i="5"/>
  <c r="E1628" i="5"/>
  <c r="D1628" i="5"/>
  <c r="C1628" i="5"/>
  <c r="E1622" i="5"/>
  <c r="D1622" i="5"/>
  <c r="C1622" i="5"/>
  <c r="E1615" i="5"/>
  <c r="D1615" i="5"/>
  <c r="C1615" i="5"/>
  <c r="E1608" i="5"/>
  <c r="D1608" i="5"/>
  <c r="C1608" i="5"/>
  <c r="E1604" i="5"/>
  <c r="D1604" i="5"/>
  <c r="C1604" i="5"/>
  <c r="E1603" i="5"/>
  <c r="D1603" i="5"/>
  <c r="C1603" i="5"/>
  <c r="E1596" i="5"/>
  <c r="D1596" i="5"/>
  <c r="C1596" i="5"/>
  <c r="E1595" i="5"/>
  <c r="D1595" i="5"/>
  <c r="C1595" i="5"/>
  <c r="E1588" i="5"/>
  <c r="D1588" i="5"/>
  <c r="C1588" i="5"/>
  <c r="E1586" i="5"/>
  <c r="D1586" i="5"/>
  <c r="C1586" i="5"/>
  <c r="E1578" i="5"/>
  <c r="D1578" i="5"/>
  <c r="C1578" i="5"/>
  <c r="E1577" i="5"/>
  <c r="E1572" i="5"/>
  <c r="D1572" i="5"/>
  <c r="C1572" i="5"/>
  <c r="E1571" i="5"/>
  <c r="E1566" i="5"/>
  <c r="D1566" i="5"/>
  <c r="C1566" i="5"/>
  <c r="E1565" i="5"/>
  <c r="E1560" i="5"/>
  <c r="D1560" i="5"/>
  <c r="C1560" i="5"/>
  <c r="E1559" i="5"/>
  <c r="E1556" i="5"/>
  <c r="D1556" i="5"/>
  <c r="C1556" i="5"/>
  <c r="E1555" i="5"/>
  <c r="E1554" i="5"/>
  <c r="D1554" i="5"/>
  <c r="C1554" i="5"/>
  <c r="E1553" i="5"/>
  <c r="D1553" i="5"/>
  <c r="C1553" i="5"/>
  <c r="E1548" i="5"/>
  <c r="D1548" i="5"/>
  <c r="C1548" i="5"/>
  <c r="E1547" i="5"/>
  <c r="E1546" i="5"/>
  <c r="D1546" i="5"/>
  <c r="C1546" i="5"/>
  <c r="E1545" i="5"/>
  <c r="D1545" i="5"/>
  <c r="C1545" i="5"/>
  <c r="E1544" i="5"/>
  <c r="D1544" i="5"/>
  <c r="C1544" i="5"/>
  <c r="E1539" i="5"/>
  <c r="D1539" i="5"/>
  <c r="C1539" i="5"/>
  <c r="E1538" i="5"/>
  <c r="E1537" i="5"/>
  <c r="D1537" i="5"/>
  <c r="C1537" i="5"/>
  <c r="E1536" i="5"/>
  <c r="D1536" i="5"/>
  <c r="C1536" i="5"/>
  <c r="E1532" i="5"/>
  <c r="E1531" i="5"/>
  <c r="D1531" i="5"/>
  <c r="C1531" i="5"/>
  <c r="E1530" i="5"/>
  <c r="D1530" i="5"/>
  <c r="C1530" i="5"/>
  <c r="E1529" i="5"/>
  <c r="D1529" i="5"/>
  <c r="C1529" i="5"/>
  <c r="E1528" i="5"/>
  <c r="D1528" i="5"/>
  <c r="C1528" i="5"/>
  <c r="E1523" i="5"/>
  <c r="E1522" i="5"/>
  <c r="E1521" i="5"/>
  <c r="D1521" i="5"/>
  <c r="C1521" i="5"/>
  <c r="E1520" i="5"/>
  <c r="D1520" i="5"/>
  <c r="C1520" i="5"/>
  <c r="E1515" i="5"/>
  <c r="E1514" i="5"/>
  <c r="E1513" i="5"/>
  <c r="D1513" i="5"/>
  <c r="C1513" i="5"/>
  <c r="E1512" i="5"/>
  <c r="D1512" i="5"/>
  <c r="C1512" i="5"/>
  <c r="E1509" i="5"/>
  <c r="E1508" i="5"/>
  <c r="E1507" i="5"/>
  <c r="D1507" i="5"/>
  <c r="C1507" i="5"/>
  <c r="G1506" i="5"/>
  <c r="I1506" i="5" s="1"/>
  <c r="E1506" i="5"/>
  <c r="D1506" i="5"/>
  <c r="C1506" i="5"/>
  <c r="E1505" i="5"/>
  <c r="D1505" i="5"/>
  <c r="C1505" i="5"/>
  <c r="E1504" i="5"/>
  <c r="D1504" i="5"/>
  <c r="C1504" i="5"/>
  <c r="E1503" i="5"/>
  <c r="D1503" i="5"/>
  <c r="C1503" i="5"/>
  <c r="E1502" i="5"/>
  <c r="D1502" i="5"/>
  <c r="C1502" i="5"/>
  <c r="E1501" i="5"/>
  <c r="D1501" i="5"/>
  <c r="C1501" i="5"/>
  <c r="E1498" i="5"/>
  <c r="E1497" i="5"/>
  <c r="E1496" i="5"/>
  <c r="D1496" i="5"/>
  <c r="C1496" i="5"/>
  <c r="G1495" i="5"/>
  <c r="I1495" i="5" s="1"/>
  <c r="E1495" i="5"/>
  <c r="D1495" i="5"/>
  <c r="C1495" i="5"/>
  <c r="E1494" i="5"/>
  <c r="D1494" i="5"/>
  <c r="C1494" i="5"/>
  <c r="E1493" i="5"/>
  <c r="D1493" i="5"/>
  <c r="C1493" i="5"/>
  <c r="E1492" i="5"/>
  <c r="D1492" i="5"/>
  <c r="C1492" i="5"/>
  <c r="E1491" i="5"/>
  <c r="D1491" i="5"/>
  <c r="C1491" i="5"/>
  <c r="E1490" i="5"/>
  <c r="D1490" i="5"/>
  <c r="C1490" i="5"/>
  <c r="E1487" i="5"/>
  <c r="E1486" i="5"/>
  <c r="E1485" i="5"/>
  <c r="D1485" i="5"/>
  <c r="C1485" i="5"/>
  <c r="G1484" i="5"/>
  <c r="I1484" i="5" s="1"/>
  <c r="E1484" i="5"/>
  <c r="D1484" i="5"/>
  <c r="C1484" i="5"/>
  <c r="E1483" i="5"/>
  <c r="D1483" i="5"/>
  <c r="C1483" i="5"/>
  <c r="E1482" i="5"/>
  <c r="D1482" i="5"/>
  <c r="C1482" i="5"/>
  <c r="E1481" i="5"/>
  <c r="D1481" i="5"/>
  <c r="C1481" i="5"/>
  <c r="E1480" i="5"/>
  <c r="D1480" i="5"/>
  <c r="C1480" i="5"/>
  <c r="E1479" i="5"/>
  <c r="D1479" i="5"/>
  <c r="C1479" i="5"/>
  <c r="E1476" i="5"/>
  <c r="E1475" i="5"/>
  <c r="E1472" i="5"/>
  <c r="G1470" i="5"/>
  <c r="I1470" i="5" s="1"/>
  <c r="E1470" i="5"/>
  <c r="D1470" i="5"/>
  <c r="C1470" i="5"/>
  <c r="E1467" i="5"/>
  <c r="E1466" i="5"/>
  <c r="D1466" i="5"/>
  <c r="C1466" i="5"/>
  <c r="E1463" i="5"/>
  <c r="E1461" i="5"/>
  <c r="D1461" i="5"/>
  <c r="C1461" i="5"/>
  <c r="E1581" i="5"/>
  <c r="D1581" i="5"/>
  <c r="C1581" i="5"/>
  <c r="E1579" i="5"/>
  <c r="D1579" i="5"/>
  <c r="C1579" i="5"/>
  <c r="E1575" i="5"/>
  <c r="D1575" i="5"/>
  <c r="C1575" i="5"/>
  <c r="E1573" i="5"/>
  <c r="D1573" i="5"/>
  <c r="C1573" i="5"/>
  <c r="E1569" i="5"/>
  <c r="D1569" i="5"/>
  <c r="C1569" i="5"/>
  <c r="E1567" i="5"/>
  <c r="D1567" i="5"/>
  <c r="C1567" i="5"/>
  <c r="E1563" i="5"/>
  <c r="D1563" i="5"/>
  <c r="C1563" i="5"/>
  <c r="E1561" i="5"/>
  <c r="D1561" i="5"/>
  <c r="C1561" i="5"/>
  <c r="E1557" i="5"/>
  <c r="D1557" i="5"/>
  <c r="C1557" i="5"/>
  <c r="E1551" i="5"/>
  <c r="D1551" i="5"/>
  <c r="C1551" i="5"/>
  <c r="E1549" i="5"/>
  <c r="D1549" i="5"/>
  <c r="C1549" i="5"/>
  <c r="E1542" i="5"/>
  <c r="D1542" i="5"/>
  <c r="C1542" i="5"/>
  <c r="E1540" i="5"/>
  <c r="D1540" i="5"/>
  <c r="C1540" i="5"/>
  <c r="E1534" i="5"/>
  <c r="D1534" i="5"/>
  <c r="C1534" i="5"/>
  <c r="E1533" i="5"/>
  <c r="D1533" i="5"/>
  <c r="C1533" i="5"/>
  <c r="E1526" i="5"/>
  <c r="D1526" i="5"/>
  <c r="C1526" i="5"/>
  <c r="E1524" i="5"/>
  <c r="D1524" i="5"/>
  <c r="C1524" i="5"/>
  <c r="E1518" i="5"/>
  <c r="D1518" i="5"/>
  <c r="C1518" i="5"/>
  <c r="E1516" i="5"/>
  <c r="D1516" i="5"/>
  <c r="C1516" i="5"/>
  <c r="E1510" i="5"/>
  <c r="D1510" i="5"/>
  <c r="C1510" i="5"/>
  <c r="E1499" i="5"/>
  <c r="D1499" i="5"/>
  <c r="C1499" i="5"/>
  <c r="E1488" i="5"/>
  <c r="D1488" i="5"/>
  <c r="C1488" i="5"/>
  <c r="E1477" i="5"/>
  <c r="D1477" i="5"/>
  <c r="C1477" i="5"/>
  <c r="E1473" i="5"/>
  <c r="D1473" i="5"/>
  <c r="C1473" i="5"/>
  <c r="E1464" i="5"/>
  <c r="D1464" i="5"/>
  <c r="C1464" i="5"/>
  <c r="E1458" i="5"/>
  <c r="D1458" i="5"/>
  <c r="C1458" i="5"/>
  <c r="E1457" i="5"/>
  <c r="G1455" i="5"/>
  <c r="I1455" i="5" s="1"/>
  <c r="E1455" i="5"/>
  <c r="D1455" i="5"/>
  <c r="C1455" i="5"/>
  <c r="E1454" i="5"/>
  <c r="D1454" i="5"/>
  <c r="C1454" i="5"/>
  <c r="E1469" i="5"/>
  <c r="D1469" i="5"/>
  <c r="C1469" i="5"/>
  <c r="E1460" i="5"/>
  <c r="D1460" i="5"/>
  <c r="C1460" i="5"/>
  <c r="E1453" i="5"/>
  <c r="D1453" i="5"/>
  <c r="C1453" i="5"/>
  <c r="E1451" i="5"/>
  <c r="E1450" i="5"/>
  <c r="E1449" i="5"/>
  <c r="D1449" i="5"/>
  <c r="C1449" i="5"/>
  <c r="E1447" i="5"/>
  <c r="D1447" i="5"/>
  <c r="C1447" i="5"/>
  <c r="E1446" i="5"/>
  <c r="D1446" i="5"/>
  <c r="C1446" i="5"/>
  <c r="E1445" i="5"/>
  <c r="D1445" i="5"/>
  <c r="C1445" i="5"/>
  <c r="E1444" i="5"/>
  <c r="D1444" i="5"/>
  <c r="C1444" i="5"/>
  <c r="E1443" i="5"/>
  <c r="E1442" i="5"/>
  <c r="E1441" i="5"/>
  <c r="D1441" i="5"/>
  <c r="C1441" i="5"/>
  <c r="E1440" i="5"/>
  <c r="D1440" i="5"/>
  <c r="C1440" i="5"/>
  <c r="E1439" i="5"/>
  <c r="D1439" i="5"/>
  <c r="C1439" i="5"/>
  <c r="E1438" i="5"/>
  <c r="D1438" i="5"/>
  <c r="C1438" i="5"/>
  <c r="G1437" i="5"/>
  <c r="E1437" i="5"/>
  <c r="D1437" i="5"/>
  <c r="C1437" i="5"/>
  <c r="E1436" i="5"/>
  <c r="D1436" i="5"/>
  <c r="C1436" i="5"/>
  <c r="E1434" i="5"/>
  <c r="D1434" i="5"/>
  <c r="C1434" i="5"/>
  <c r="E1433" i="5"/>
  <c r="D1433" i="5"/>
  <c r="C1433" i="5"/>
  <c r="E1432" i="5"/>
  <c r="G1430" i="5"/>
  <c r="I1430" i="5" s="1"/>
  <c r="E1430" i="5"/>
  <c r="D1430" i="5"/>
  <c r="C1430" i="5"/>
  <c r="E1429" i="5"/>
  <c r="D1429" i="5"/>
  <c r="C1429" i="5"/>
  <c r="E1428" i="5"/>
  <c r="D1428" i="5"/>
  <c r="C1428" i="5"/>
  <c r="E1427" i="5"/>
  <c r="D1427" i="5"/>
  <c r="C1427" i="5"/>
  <c r="E1425" i="5"/>
  <c r="D1425" i="5"/>
  <c r="C1425" i="5"/>
  <c r="E1424" i="5"/>
  <c r="D1424" i="5"/>
  <c r="C1424" i="5"/>
  <c r="E1423" i="5"/>
  <c r="E1422" i="5"/>
  <c r="D1422" i="5"/>
  <c r="C1422" i="5"/>
  <c r="E1421" i="5"/>
  <c r="D1421" i="5"/>
  <c r="C1421" i="5"/>
  <c r="E1420" i="5"/>
  <c r="D1420" i="5"/>
  <c r="C1420" i="5"/>
  <c r="E1419" i="5"/>
  <c r="D1419" i="5"/>
  <c r="C1419" i="5"/>
  <c r="E1418" i="5"/>
  <c r="D1418" i="5"/>
  <c r="C1418" i="5"/>
  <c r="E1417" i="5"/>
  <c r="D1417" i="5"/>
  <c r="C1417" i="5"/>
  <c r="E1415" i="5"/>
  <c r="D1415" i="5"/>
  <c r="C1415" i="5"/>
  <c r="E1414" i="5"/>
  <c r="D1414" i="5"/>
  <c r="C1414" i="5"/>
  <c r="E1413" i="5"/>
  <c r="D1413" i="5"/>
  <c r="C1413" i="5"/>
  <c r="E1412" i="5"/>
  <c r="E1411" i="5"/>
  <c r="D1411" i="5"/>
  <c r="C1411" i="5"/>
  <c r="E1410" i="5"/>
  <c r="D1410" i="5"/>
  <c r="C1410" i="5"/>
  <c r="E1409" i="5"/>
  <c r="D1409" i="5"/>
  <c r="C1409" i="5"/>
  <c r="E1408" i="5"/>
  <c r="D1408" i="5"/>
  <c r="C1408" i="5"/>
  <c r="E1406" i="5"/>
  <c r="D1406" i="5"/>
  <c r="C1406" i="5"/>
  <c r="E1405" i="5"/>
  <c r="D1405" i="5"/>
  <c r="C1405" i="5"/>
  <c r="E1403" i="5"/>
  <c r="D1403" i="5"/>
  <c r="C1403" i="5"/>
  <c r="E1402" i="5"/>
  <c r="D1402" i="5"/>
  <c r="C1402" i="5"/>
  <c r="E1400" i="5"/>
  <c r="D1400" i="5"/>
  <c r="C1400" i="5"/>
  <c r="E1399" i="5"/>
  <c r="D1399" i="5"/>
  <c r="C1399" i="5"/>
  <c r="E1397" i="5"/>
  <c r="D1397" i="5"/>
  <c r="C1397" i="5"/>
  <c r="E1396" i="5"/>
  <c r="E1395" i="5"/>
  <c r="D1395" i="5"/>
  <c r="C1395" i="5"/>
  <c r="E1394" i="5"/>
  <c r="D1394" i="5"/>
  <c r="C1394" i="5"/>
  <c r="E1393" i="5"/>
  <c r="D1393" i="5"/>
  <c r="C1393" i="5"/>
  <c r="E1392" i="5"/>
  <c r="D1392" i="5"/>
  <c r="C1392" i="5"/>
  <c r="E1391" i="5"/>
  <c r="D1391" i="5"/>
  <c r="C1391" i="5"/>
  <c r="E1390" i="5"/>
  <c r="D1390" i="5"/>
  <c r="C1390" i="5"/>
  <c r="E1388" i="5"/>
  <c r="D1388" i="5"/>
  <c r="C1388" i="5"/>
  <c r="E1387" i="5"/>
  <c r="E1386" i="5"/>
  <c r="E1385" i="5"/>
  <c r="D1385" i="5"/>
  <c r="C1385" i="5"/>
  <c r="E1384" i="5"/>
  <c r="D1384" i="5"/>
  <c r="C1384" i="5"/>
  <c r="E1383" i="5"/>
  <c r="D1383" i="5"/>
  <c r="C1383" i="5"/>
  <c r="E1382" i="5"/>
  <c r="D1382" i="5"/>
  <c r="C1382" i="5"/>
  <c r="E1381" i="5"/>
  <c r="D1381" i="5"/>
  <c r="C1381" i="5"/>
  <c r="E1379" i="5"/>
  <c r="D1379" i="5"/>
  <c r="C1379" i="5"/>
  <c r="E1378" i="5"/>
  <c r="E1377" i="5"/>
  <c r="E1376" i="5"/>
  <c r="D1376" i="5"/>
  <c r="C1376" i="5"/>
  <c r="E1375" i="5"/>
  <c r="D1375" i="5"/>
  <c r="C1375" i="5"/>
  <c r="E1374" i="5"/>
  <c r="D1374" i="5"/>
  <c r="C1374" i="5"/>
  <c r="E1373" i="5"/>
  <c r="D1373" i="5"/>
  <c r="C1373" i="5"/>
  <c r="E1372" i="5"/>
  <c r="D1372" i="5"/>
  <c r="C1372" i="5"/>
  <c r="E1370" i="5"/>
  <c r="D1370" i="5"/>
  <c r="C1370" i="5"/>
  <c r="E1369" i="5"/>
  <c r="E1368" i="5"/>
  <c r="E1367" i="5"/>
  <c r="D1367" i="5"/>
  <c r="C1367" i="5"/>
  <c r="E1366" i="5"/>
  <c r="D1366" i="5"/>
  <c r="C1366" i="5"/>
  <c r="E1365" i="5"/>
  <c r="D1365" i="5"/>
  <c r="C1365" i="5"/>
  <c r="E1364" i="5"/>
  <c r="D1364" i="5"/>
  <c r="C1364" i="5"/>
  <c r="E1363" i="5"/>
  <c r="D1363" i="5"/>
  <c r="C1363" i="5"/>
  <c r="E1361" i="5"/>
  <c r="D1361" i="5"/>
  <c r="C1361" i="5"/>
  <c r="E1360" i="5"/>
  <c r="D1360" i="5"/>
  <c r="C1360" i="5"/>
  <c r="E1359" i="5"/>
  <c r="E1358" i="5"/>
  <c r="E1357" i="5"/>
  <c r="E1355" i="5"/>
  <c r="D1355" i="5"/>
  <c r="C1355" i="5"/>
  <c r="E1354" i="5"/>
  <c r="D1354" i="5"/>
  <c r="C1354" i="5"/>
  <c r="E1353" i="5"/>
  <c r="E1352" i="5"/>
  <c r="D1352" i="5"/>
  <c r="C1352" i="5"/>
  <c r="E1351" i="5"/>
  <c r="D1351" i="5"/>
  <c r="C1351" i="5"/>
  <c r="E1349" i="5"/>
  <c r="D1349" i="5"/>
  <c r="C1349" i="5"/>
  <c r="E1348" i="5"/>
  <c r="C1348" i="5"/>
  <c r="E1347" i="5"/>
  <c r="D1347" i="5"/>
  <c r="C1347" i="5"/>
  <c r="E1346" i="5"/>
  <c r="D1346" i="5"/>
  <c r="C1346" i="5"/>
  <c r="E1345" i="5"/>
  <c r="D1345" i="5"/>
  <c r="C1345" i="5"/>
  <c r="E1344" i="5"/>
  <c r="D1344" i="5"/>
  <c r="C1344" i="5"/>
  <c r="E1343" i="5"/>
  <c r="D1343" i="5"/>
  <c r="C1343" i="5"/>
  <c r="E1342" i="5"/>
  <c r="D1342" i="5"/>
  <c r="C1342" i="5"/>
  <c r="E1340" i="5"/>
  <c r="D1340" i="5"/>
  <c r="C1340" i="5"/>
  <c r="E1339" i="5"/>
  <c r="E1338" i="5"/>
  <c r="D1338" i="5"/>
  <c r="C1338" i="5"/>
  <c r="E1337" i="5"/>
  <c r="D1337" i="5"/>
  <c r="C1337" i="5"/>
  <c r="E1336" i="5"/>
  <c r="D1336" i="5"/>
  <c r="C1336" i="5"/>
  <c r="E1335" i="5"/>
  <c r="D1335" i="5"/>
  <c r="C1335" i="5"/>
  <c r="E1334" i="5"/>
  <c r="D1334" i="5"/>
  <c r="C1334" i="5"/>
  <c r="E1333" i="5"/>
  <c r="D1333" i="5"/>
  <c r="C1333" i="5"/>
  <c r="E1332" i="5"/>
  <c r="D1332" i="5"/>
  <c r="C1332" i="5"/>
  <c r="E1330" i="5"/>
  <c r="D1330" i="5"/>
  <c r="C1330" i="5"/>
  <c r="E1329" i="5"/>
  <c r="D1329" i="5"/>
  <c r="C1329" i="5"/>
  <c r="E1328" i="5"/>
  <c r="D1328" i="5"/>
  <c r="C1328" i="5"/>
  <c r="E1327" i="5"/>
  <c r="D1327" i="5"/>
  <c r="C1327" i="5"/>
  <c r="E1326" i="5"/>
  <c r="E1325" i="5"/>
  <c r="G1324" i="5"/>
  <c r="I1324" i="5" s="1"/>
  <c r="E1324" i="5"/>
  <c r="D1324" i="5"/>
  <c r="C1324" i="5"/>
  <c r="E1323" i="5"/>
  <c r="D1323" i="5"/>
  <c r="C1323" i="5"/>
  <c r="E1322" i="5"/>
  <c r="D1322" i="5"/>
  <c r="C1322" i="5"/>
  <c r="E1321" i="5"/>
  <c r="D1321" i="5"/>
  <c r="C1321" i="5"/>
  <c r="E1320" i="5"/>
  <c r="D1320" i="5"/>
  <c r="C1320" i="5"/>
  <c r="E1319" i="5"/>
  <c r="D1319" i="5"/>
  <c r="C1319" i="5"/>
  <c r="E1318" i="5"/>
  <c r="D1318" i="5"/>
  <c r="C1318" i="5"/>
  <c r="E1317" i="5"/>
  <c r="D1317" i="5"/>
  <c r="C1317" i="5"/>
  <c r="E1316" i="5"/>
  <c r="D1316" i="5"/>
  <c r="C1316" i="5"/>
  <c r="E1314" i="5"/>
  <c r="D1314" i="5"/>
  <c r="C1314" i="5"/>
  <c r="E1313" i="5"/>
  <c r="D1313" i="5"/>
  <c r="C1313" i="5"/>
  <c r="E1312" i="5"/>
  <c r="D1312" i="5"/>
  <c r="C1312" i="5"/>
  <c r="E1311" i="5"/>
  <c r="D1311" i="5"/>
  <c r="C1311" i="5"/>
  <c r="E1310" i="5"/>
  <c r="E1309" i="5"/>
  <c r="E1308" i="5"/>
  <c r="D1308" i="5"/>
  <c r="C1308" i="5"/>
  <c r="G1307" i="5"/>
  <c r="I1307" i="5" s="1"/>
  <c r="E1307" i="5"/>
  <c r="D1307" i="5"/>
  <c r="C1307" i="5"/>
  <c r="E1306" i="5"/>
  <c r="D1306" i="5"/>
  <c r="C1306" i="5"/>
  <c r="E1305" i="5"/>
  <c r="D1305" i="5"/>
  <c r="C1305" i="5"/>
  <c r="G1304" i="5"/>
  <c r="E1304" i="5"/>
  <c r="D1304" i="5"/>
  <c r="C1304" i="5"/>
  <c r="G1303" i="5"/>
  <c r="E1303" i="5"/>
  <c r="D1303" i="5"/>
  <c r="C1303" i="5"/>
  <c r="E1302" i="5"/>
  <c r="D1302" i="5"/>
  <c r="C1302" i="5"/>
  <c r="E1301" i="5"/>
  <c r="D1301" i="5"/>
  <c r="C1301" i="5"/>
  <c r="E1300" i="5"/>
  <c r="D1300" i="5"/>
  <c r="C1300" i="5"/>
  <c r="E1298" i="5"/>
  <c r="D1298" i="5"/>
  <c r="C1298" i="5"/>
  <c r="E1297" i="5"/>
  <c r="D1297" i="5"/>
  <c r="C1297" i="5"/>
  <c r="E1296" i="5"/>
  <c r="D1296" i="5"/>
  <c r="C1296" i="5"/>
  <c r="E1295" i="5"/>
  <c r="G1291" i="5"/>
  <c r="I1291" i="5" s="1"/>
  <c r="E1294" i="5"/>
  <c r="E1293" i="5"/>
  <c r="E1292" i="5"/>
  <c r="D1292" i="5"/>
  <c r="C1292" i="5"/>
  <c r="E1291" i="5"/>
  <c r="D1291" i="5"/>
  <c r="C1291" i="5"/>
  <c r="E1290" i="5"/>
  <c r="D1290" i="5"/>
  <c r="C1290" i="5"/>
  <c r="E1289" i="5"/>
  <c r="D1289" i="5"/>
  <c r="C1289" i="5"/>
  <c r="E1288" i="5"/>
  <c r="D1288" i="5"/>
  <c r="C1288" i="5"/>
  <c r="E1286" i="5"/>
  <c r="D1286" i="5"/>
  <c r="C1286" i="5"/>
  <c r="E1285" i="5"/>
  <c r="D1285" i="5"/>
  <c r="C1285" i="5"/>
  <c r="E1284" i="5"/>
  <c r="D1284" i="5"/>
  <c r="C1284" i="5"/>
  <c r="E1283" i="5"/>
  <c r="E1282" i="5"/>
  <c r="E1281" i="5"/>
  <c r="D1281" i="5"/>
  <c r="C1281" i="5"/>
  <c r="E1280" i="5"/>
  <c r="D1280" i="5"/>
  <c r="C1280" i="5"/>
  <c r="G1279" i="5"/>
  <c r="I1279" i="5" s="1"/>
  <c r="E1279" i="5"/>
  <c r="D1279" i="5"/>
  <c r="C1279" i="5"/>
  <c r="E1278" i="5"/>
  <c r="D1278" i="5"/>
  <c r="C1278" i="5"/>
  <c r="E1277" i="5"/>
  <c r="D1277" i="5"/>
  <c r="C1277" i="5"/>
  <c r="E1276" i="5"/>
  <c r="D1276" i="5"/>
  <c r="C1276" i="5"/>
  <c r="E1274" i="5"/>
  <c r="D1274" i="5"/>
  <c r="C1274" i="5"/>
  <c r="E1273" i="5"/>
  <c r="D1273" i="5"/>
  <c r="C1273" i="5"/>
  <c r="E1272" i="5"/>
  <c r="D1272" i="5"/>
  <c r="C1272" i="5"/>
  <c r="E1271" i="5"/>
  <c r="E1270" i="5"/>
  <c r="E1269" i="5"/>
  <c r="E1268" i="5"/>
  <c r="D1268" i="5"/>
  <c r="C1268" i="5"/>
  <c r="E1267" i="5"/>
  <c r="D1267" i="5"/>
  <c r="C1267" i="5"/>
  <c r="E1266" i="5"/>
  <c r="D1266" i="5"/>
  <c r="C1266" i="5"/>
  <c r="E1265" i="5"/>
  <c r="D1265" i="5"/>
  <c r="C1265" i="5"/>
  <c r="E1264" i="5"/>
  <c r="D1264" i="5"/>
  <c r="C1264" i="5"/>
  <c r="E1262" i="5"/>
  <c r="D1262" i="5"/>
  <c r="C1262" i="5"/>
  <c r="E1261" i="5"/>
  <c r="D1261" i="5"/>
  <c r="C1261" i="5"/>
  <c r="E1260" i="5"/>
  <c r="E1259" i="5"/>
  <c r="C1259" i="5"/>
  <c r="E1258" i="5"/>
  <c r="D1258" i="5"/>
  <c r="C1258" i="5"/>
  <c r="E1257" i="5"/>
  <c r="D1257" i="5"/>
  <c r="C1257" i="5"/>
  <c r="E1256" i="5"/>
  <c r="D1256" i="5"/>
  <c r="C1256" i="5"/>
  <c r="E1255" i="5"/>
  <c r="D1255" i="5"/>
  <c r="C1255" i="5"/>
  <c r="E1254" i="5"/>
  <c r="D1254" i="5"/>
  <c r="C1254" i="5"/>
  <c r="E1253" i="5"/>
  <c r="D1253" i="5"/>
  <c r="C1253" i="5"/>
  <c r="E1251" i="5"/>
  <c r="D1251" i="5"/>
  <c r="C1251" i="5"/>
  <c r="E1250" i="5"/>
  <c r="E1249" i="5"/>
  <c r="D1249" i="5"/>
  <c r="C1249" i="5"/>
  <c r="E1248" i="5"/>
  <c r="E1247" i="5"/>
  <c r="D1247" i="5"/>
  <c r="C1247" i="5"/>
  <c r="E1246" i="5"/>
  <c r="D1246" i="5"/>
  <c r="C1246" i="5"/>
  <c r="E1245" i="5"/>
  <c r="D1245" i="5"/>
  <c r="C1245" i="5"/>
  <c r="E1244" i="5"/>
  <c r="D1244" i="5"/>
  <c r="C1244" i="5"/>
  <c r="E1242" i="5"/>
  <c r="D1242" i="5"/>
  <c r="C1242" i="5"/>
  <c r="E1241" i="5"/>
  <c r="E1240" i="5"/>
  <c r="E1239" i="5"/>
  <c r="D1239" i="5"/>
  <c r="C1239" i="5"/>
  <c r="E1237" i="5"/>
  <c r="D1237" i="5"/>
  <c r="C1237" i="5"/>
  <c r="E1236" i="5"/>
  <c r="E1235" i="5"/>
  <c r="E1234" i="5"/>
  <c r="E1233" i="5"/>
  <c r="D1233" i="5"/>
  <c r="C1233" i="5"/>
  <c r="E1232" i="5"/>
  <c r="D1232" i="5"/>
  <c r="C1232" i="5"/>
  <c r="E1231" i="5"/>
  <c r="D1231" i="5"/>
  <c r="C1231" i="5"/>
  <c r="E1230" i="5"/>
  <c r="D1230" i="5"/>
  <c r="C1230" i="5"/>
  <c r="E1229" i="5"/>
  <c r="D1229" i="5"/>
  <c r="C1229" i="5"/>
  <c r="E1227" i="5"/>
  <c r="D1227" i="5"/>
  <c r="C1227" i="5"/>
  <c r="E1226" i="5"/>
  <c r="E1225" i="5"/>
  <c r="D1225" i="5"/>
  <c r="C1225" i="5"/>
  <c r="E1224" i="5"/>
  <c r="E1223" i="5"/>
  <c r="D1223" i="5"/>
  <c r="C1223" i="5"/>
  <c r="E1222" i="5"/>
  <c r="D1222" i="5"/>
  <c r="C1222" i="5"/>
  <c r="E1221" i="5"/>
  <c r="D1221" i="5"/>
  <c r="C1221" i="5"/>
  <c r="E1220" i="5"/>
  <c r="D1220" i="5"/>
  <c r="C1220" i="5"/>
  <c r="E1218" i="5"/>
  <c r="D1218" i="5"/>
  <c r="C1218" i="5"/>
  <c r="E1217" i="5"/>
  <c r="E1216" i="5"/>
  <c r="C1216" i="5"/>
  <c r="E1215" i="5"/>
  <c r="D1215" i="5"/>
  <c r="C1215" i="5"/>
  <c r="E1214" i="5"/>
  <c r="D1214" i="5"/>
  <c r="C1214" i="5"/>
  <c r="E1213" i="5"/>
  <c r="D1213" i="5"/>
  <c r="C1213" i="5"/>
  <c r="E1212" i="5"/>
  <c r="D1212" i="5"/>
  <c r="C1212" i="5"/>
  <c r="E1210" i="5"/>
  <c r="D1210" i="5"/>
  <c r="C1210" i="5"/>
  <c r="E1209" i="5"/>
  <c r="D1209" i="5"/>
  <c r="C1209" i="5"/>
  <c r="E1208" i="5"/>
  <c r="E1207" i="5"/>
  <c r="E1206" i="5"/>
  <c r="D1206" i="5"/>
  <c r="C1206" i="5"/>
  <c r="E1204" i="5"/>
  <c r="D1204" i="5"/>
  <c r="C1204" i="5"/>
  <c r="E1203" i="5"/>
  <c r="D1203" i="5"/>
  <c r="C1203" i="5"/>
  <c r="E1202" i="5"/>
  <c r="D1202" i="5"/>
  <c r="C1202" i="5"/>
  <c r="E1201" i="5"/>
  <c r="D1201" i="5"/>
  <c r="C1201" i="5"/>
  <c r="E1200" i="5"/>
  <c r="D1200" i="5"/>
  <c r="C1200" i="5"/>
  <c r="E1199" i="5"/>
  <c r="E1198" i="5"/>
  <c r="D1198" i="5"/>
  <c r="C1198" i="5"/>
  <c r="E1197" i="5"/>
  <c r="D1197" i="5"/>
  <c r="C1197" i="5"/>
  <c r="E1196" i="5"/>
  <c r="D1196" i="5"/>
  <c r="C1196" i="5"/>
  <c r="E1195" i="5"/>
  <c r="D1195" i="5"/>
  <c r="C1195" i="5"/>
  <c r="E1194" i="5"/>
  <c r="D1194" i="5"/>
  <c r="C1194" i="5"/>
  <c r="E1193" i="5"/>
  <c r="D1193" i="5"/>
  <c r="C1193" i="5"/>
  <c r="E1191" i="5"/>
  <c r="D1191" i="5"/>
  <c r="C1191" i="5"/>
  <c r="E1190" i="5"/>
  <c r="D1190" i="5"/>
  <c r="C1190" i="5"/>
  <c r="E1189" i="5"/>
  <c r="D1189" i="5"/>
  <c r="C1189" i="5"/>
  <c r="E1188" i="5"/>
  <c r="D1188" i="5"/>
  <c r="C1188" i="5"/>
  <c r="E1187" i="5"/>
  <c r="D1187" i="5"/>
  <c r="C1187" i="5"/>
  <c r="E1186" i="5"/>
  <c r="E1185" i="5"/>
  <c r="D1185" i="5"/>
  <c r="C1185" i="5"/>
  <c r="E1184" i="5"/>
  <c r="D1184" i="5"/>
  <c r="C1184" i="5"/>
  <c r="E1183" i="5"/>
  <c r="D1183" i="5"/>
  <c r="C1183" i="5"/>
  <c r="E1182" i="5"/>
  <c r="E1181" i="5"/>
  <c r="D1181" i="5"/>
  <c r="C1181" i="5"/>
  <c r="E1180" i="5"/>
  <c r="D1180" i="5"/>
  <c r="C1180" i="5"/>
  <c r="E1178" i="5"/>
  <c r="D1178" i="5"/>
  <c r="C1178" i="5"/>
  <c r="E1177" i="5"/>
  <c r="D1177" i="5"/>
  <c r="C1177" i="5"/>
  <c r="E1176" i="5"/>
  <c r="D1176" i="5"/>
  <c r="C1176" i="5"/>
  <c r="E1175" i="5"/>
  <c r="D1175" i="5"/>
  <c r="C1175" i="5"/>
  <c r="E1174" i="5"/>
  <c r="D1174" i="5"/>
  <c r="C1174" i="5"/>
  <c r="E1173" i="5"/>
  <c r="E1172" i="5"/>
  <c r="D1172" i="5"/>
  <c r="C1172" i="5"/>
  <c r="E1171" i="5"/>
  <c r="D1171" i="5"/>
  <c r="C1171" i="5"/>
  <c r="E1170" i="5"/>
  <c r="C1170" i="5"/>
  <c r="D1170" i="5"/>
  <c r="E1169" i="5"/>
  <c r="E1168" i="5"/>
  <c r="D1168" i="5"/>
  <c r="C1168" i="5"/>
  <c r="E1167" i="5"/>
  <c r="D1167" i="5"/>
  <c r="C1167" i="5"/>
  <c r="E1165" i="5"/>
  <c r="D1165" i="5"/>
  <c r="C1165" i="5"/>
  <c r="E1164" i="5"/>
  <c r="D1164" i="5"/>
  <c r="C1164" i="5"/>
  <c r="E1163" i="5"/>
  <c r="D1163" i="5"/>
  <c r="C1163" i="5"/>
  <c r="E1162" i="5"/>
  <c r="E1161" i="5"/>
  <c r="D1161" i="5"/>
  <c r="C1161" i="5"/>
  <c r="E1160" i="5"/>
  <c r="D1160" i="5"/>
  <c r="C1160" i="5"/>
  <c r="G1159" i="5"/>
  <c r="E1159" i="5"/>
  <c r="D1159" i="5"/>
  <c r="C1159" i="5"/>
  <c r="E1157" i="5"/>
  <c r="D1157" i="5"/>
  <c r="C1157" i="5"/>
  <c r="E1156" i="5"/>
  <c r="D1156" i="5"/>
  <c r="C1156" i="5"/>
  <c r="E1155" i="5"/>
  <c r="D1155" i="5"/>
  <c r="C1155" i="5"/>
  <c r="E1154" i="5"/>
  <c r="D1154" i="5"/>
  <c r="C1154" i="5"/>
  <c r="E1153" i="5"/>
  <c r="E1152" i="5"/>
  <c r="D1152" i="5"/>
  <c r="C1152" i="5"/>
  <c r="E1151" i="5"/>
  <c r="C1151" i="5"/>
  <c r="G1150" i="5"/>
  <c r="I1150" i="5" s="1"/>
  <c r="E1150" i="5"/>
  <c r="D1150" i="5"/>
  <c r="C1150" i="5"/>
  <c r="E1149" i="5"/>
  <c r="D1149" i="5"/>
  <c r="C1149" i="5"/>
  <c r="E1147" i="5"/>
  <c r="D1147" i="5"/>
  <c r="C1147" i="5"/>
  <c r="E1146" i="5"/>
  <c r="E1145" i="5"/>
  <c r="D1145" i="5"/>
  <c r="C1145" i="5"/>
  <c r="E1144" i="5"/>
  <c r="D1144" i="5"/>
  <c r="C1144" i="5"/>
  <c r="E1143" i="5"/>
  <c r="D1143" i="5"/>
  <c r="C1143" i="5"/>
  <c r="E1142" i="5"/>
  <c r="D1142" i="5"/>
  <c r="C1142" i="5"/>
  <c r="E1141" i="5"/>
  <c r="D1141" i="5"/>
  <c r="C1141" i="5"/>
  <c r="E1140" i="5"/>
  <c r="D1140" i="5"/>
  <c r="C1140" i="5"/>
  <c r="E1138" i="5"/>
  <c r="D1138" i="5"/>
  <c r="C1138" i="5"/>
  <c r="E1137" i="5"/>
  <c r="E1136" i="5"/>
  <c r="D1136" i="5"/>
  <c r="C1136" i="5"/>
  <c r="E1135" i="5"/>
  <c r="D1135" i="5"/>
  <c r="C1135" i="5"/>
  <c r="G1134" i="5"/>
  <c r="I1134" i="5" s="1"/>
  <c r="E1134" i="5"/>
  <c r="D1134" i="5"/>
  <c r="C1134" i="5"/>
  <c r="G1133" i="5"/>
  <c r="I1133" i="5" s="1"/>
  <c r="E1133" i="5"/>
  <c r="D1133" i="5"/>
  <c r="C1133" i="5"/>
  <c r="E1132" i="5"/>
  <c r="D1132" i="5"/>
  <c r="C1132" i="5"/>
  <c r="E1131" i="5"/>
  <c r="D1131" i="5"/>
  <c r="C1131" i="5"/>
  <c r="E1129" i="5"/>
  <c r="D1129" i="5"/>
  <c r="C1129" i="5"/>
  <c r="E1128" i="5"/>
  <c r="E1127" i="5"/>
  <c r="E1126" i="5"/>
  <c r="E1125" i="5"/>
  <c r="D1125" i="5"/>
  <c r="C1125" i="5"/>
  <c r="E1124" i="5"/>
  <c r="D1124" i="5"/>
  <c r="C1124" i="5"/>
  <c r="E1123" i="5"/>
  <c r="D1123" i="5"/>
  <c r="C1123" i="5"/>
  <c r="E1122" i="5"/>
  <c r="D1122" i="5"/>
  <c r="C1122" i="5"/>
  <c r="E1121" i="5"/>
  <c r="D1121" i="5"/>
  <c r="C1121" i="5"/>
  <c r="E1120" i="5"/>
  <c r="D1120" i="5"/>
  <c r="C1120" i="5"/>
  <c r="E1119" i="5"/>
  <c r="D1119" i="5"/>
  <c r="C1119" i="5"/>
  <c r="E1118" i="5"/>
  <c r="D1118" i="5"/>
  <c r="C1118" i="5"/>
  <c r="E1116" i="5"/>
  <c r="D1116" i="5"/>
  <c r="C1116" i="5"/>
  <c r="E1115" i="5"/>
  <c r="E1114" i="5"/>
  <c r="E1113" i="5"/>
  <c r="D1113" i="5"/>
  <c r="C1113" i="5"/>
  <c r="G1112" i="5"/>
  <c r="I1112" i="5" s="1"/>
  <c r="E1112" i="5"/>
  <c r="D1112" i="5"/>
  <c r="C1112" i="5"/>
  <c r="G1111" i="5"/>
  <c r="I1111" i="5" s="1"/>
  <c r="E1111" i="5"/>
  <c r="D1111" i="5"/>
  <c r="C1111" i="5"/>
  <c r="E1110" i="5"/>
  <c r="D1110" i="5"/>
  <c r="C1110" i="5"/>
  <c r="E1109" i="5"/>
  <c r="D1109" i="5"/>
  <c r="C1109" i="5"/>
  <c r="E1107" i="5"/>
  <c r="D1107" i="5"/>
  <c r="C1107" i="5"/>
  <c r="E1106" i="5"/>
  <c r="E1105" i="5"/>
  <c r="G1104" i="5"/>
  <c r="I1104" i="5" s="1"/>
  <c r="E1104" i="5"/>
  <c r="D1104" i="5"/>
  <c r="C1104" i="5"/>
  <c r="G1103" i="5"/>
  <c r="I1103" i="5" s="1"/>
  <c r="E1103" i="5"/>
  <c r="D1103" i="5"/>
  <c r="C1103" i="5"/>
  <c r="E1102" i="5"/>
  <c r="D1102" i="5"/>
  <c r="C1102" i="5"/>
  <c r="E1101" i="5"/>
  <c r="D1101" i="5"/>
  <c r="C1101" i="5"/>
  <c r="E1099" i="5"/>
  <c r="D1099" i="5"/>
  <c r="C1099" i="5"/>
  <c r="E1098" i="5"/>
  <c r="D1098" i="5"/>
  <c r="C1098" i="5"/>
  <c r="E1097" i="5"/>
  <c r="E1096" i="5"/>
  <c r="E1095" i="5"/>
  <c r="D1095" i="5"/>
  <c r="C1095" i="5"/>
  <c r="G1094" i="5"/>
  <c r="I1094" i="5" s="1"/>
  <c r="E1094" i="5"/>
  <c r="D1094" i="5"/>
  <c r="C1094" i="5"/>
  <c r="G1093" i="5"/>
  <c r="I1093" i="5" s="1"/>
  <c r="E1093" i="5"/>
  <c r="D1093" i="5"/>
  <c r="C1093" i="5"/>
  <c r="E1092" i="5"/>
  <c r="D1092" i="5"/>
  <c r="C1092" i="5"/>
  <c r="D1087" i="5"/>
  <c r="E1090" i="5"/>
  <c r="D1090" i="5"/>
  <c r="C1090" i="5"/>
  <c r="E1089" i="5"/>
  <c r="E1088" i="5"/>
  <c r="E1087" i="5"/>
  <c r="C1087" i="5"/>
  <c r="G1086" i="5"/>
  <c r="I1086" i="5" s="1"/>
  <c r="E1086" i="5"/>
  <c r="D1086" i="5"/>
  <c r="C1086" i="5"/>
  <c r="E1085" i="5"/>
  <c r="D1085" i="5"/>
  <c r="C1085" i="5"/>
  <c r="E1084" i="5"/>
  <c r="D1084" i="5"/>
  <c r="C1084" i="5"/>
  <c r="E1082" i="5"/>
  <c r="D1082" i="5"/>
  <c r="C1082" i="5"/>
  <c r="E1081" i="5"/>
  <c r="D1081" i="5"/>
  <c r="C1081" i="5"/>
  <c r="E1080" i="5"/>
  <c r="E1079" i="5"/>
  <c r="E1078" i="5"/>
  <c r="D1078" i="5"/>
  <c r="C1078" i="5"/>
  <c r="E1076" i="5"/>
  <c r="D1076" i="5"/>
  <c r="C1076" i="5"/>
  <c r="E1075" i="5"/>
  <c r="E1074" i="5"/>
  <c r="E1073" i="5"/>
  <c r="E1072" i="5"/>
  <c r="G1071" i="5"/>
  <c r="I1071" i="5" s="1"/>
  <c r="E1071" i="5"/>
  <c r="E1070" i="5"/>
  <c r="D1070" i="5"/>
  <c r="C1070" i="5"/>
  <c r="G1069" i="5"/>
  <c r="I1069" i="5" s="1"/>
  <c r="E1069" i="5"/>
  <c r="D1069" i="5"/>
  <c r="C1069" i="5"/>
  <c r="E1068" i="5"/>
  <c r="D1068" i="5"/>
  <c r="C1068" i="5"/>
  <c r="G1067" i="5"/>
  <c r="E1067" i="5"/>
  <c r="D1067" i="5"/>
  <c r="C1067" i="5"/>
  <c r="E1065" i="5"/>
  <c r="D1065" i="5"/>
  <c r="C1065" i="5"/>
  <c r="E1064" i="5"/>
  <c r="D1064" i="5"/>
  <c r="C1064" i="5"/>
  <c r="E1063" i="5"/>
  <c r="E1061" i="5"/>
  <c r="D1061" i="5"/>
  <c r="C1061" i="5"/>
  <c r="E1060" i="5"/>
  <c r="D1060" i="5"/>
  <c r="C1060" i="5"/>
  <c r="E1059" i="5"/>
  <c r="D1059" i="5"/>
  <c r="C1059" i="5"/>
  <c r="E1058" i="5"/>
  <c r="D1058" i="5"/>
  <c r="C1058" i="5"/>
  <c r="E1056" i="5"/>
  <c r="D1056" i="5"/>
  <c r="C1056" i="5"/>
  <c r="E1055" i="5"/>
  <c r="E1054" i="5"/>
  <c r="E1053" i="5"/>
  <c r="C1053" i="5"/>
  <c r="G1052" i="5"/>
  <c r="E1052" i="5"/>
  <c r="D1052" i="5"/>
  <c r="C1052" i="5"/>
  <c r="G1051" i="5"/>
  <c r="I1051" i="5" s="1"/>
  <c r="E1051" i="5"/>
  <c r="D1051" i="5"/>
  <c r="C1051" i="5"/>
  <c r="E1050" i="5"/>
  <c r="D1050" i="5"/>
  <c r="C1050" i="5"/>
  <c r="E1049" i="5"/>
  <c r="D1049" i="5"/>
  <c r="C1049" i="5"/>
  <c r="E1048" i="5"/>
  <c r="D1048" i="5"/>
  <c r="C1048" i="5"/>
  <c r="E1046" i="5"/>
  <c r="D1046" i="5"/>
  <c r="C1046" i="5"/>
  <c r="E1045" i="5"/>
  <c r="D1045" i="5"/>
  <c r="C1045" i="5"/>
  <c r="E1044" i="5"/>
  <c r="E1043" i="5"/>
  <c r="E1042" i="5"/>
  <c r="E1041" i="5"/>
  <c r="D1041" i="5"/>
  <c r="C1041" i="5"/>
  <c r="G1040" i="5"/>
  <c r="I1040" i="5" s="1"/>
  <c r="E1040" i="5"/>
  <c r="D1040" i="5"/>
  <c r="C1040" i="5"/>
  <c r="E1039" i="5"/>
  <c r="D1039" i="5"/>
  <c r="C1039" i="5"/>
  <c r="E1038" i="5"/>
  <c r="D1038" i="5"/>
  <c r="C1038" i="5"/>
  <c r="E1037" i="5"/>
  <c r="D1037" i="5"/>
  <c r="C1037" i="5"/>
  <c r="E1035" i="5"/>
  <c r="D1035" i="5"/>
  <c r="C1035" i="5"/>
  <c r="E1034" i="5"/>
  <c r="D1034" i="5"/>
  <c r="C1034" i="5"/>
  <c r="E1033" i="5"/>
  <c r="E1032" i="5"/>
  <c r="E1031" i="5"/>
  <c r="E1030" i="5"/>
  <c r="D1030" i="5"/>
  <c r="C1030" i="5"/>
  <c r="G1029" i="5"/>
  <c r="I1029" i="5" s="1"/>
  <c r="E1029" i="5"/>
  <c r="D1029" i="5"/>
  <c r="C1029" i="5"/>
  <c r="E1028" i="5"/>
  <c r="D1028" i="5"/>
  <c r="C1028" i="5"/>
  <c r="E1027" i="5"/>
  <c r="D1027" i="5"/>
  <c r="C1027" i="5"/>
  <c r="E1025" i="5"/>
  <c r="C1025" i="5"/>
  <c r="D1025" i="5"/>
  <c r="E1024" i="5"/>
  <c r="D1024" i="5"/>
  <c r="C1024" i="5"/>
  <c r="E1023" i="5"/>
  <c r="E1022" i="5"/>
  <c r="C1022" i="5"/>
  <c r="E1021" i="5"/>
  <c r="E1020" i="5"/>
  <c r="D1020" i="5"/>
  <c r="C1020" i="5"/>
  <c r="G1019" i="5"/>
  <c r="I1019" i="5" s="1"/>
  <c r="E1019" i="5"/>
  <c r="D1019" i="5"/>
  <c r="C1019" i="5"/>
  <c r="E1018" i="5"/>
  <c r="D1018" i="5"/>
  <c r="C1018" i="5"/>
  <c r="E1017" i="5"/>
  <c r="D1017" i="5"/>
  <c r="C1017" i="5"/>
  <c r="E1015" i="5"/>
  <c r="D1015" i="5"/>
  <c r="C1015" i="5"/>
  <c r="E1014" i="5"/>
  <c r="D1014" i="5"/>
  <c r="C1014" i="5"/>
  <c r="E1013" i="5"/>
  <c r="D1013" i="5"/>
  <c r="C1013" i="5"/>
  <c r="E1012" i="5"/>
  <c r="E1011" i="5"/>
  <c r="E1010" i="5"/>
  <c r="D1010" i="5"/>
  <c r="C1010" i="5"/>
  <c r="E1009" i="5"/>
  <c r="D1009" i="5"/>
  <c r="C1009" i="5"/>
  <c r="G1008" i="5"/>
  <c r="I1008" i="5" s="1"/>
  <c r="E1008" i="5"/>
  <c r="D1008" i="5"/>
  <c r="C1008" i="5"/>
  <c r="E1007" i="5"/>
  <c r="D1007" i="5"/>
  <c r="C1007" i="5"/>
  <c r="E1006" i="5"/>
  <c r="D1006" i="5"/>
  <c r="C1006" i="5"/>
  <c r="E1005" i="5"/>
  <c r="D1005" i="5"/>
  <c r="C1005" i="5"/>
  <c r="E1003" i="5"/>
  <c r="D1003" i="5"/>
  <c r="C1003" i="5"/>
  <c r="E1002" i="5"/>
  <c r="D1002" i="5"/>
  <c r="C1002" i="5"/>
  <c r="E1001" i="5"/>
  <c r="D1001" i="5"/>
  <c r="C1001" i="5"/>
  <c r="E1000" i="5"/>
  <c r="D1000" i="5"/>
  <c r="C1000" i="5"/>
  <c r="E999" i="5"/>
  <c r="D999" i="5"/>
  <c r="C999" i="5"/>
  <c r="E998" i="5"/>
  <c r="E997" i="5"/>
  <c r="E996" i="5"/>
  <c r="D996" i="5"/>
  <c r="C996" i="5"/>
  <c r="E995" i="5"/>
  <c r="D995" i="5"/>
  <c r="C995" i="5"/>
  <c r="E994" i="5"/>
  <c r="D994" i="5"/>
  <c r="C994" i="5"/>
  <c r="E993" i="5"/>
  <c r="D993" i="5"/>
  <c r="C993" i="5"/>
  <c r="E992" i="5"/>
  <c r="D992" i="5"/>
  <c r="C992" i="5"/>
  <c r="E991" i="5"/>
  <c r="D991" i="5"/>
  <c r="C991" i="5"/>
  <c r="E989" i="5"/>
  <c r="D989" i="5"/>
  <c r="C989" i="5"/>
  <c r="E988" i="5"/>
  <c r="D988" i="5"/>
  <c r="C988" i="5"/>
  <c r="E987" i="5"/>
  <c r="D987" i="5"/>
  <c r="C987" i="5"/>
  <c r="E986" i="5"/>
  <c r="D986" i="5"/>
  <c r="C986" i="5"/>
  <c r="E985" i="5"/>
  <c r="D985" i="5"/>
  <c r="C985" i="5"/>
  <c r="E984" i="5"/>
  <c r="E983" i="5"/>
  <c r="C983" i="5"/>
  <c r="E982" i="5"/>
  <c r="D982" i="5"/>
  <c r="C982" i="5"/>
  <c r="E981" i="5"/>
  <c r="D981" i="5"/>
  <c r="C981" i="5"/>
  <c r="E980" i="5"/>
  <c r="D980" i="5"/>
  <c r="C980" i="5"/>
  <c r="E979" i="5"/>
  <c r="D979" i="5"/>
  <c r="C979" i="5"/>
  <c r="E978" i="5"/>
  <c r="D978" i="5"/>
  <c r="C978" i="5"/>
  <c r="E977" i="5"/>
  <c r="D977" i="5"/>
  <c r="C977" i="5"/>
  <c r="E976" i="5"/>
  <c r="D976" i="5"/>
  <c r="C976" i="5"/>
  <c r="E974" i="5"/>
  <c r="D974" i="5"/>
  <c r="C974" i="5"/>
  <c r="E973" i="5"/>
  <c r="D973" i="5"/>
  <c r="C973" i="5"/>
  <c r="E972" i="5"/>
  <c r="D972" i="5"/>
  <c r="C972" i="5"/>
  <c r="E971" i="5"/>
  <c r="E970" i="5"/>
  <c r="D970" i="5"/>
  <c r="C970" i="5"/>
  <c r="E969" i="5"/>
  <c r="E968" i="5"/>
  <c r="D968" i="5"/>
  <c r="C968" i="5"/>
  <c r="E967" i="5"/>
  <c r="D967" i="5"/>
  <c r="C967" i="5"/>
  <c r="E965" i="5"/>
  <c r="D965" i="5"/>
  <c r="C965" i="5"/>
  <c r="E964" i="5"/>
  <c r="D964" i="5"/>
  <c r="C964" i="5"/>
  <c r="E963" i="5"/>
  <c r="D963" i="5"/>
  <c r="C963" i="5"/>
  <c r="E962" i="5"/>
  <c r="E961" i="5"/>
  <c r="D961" i="5"/>
  <c r="C961" i="5"/>
  <c r="E960" i="5"/>
  <c r="E959" i="5"/>
  <c r="D959" i="5"/>
  <c r="C959" i="5"/>
  <c r="E958" i="5"/>
  <c r="D958" i="5"/>
  <c r="C958" i="5"/>
  <c r="E956" i="5"/>
  <c r="D956" i="5"/>
  <c r="C956" i="5"/>
  <c r="E955" i="5"/>
  <c r="D955" i="5"/>
  <c r="C955" i="5"/>
  <c r="E954" i="5"/>
  <c r="D954" i="5"/>
  <c r="C954" i="5"/>
  <c r="E953" i="5"/>
  <c r="E952" i="5"/>
  <c r="D952" i="5"/>
  <c r="C952" i="5"/>
  <c r="E951" i="5"/>
  <c r="E950" i="5"/>
  <c r="D950" i="5"/>
  <c r="C950" i="5"/>
  <c r="E949" i="5"/>
  <c r="D949" i="5"/>
  <c r="C949" i="5"/>
  <c r="E948" i="5"/>
  <c r="E947" i="5"/>
  <c r="E946" i="5"/>
  <c r="D946" i="5"/>
  <c r="C946" i="5"/>
  <c r="E945" i="5"/>
  <c r="D945" i="5"/>
  <c r="C945" i="5"/>
  <c r="E943" i="5"/>
  <c r="D943" i="5"/>
  <c r="C943" i="5"/>
  <c r="E942" i="5"/>
  <c r="E941" i="5"/>
  <c r="E940" i="5"/>
  <c r="D940" i="5"/>
  <c r="C940" i="5"/>
  <c r="E939" i="5"/>
  <c r="C939" i="5"/>
  <c r="E938" i="5"/>
  <c r="D938" i="5"/>
  <c r="C938" i="5"/>
  <c r="E937" i="5"/>
  <c r="E936" i="5"/>
  <c r="D936" i="5"/>
  <c r="C936" i="5"/>
  <c r="E935" i="5"/>
  <c r="D935" i="5"/>
  <c r="C935" i="5"/>
  <c r="E933" i="5"/>
  <c r="D933" i="5"/>
  <c r="C933" i="5"/>
  <c r="E932" i="5"/>
  <c r="D932" i="5"/>
  <c r="C932" i="5"/>
  <c r="E931" i="5"/>
  <c r="D931" i="5"/>
  <c r="C931" i="5"/>
  <c r="E930" i="5"/>
  <c r="E929" i="5"/>
  <c r="C929" i="5"/>
  <c r="E928" i="5"/>
  <c r="E927" i="5"/>
  <c r="D927" i="5"/>
  <c r="C927" i="5"/>
  <c r="G926" i="5"/>
  <c r="I926" i="5" s="1"/>
  <c r="E926" i="5"/>
  <c r="D926" i="5"/>
  <c r="C926" i="5"/>
  <c r="E925" i="5"/>
  <c r="E924" i="5"/>
  <c r="D924" i="5"/>
  <c r="C924" i="5"/>
  <c r="E923" i="5"/>
  <c r="D923" i="5"/>
  <c r="C923" i="5"/>
  <c r="E921" i="5"/>
  <c r="D921" i="5"/>
  <c r="C921" i="5"/>
  <c r="E920" i="5"/>
  <c r="D920" i="5"/>
  <c r="C920" i="5"/>
  <c r="E919" i="5"/>
  <c r="D919" i="5"/>
  <c r="C919" i="5"/>
  <c r="E918" i="5"/>
  <c r="E917" i="5"/>
  <c r="D917" i="5"/>
  <c r="C917" i="5"/>
  <c r="E916" i="5"/>
  <c r="D916" i="5"/>
  <c r="C916" i="5"/>
  <c r="G915" i="5"/>
  <c r="I915" i="5" s="1"/>
  <c r="E915" i="5"/>
  <c r="D915" i="5"/>
  <c r="C915" i="5"/>
  <c r="E914" i="5"/>
  <c r="E913" i="5"/>
  <c r="D913" i="5"/>
  <c r="C913" i="5"/>
  <c r="E912" i="5"/>
  <c r="D912" i="5"/>
  <c r="C912" i="5"/>
  <c r="E910" i="5"/>
  <c r="D910" i="5"/>
  <c r="C910" i="5"/>
  <c r="E909" i="5"/>
  <c r="D909" i="5"/>
  <c r="C909" i="5"/>
  <c r="E908" i="5"/>
  <c r="D908" i="5"/>
  <c r="C908" i="5"/>
  <c r="E907" i="5"/>
  <c r="D907" i="5"/>
  <c r="C907" i="5"/>
  <c r="E906" i="5"/>
  <c r="E905" i="5"/>
  <c r="E904" i="5"/>
  <c r="D904" i="5"/>
  <c r="C904" i="5"/>
  <c r="E903" i="5"/>
  <c r="E902" i="5"/>
  <c r="D902" i="5"/>
  <c r="C902" i="5"/>
  <c r="E901" i="5"/>
  <c r="D901" i="5"/>
  <c r="C901" i="5"/>
  <c r="E900" i="5"/>
  <c r="D900" i="5"/>
  <c r="C900" i="5"/>
  <c r="E899" i="5"/>
  <c r="D899" i="5"/>
  <c r="C899" i="5"/>
  <c r="E898" i="5"/>
  <c r="D898" i="5"/>
  <c r="C898" i="5"/>
  <c r="E896" i="5"/>
  <c r="D896" i="5"/>
  <c r="C896" i="5"/>
  <c r="E895" i="5"/>
  <c r="D895" i="5"/>
  <c r="C895" i="5"/>
  <c r="E894" i="5"/>
  <c r="D894" i="5"/>
  <c r="C894" i="5"/>
  <c r="E893" i="5"/>
  <c r="D893" i="5"/>
  <c r="C893" i="5"/>
  <c r="E892" i="5"/>
  <c r="E891" i="5"/>
  <c r="E890" i="5"/>
  <c r="E889" i="5"/>
  <c r="E888" i="5"/>
  <c r="D888" i="5"/>
  <c r="C888" i="5"/>
  <c r="E887" i="5"/>
  <c r="D887" i="5"/>
  <c r="C887" i="5"/>
  <c r="E886" i="5"/>
  <c r="D886" i="5"/>
  <c r="C886" i="5"/>
  <c r="E885" i="5"/>
  <c r="D885" i="5"/>
  <c r="C885" i="5"/>
  <c r="E884" i="5"/>
  <c r="D884" i="5"/>
  <c r="C884" i="5"/>
  <c r="E882" i="5"/>
  <c r="D882" i="5"/>
  <c r="C882" i="5"/>
  <c r="E881" i="5"/>
  <c r="D881" i="5"/>
  <c r="C881" i="5"/>
  <c r="E880" i="5"/>
  <c r="E879" i="5"/>
  <c r="E878" i="5"/>
  <c r="E877" i="5"/>
  <c r="E876" i="5"/>
  <c r="D876" i="5"/>
  <c r="C876" i="5"/>
  <c r="E875" i="5"/>
  <c r="D875" i="5"/>
  <c r="C875" i="5"/>
  <c r="E874" i="5"/>
  <c r="D874" i="5"/>
  <c r="C874" i="5"/>
  <c r="E872" i="5"/>
  <c r="G872" i="5"/>
  <c r="D872" i="5"/>
  <c r="C872" i="5"/>
  <c r="E871" i="5"/>
  <c r="D871" i="5"/>
  <c r="C871" i="5"/>
  <c r="E870" i="5"/>
  <c r="D870" i="5"/>
  <c r="C870" i="5"/>
  <c r="E869" i="5"/>
  <c r="E868" i="5"/>
  <c r="E867" i="5"/>
  <c r="E866" i="5"/>
  <c r="E864" i="5"/>
  <c r="D864" i="5"/>
  <c r="C864" i="5"/>
  <c r="E863" i="5"/>
  <c r="D863" i="5"/>
  <c r="C863" i="5"/>
  <c r="E862" i="5"/>
  <c r="D862" i="5"/>
  <c r="C862" i="5"/>
  <c r="E861" i="5"/>
  <c r="E860" i="5"/>
  <c r="E859" i="5"/>
  <c r="E858" i="5"/>
  <c r="E856" i="5"/>
  <c r="D856" i="5"/>
  <c r="C856" i="5"/>
  <c r="E855" i="5"/>
  <c r="E854" i="5"/>
  <c r="E853" i="5"/>
  <c r="E852" i="5"/>
  <c r="E851" i="5"/>
  <c r="D851" i="5"/>
  <c r="C851" i="5"/>
  <c r="E850" i="5"/>
  <c r="D850" i="5"/>
  <c r="C850" i="5"/>
  <c r="E849" i="5"/>
  <c r="D849" i="5"/>
  <c r="C849" i="5"/>
  <c r="E847" i="5"/>
  <c r="D847" i="5"/>
  <c r="C847" i="5"/>
  <c r="E846" i="5"/>
  <c r="E845" i="5"/>
  <c r="E844" i="5"/>
  <c r="E843" i="5"/>
  <c r="E842" i="5"/>
  <c r="E841" i="5"/>
  <c r="D841" i="5"/>
  <c r="C841" i="5"/>
  <c r="E840" i="5"/>
  <c r="D840" i="5"/>
  <c r="C840" i="5"/>
  <c r="E839" i="5"/>
  <c r="D839" i="5"/>
  <c r="C839" i="5"/>
  <c r="E837" i="5"/>
  <c r="D837" i="5"/>
  <c r="C837" i="5"/>
  <c r="E836" i="5"/>
  <c r="D836" i="5"/>
  <c r="C836" i="5"/>
  <c r="E835" i="5"/>
  <c r="D835" i="5"/>
  <c r="C835" i="5"/>
  <c r="E834" i="5"/>
  <c r="D834" i="5"/>
  <c r="C834" i="5"/>
  <c r="E833" i="5"/>
  <c r="D833" i="5"/>
  <c r="C833" i="5"/>
  <c r="E832" i="5"/>
  <c r="E831" i="5"/>
  <c r="E830" i="5"/>
  <c r="E829" i="5"/>
  <c r="E828" i="5"/>
  <c r="E823" i="5"/>
  <c r="C823" i="5"/>
  <c r="C822" i="5"/>
  <c r="D821" i="5"/>
  <c r="C821" i="5"/>
  <c r="D820" i="5"/>
  <c r="C820" i="5"/>
  <c r="E819" i="5"/>
  <c r="E818" i="5"/>
  <c r="E817" i="5"/>
  <c r="E816" i="5"/>
  <c r="E815" i="5"/>
  <c r="E806" i="5"/>
  <c r="E805" i="5"/>
  <c r="E804" i="5"/>
  <c r="E803" i="5"/>
  <c r="E794" i="5"/>
  <c r="E793" i="5"/>
  <c r="G791" i="5"/>
  <c r="E802" i="5"/>
  <c r="C827" i="5"/>
  <c r="E827" i="5"/>
  <c r="D827" i="5"/>
  <c r="E826" i="5"/>
  <c r="C826" i="5"/>
  <c r="D826" i="5"/>
  <c r="E820" i="5"/>
  <c r="E821" i="5"/>
  <c r="E822" i="5"/>
  <c r="D822" i="5"/>
  <c r="D823" i="5"/>
  <c r="E824" i="5"/>
  <c r="C824" i="5"/>
  <c r="D824" i="5"/>
  <c r="D816" i="5"/>
  <c r="E814" i="5"/>
  <c r="C814" i="5"/>
  <c r="D814" i="5"/>
  <c r="E813" i="5"/>
  <c r="C813" i="5"/>
  <c r="D813" i="5"/>
  <c r="E811" i="5"/>
  <c r="C811" i="5"/>
  <c r="D811" i="5"/>
  <c r="E810" i="5"/>
  <c r="C810" i="5"/>
  <c r="D810" i="5"/>
  <c r="E809" i="5"/>
  <c r="C809" i="5"/>
  <c r="D809" i="5"/>
  <c r="E807" i="5"/>
  <c r="C807" i="5"/>
  <c r="D807" i="5"/>
  <c r="E808" i="5"/>
  <c r="C808" i="5"/>
  <c r="D808" i="5"/>
  <c r="E801" i="5"/>
  <c r="C801" i="5"/>
  <c r="D801" i="5"/>
  <c r="E800" i="5"/>
  <c r="C800" i="5"/>
  <c r="D800" i="5"/>
  <c r="E792" i="5"/>
  <c r="C792" i="5"/>
  <c r="D792" i="5"/>
  <c r="E791" i="5"/>
  <c r="C791" i="5"/>
  <c r="D791" i="5"/>
  <c r="E790" i="5"/>
  <c r="C790" i="5"/>
  <c r="D790" i="5"/>
  <c r="E796" i="5"/>
  <c r="C796" i="5"/>
  <c r="D796" i="5"/>
  <c r="C795" i="5"/>
  <c r="E795" i="5"/>
  <c r="D795" i="5"/>
  <c r="E798" i="5"/>
  <c r="C798" i="5"/>
  <c r="D798" i="5"/>
  <c r="E797" i="5"/>
  <c r="D797" i="5"/>
  <c r="C797" i="5"/>
  <c r="E789" i="5"/>
  <c r="D789" i="5"/>
  <c r="C789" i="5"/>
  <c r="E788" i="5"/>
  <c r="D788" i="5"/>
  <c r="C788" i="5"/>
  <c r="E787" i="5"/>
  <c r="D787" i="5"/>
  <c r="C787" i="5"/>
  <c r="E785" i="5"/>
  <c r="D785" i="5"/>
  <c r="C785" i="5"/>
  <c r="E784" i="5"/>
  <c r="D784" i="5"/>
  <c r="C784" i="5"/>
  <c r="E783" i="5"/>
  <c r="D783" i="5"/>
  <c r="C783" i="5"/>
  <c r="E782" i="5"/>
  <c r="D782" i="5"/>
  <c r="C782" i="5"/>
  <c r="E781" i="5"/>
  <c r="E780" i="5"/>
  <c r="E779" i="5"/>
  <c r="D779" i="5"/>
  <c r="C779" i="5"/>
  <c r="G778" i="5"/>
  <c r="I778" i="5" s="1"/>
  <c r="E778" i="5"/>
  <c r="D778" i="5"/>
  <c r="C778" i="5"/>
  <c r="G777" i="5"/>
  <c r="I777" i="5" s="1"/>
  <c r="E777" i="5"/>
  <c r="D777" i="5"/>
  <c r="C777" i="5"/>
  <c r="G776" i="5"/>
  <c r="I776" i="5" s="1"/>
  <c r="E776" i="5"/>
  <c r="D776" i="5"/>
  <c r="C776" i="5"/>
  <c r="E775" i="5"/>
  <c r="D775" i="5"/>
  <c r="C775" i="5"/>
  <c r="E774" i="5"/>
  <c r="D774" i="5"/>
  <c r="C774" i="5"/>
  <c r="E772" i="5"/>
  <c r="D772" i="5"/>
  <c r="C772" i="5"/>
  <c r="E771" i="5"/>
  <c r="D771" i="5"/>
  <c r="C771" i="5"/>
  <c r="E770" i="5"/>
  <c r="D770" i="5"/>
  <c r="C770" i="5"/>
  <c r="E769" i="5"/>
  <c r="E768" i="5"/>
  <c r="E767" i="5"/>
  <c r="D767" i="5"/>
  <c r="C767" i="5"/>
  <c r="G766" i="5"/>
  <c r="I766" i="5" s="1"/>
  <c r="E766" i="5"/>
  <c r="D766" i="5"/>
  <c r="C766" i="5"/>
  <c r="E765" i="5"/>
  <c r="D765" i="5"/>
  <c r="C765" i="5"/>
  <c r="E764" i="5"/>
  <c r="D764" i="5"/>
  <c r="C764" i="5"/>
  <c r="E763" i="5"/>
  <c r="D763" i="5"/>
  <c r="C763" i="5"/>
  <c r="E762" i="5"/>
  <c r="D762" i="5"/>
  <c r="C762" i="5"/>
  <c r="E761" i="5"/>
  <c r="D761" i="5"/>
  <c r="C761" i="5"/>
  <c r="E759" i="5"/>
  <c r="D759" i="5"/>
  <c r="C759" i="5"/>
  <c r="E758" i="5"/>
  <c r="D758" i="5"/>
  <c r="C758" i="5"/>
  <c r="E757" i="5"/>
  <c r="D757" i="5"/>
  <c r="C757" i="5"/>
  <c r="E756" i="5"/>
  <c r="E755" i="5"/>
  <c r="E754" i="5"/>
  <c r="D754" i="5"/>
  <c r="C754" i="5"/>
  <c r="E753" i="5"/>
  <c r="D753" i="5"/>
  <c r="C753" i="5"/>
  <c r="E752" i="5"/>
  <c r="D752" i="5"/>
  <c r="C752" i="5"/>
  <c r="E751" i="5"/>
  <c r="D751" i="5"/>
  <c r="C751" i="5"/>
  <c r="E750" i="5"/>
  <c r="D750" i="5"/>
  <c r="C750" i="5"/>
  <c r="E749" i="5"/>
  <c r="D749" i="5"/>
  <c r="C749" i="5"/>
  <c r="E747" i="5"/>
  <c r="D747" i="5"/>
  <c r="C747" i="5"/>
  <c r="E746" i="5"/>
  <c r="D746" i="5"/>
  <c r="C746" i="5"/>
  <c r="E745" i="5"/>
  <c r="D745" i="5"/>
  <c r="C745" i="5"/>
  <c r="E744" i="5"/>
  <c r="E743" i="5"/>
  <c r="E742" i="5"/>
  <c r="D742" i="5"/>
  <c r="C742" i="5"/>
  <c r="G741" i="5"/>
  <c r="I741" i="5" s="1"/>
  <c r="E741" i="5"/>
  <c r="D741" i="5"/>
  <c r="C741" i="5"/>
  <c r="E740" i="5"/>
  <c r="D740" i="5"/>
  <c r="C740" i="5"/>
  <c r="E739" i="5"/>
  <c r="D739" i="5"/>
  <c r="C739" i="5"/>
  <c r="E738" i="5"/>
  <c r="D738" i="5"/>
  <c r="C738" i="5"/>
  <c r="E737" i="5"/>
  <c r="D737" i="5"/>
  <c r="C737" i="5"/>
  <c r="E736" i="5"/>
  <c r="D736" i="5"/>
  <c r="C736" i="5"/>
  <c r="E724" i="5"/>
  <c r="D724" i="5"/>
  <c r="C724" i="5"/>
  <c r="E723" i="5"/>
  <c r="D723" i="5"/>
  <c r="C723" i="5"/>
  <c r="E722" i="5"/>
  <c r="D722" i="5"/>
  <c r="C722" i="5"/>
  <c r="E721" i="5"/>
  <c r="E720" i="5"/>
  <c r="E719" i="5"/>
  <c r="D719" i="5"/>
  <c r="C719" i="5"/>
  <c r="G718" i="5"/>
  <c r="I718" i="5" s="1"/>
  <c r="E718" i="5"/>
  <c r="D718" i="5"/>
  <c r="C718" i="5"/>
  <c r="E717" i="5"/>
  <c r="D717" i="5"/>
  <c r="C717" i="5"/>
  <c r="E716" i="5"/>
  <c r="D716" i="5"/>
  <c r="C716" i="5"/>
  <c r="E715" i="5"/>
  <c r="D715" i="5"/>
  <c r="C715" i="5"/>
  <c r="E713" i="5"/>
  <c r="D713" i="5"/>
  <c r="C713" i="5"/>
  <c r="E712" i="5"/>
  <c r="E711" i="5"/>
  <c r="E710" i="5"/>
  <c r="D710" i="5"/>
  <c r="C710" i="5"/>
  <c r="G709" i="5"/>
  <c r="I709" i="5" s="1"/>
  <c r="E709" i="5"/>
  <c r="D709" i="5"/>
  <c r="C709" i="5"/>
  <c r="E708" i="5"/>
  <c r="D708" i="5"/>
  <c r="C708" i="5"/>
  <c r="E707" i="5"/>
  <c r="D707" i="5"/>
  <c r="C707" i="5"/>
  <c r="E706" i="5"/>
  <c r="D706" i="5"/>
  <c r="C706" i="5"/>
  <c r="E705" i="5"/>
  <c r="D705" i="5"/>
  <c r="C705" i="5"/>
  <c r="E704" i="5"/>
  <c r="D704" i="5"/>
  <c r="C704" i="5"/>
  <c r="E702" i="5"/>
  <c r="D702" i="5"/>
  <c r="C702" i="5"/>
  <c r="E701" i="5"/>
  <c r="E700" i="5"/>
  <c r="E699" i="5"/>
  <c r="D699" i="5"/>
  <c r="C699" i="5"/>
  <c r="G698" i="5"/>
  <c r="I698" i="5" s="1"/>
  <c r="E698" i="5"/>
  <c r="D698" i="5"/>
  <c r="C698" i="5"/>
  <c r="E697" i="5"/>
  <c r="D697" i="5"/>
  <c r="C697" i="5"/>
  <c r="E696" i="5"/>
  <c r="D696" i="5"/>
  <c r="C696" i="5"/>
  <c r="E695" i="5"/>
  <c r="D695" i="5"/>
  <c r="C695" i="5"/>
  <c r="E693" i="5"/>
  <c r="D693" i="5"/>
  <c r="C693" i="5"/>
  <c r="E692" i="5"/>
  <c r="E691" i="5"/>
  <c r="E690" i="5"/>
  <c r="D690" i="5"/>
  <c r="C690" i="5"/>
  <c r="G689" i="5"/>
  <c r="I689" i="5" s="1"/>
  <c r="E689" i="5"/>
  <c r="D689" i="5"/>
  <c r="C689" i="5"/>
  <c r="E688" i="5"/>
  <c r="D688" i="5"/>
  <c r="C688" i="5"/>
  <c r="E687" i="5"/>
  <c r="D687" i="5"/>
  <c r="C687" i="5"/>
  <c r="E686" i="5"/>
  <c r="D686" i="5"/>
  <c r="C686" i="5"/>
  <c r="E684" i="5"/>
  <c r="D684" i="5"/>
  <c r="C684" i="5"/>
  <c r="E683" i="5"/>
  <c r="E682" i="5"/>
  <c r="E681" i="5"/>
  <c r="D681" i="5"/>
  <c r="C681" i="5"/>
  <c r="E680" i="5"/>
  <c r="D680" i="5"/>
  <c r="C680" i="5"/>
  <c r="E679" i="5"/>
  <c r="D679" i="5"/>
  <c r="C679" i="5"/>
  <c r="E678" i="5"/>
  <c r="D678" i="5"/>
  <c r="C678" i="5"/>
  <c r="E677" i="5"/>
  <c r="D677" i="5"/>
  <c r="C677" i="5"/>
  <c r="E675" i="5"/>
  <c r="D675" i="5"/>
  <c r="C675" i="5"/>
  <c r="E674" i="5"/>
  <c r="E672" i="5"/>
  <c r="E671" i="5"/>
  <c r="D671" i="5"/>
  <c r="C671" i="5"/>
  <c r="E670" i="5"/>
  <c r="D670" i="5"/>
  <c r="C670" i="5"/>
  <c r="E669" i="5"/>
  <c r="D669" i="5"/>
  <c r="C669" i="5"/>
  <c r="E668" i="5"/>
  <c r="D668" i="5"/>
  <c r="C668" i="5"/>
  <c r="E666" i="5"/>
  <c r="D666" i="5"/>
  <c r="C666" i="5"/>
  <c r="E665" i="5"/>
  <c r="E664" i="5"/>
  <c r="E663" i="5"/>
  <c r="D663" i="5"/>
  <c r="C663" i="5"/>
  <c r="E662" i="5"/>
  <c r="D662" i="5"/>
  <c r="C662" i="5"/>
  <c r="E661" i="5"/>
  <c r="D661" i="5"/>
  <c r="C661" i="5"/>
  <c r="E660" i="5"/>
  <c r="D660" i="5"/>
  <c r="C660" i="5"/>
  <c r="E658" i="5"/>
  <c r="D658" i="5"/>
  <c r="C658" i="5"/>
  <c r="E657" i="5"/>
  <c r="D657" i="5"/>
  <c r="C657" i="5"/>
  <c r="E656" i="5"/>
  <c r="E655" i="5"/>
  <c r="E654" i="5"/>
  <c r="E652" i="5"/>
  <c r="D652" i="5"/>
  <c r="C652" i="5"/>
  <c r="E651" i="5"/>
  <c r="D651" i="5"/>
  <c r="C651" i="5"/>
  <c r="E650" i="5"/>
  <c r="D650" i="5"/>
  <c r="C650" i="5"/>
  <c r="E649" i="5"/>
  <c r="E648" i="5"/>
  <c r="E646" i="5"/>
  <c r="D646" i="5"/>
  <c r="C646" i="5"/>
  <c r="E645" i="5"/>
  <c r="E644" i="5"/>
  <c r="E643" i="5"/>
  <c r="D643" i="5"/>
  <c r="C643" i="5"/>
  <c r="E642" i="5"/>
  <c r="D642" i="5"/>
  <c r="C642" i="5"/>
  <c r="E641" i="5"/>
  <c r="D641" i="5"/>
  <c r="C641" i="5"/>
  <c r="E639" i="5"/>
  <c r="D639" i="5"/>
  <c r="C639" i="5"/>
  <c r="E638" i="5"/>
  <c r="E637" i="5"/>
  <c r="E636" i="5"/>
  <c r="E634" i="5"/>
  <c r="D634" i="5"/>
  <c r="C634" i="5"/>
  <c r="E633" i="5"/>
  <c r="D633" i="5"/>
  <c r="C633" i="5"/>
  <c r="E632" i="5"/>
  <c r="D632" i="5"/>
  <c r="C632" i="5"/>
  <c r="E631" i="5"/>
  <c r="D631" i="5"/>
  <c r="C631" i="5"/>
  <c r="E630" i="5"/>
  <c r="D630" i="5"/>
  <c r="C630" i="5"/>
  <c r="E628" i="5"/>
  <c r="D628" i="5"/>
  <c r="C628" i="5"/>
  <c r="E627" i="5"/>
  <c r="E626" i="5"/>
  <c r="E625" i="5"/>
  <c r="E624" i="5"/>
  <c r="E623" i="5"/>
  <c r="D623" i="5"/>
  <c r="C623" i="5"/>
  <c r="E622" i="5"/>
  <c r="D622" i="5"/>
  <c r="C622" i="5"/>
  <c r="E621" i="5"/>
  <c r="D621" i="5"/>
  <c r="C621" i="5"/>
  <c r="E620" i="5"/>
  <c r="D620" i="5"/>
  <c r="C620" i="5"/>
  <c r="E619" i="5"/>
  <c r="D619" i="5"/>
  <c r="C619" i="5"/>
  <c r="E617" i="5"/>
  <c r="D617" i="5"/>
  <c r="C617" i="5"/>
  <c r="E616" i="5"/>
  <c r="E615" i="5"/>
  <c r="E614" i="5"/>
  <c r="E613" i="5"/>
  <c r="E612" i="5"/>
  <c r="E611" i="5"/>
  <c r="D611" i="5"/>
  <c r="C611" i="5"/>
  <c r="G610" i="5"/>
  <c r="I610" i="5" s="1"/>
  <c r="D610" i="5"/>
  <c r="C610" i="5"/>
  <c r="E608" i="5"/>
  <c r="D608" i="5"/>
  <c r="C608" i="5"/>
  <c r="E607" i="5"/>
  <c r="E606" i="5"/>
  <c r="E605" i="5"/>
  <c r="E604" i="5"/>
  <c r="E603" i="5"/>
  <c r="D603" i="5"/>
  <c r="C603" i="5"/>
  <c r="E602" i="5"/>
  <c r="D602" i="5"/>
  <c r="C602" i="5"/>
  <c r="E601" i="5"/>
  <c r="D601" i="5"/>
  <c r="C601" i="5"/>
  <c r="E600" i="5"/>
  <c r="C600" i="5"/>
  <c r="E599" i="5"/>
  <c r="D599" i="5"/>
  <c r="C599" i="5"/>
  <c r="E597" i="5"/>
  <c r="D597" i="5"/>
  <c r="C597" i="5"/>
  <c r="E596" i="5"/>
  <c r="D596" i="5"/>
  <c r="C596" i="5"/>
  <c r="E595" i="5"/>
  <c r="E594" i="5"/>
  <c r="E592" i="5"/>
  <c r="D592" i="5"/>
  <c r="C592" i="5"/>
  <c r="E591" i="5"/>
  <c r="E589" i="5"/>
  <c r="D589" i="5"/>
  <c r="C589" i="5"/>
  <c r="E588" i="5"/>
  <c r="D588" i="5"/>
  <c r="C588" i="5"/>
  <c r="E5354" i="5"/>
  <c r="D5354" i="5"/>
  <c r="C5354" i="5"/>
  <c r="E584" i="5"/>
  <c r="E5353" i="5" s="1"/>
  <c r="E583" i="5"/>
  <c r="D583" i="5"/>
  <c r="C583" i="5"/>
  <c r="E582" i="5"/>
  <c r="E5349" i="5" s="1"/>
  <c r="D582" i="5"/>
  <c r="C582" i="5"/>
  <c r="E580" i="5"/>
  <c r="D580" i="5"/>
  <c r="C580" i="5"/>
  <c r="E579" i="5"/>
  <c r="E577" i="5"/>
  <c r="D577" i="5"/>
  <c r="C577" i="5"/>
  <c r="E576" i="5"/>
  <c r="D576" i="5"/>
  <c r="C576" i="5"/>
  <c r="E575" i="5"/>
  <c r="D575" i="5"/>
  <c r="C575" i="5"/>
  <c r="E573" i="5"/>
  <c r="E572" i="5"/>
  <c r="D572" i="5"/>
  <c r="C572" i="5"/>
  <c r="E570" i="5"/>
  <c r="D570" i="5"/>
  <c r="C570" i="5"/>
  <c r="E569" i="5"/>
  <c r="D569" i="5"/>
  <c r="C569" i="5"/>
  <c r="E568" i="5"/>
  <c r="E566" i="5"/>
  <c r="D566" i="5"/>
  <c r="C566" i="5"/>
  <c r="E565" i="5"/>
  <c r="D565" i="5"/>
  <c r="C565" i="5"/>
  <c r="E564" i="5"/>
  <c r="D564" i="5"/>
  <c r="C564" i="5"/>
  <c r="E563" i="5"/>
  <c r="D563" i="5"/>
  <c r="C563" i="5"/>
  <c r="E561" i="5"/>
  <c r="D561" i="5"/>
  <c r="C561" i="5"/>
  <c r="E560" i="5"/>
  <c r="D560" i="5"/>
  <c r="C560" i="5"/>
  <c r="E559" i="5"/>
  <c r="E557" i="5"/>
  <c r="D557" i="5"/>
  <c r="C557" i="5"/>
  <c r="E556" i="5"/>
  <c r="D556" i="5"/>
  <c r="C556" i="5"/>
  <c r="E555" i="5"/>
  <c r="D555" i="5"/>
  <c r="C555" i="5"/>
  <c r="E554" i="5"/>
  <c r="D554" i="5"/>
  <c r="C554" i="5"/>
  <c r="E552" i="5"/>
  <c r="D552" i="5"/>
  <c r="C552" i="5"/>
  <c r="E551" i="5"/>
  <c r="D551" i="5"/>
  <c r="C551" i="5"/>
  <c r="E550" i="5"/>
  <c r="E548" i="5"/>
  <c r="D548" i="5"/>
  <c r="C548" i="5"/>
  <c r="E547" i="5"/>
  <c r="D547" i="5"/>
  <c r="C547" i="5"/>
  <c r="E546" i="5"/>
  <c r="D546" i="5"/>
  <c r="C546" i="5"/>
  <c r="E545" i="5"/>
  <c r="D545" i="5"/>
  <c r="C545" i="5"/>
  <c r="E543" i="5"/>
  <c r="D543" i="5"/>
  <c r="C543" i="5"/>
  <c r="E542" i="5"/>
  <c r="D542" i="5"/>
  <c r="C542" i="5"/>
  <c r="E541" i="5"/>
  <c r="E539" i="5"/>
  <c r="D539" i="5"/>
  <c r="C539" i="5"/>
  <c r="E538" i="5"/>
  <c r="D538" i="5"/>
  <c r="C538" i="5"/>
  <c r="E537" i="5"/>
  <c r="D537" i="5"/>
  <c r="C537" i="5"/>
  <c r="E536" i="5"/>
  <c r="D536" i="5"/>
  <c r="C536" i="5"/>
  <c r="E534" i="5"/>
  <c r="D534" i="5"/>
  <c r="C534" i="5"/>
  <c r="E533" i="5"/>
  <c r="D533" i="5"/>
  <c r="C533" i="5"/>
  <c r="E532" i="5"/>
  <c r="E530" i="5"/>
  <c r="D530" i="5"/>
  <c r="C530" i="5"/>
  <c r="E529" i="5"/>
  <c r="D529" i="5"/>
  <c r="C529" i="5"/>
  <c r="E528" i="5"/>
  <c r="E526" i="5"/>
  <c r="D526" i="5"/>
  <c r="C526" i="5"/>
  <c r="E525" i="5"/>
  <c r="D525" i="5"/>
  <c r="C525" i="5"/>
  <c r="E524" i="5"/>
  <c r="D524" i="5"/>
  <c r="C524" i="5"/>
  <c r="E523" i="5"/>
  <c r="E521" i="5"/>
  <c r="D521" i="5"/>
  <c r="C521" i="5"/>
  <c r="E520" i="5"/>
  <c r="D520" i="5"/>
  <c r="C520" i="5"/>
  <c r="E519" i="5"/>
  <c r="E517" i="5"/>
  <c r="D517" i="5"/>
  <c r="C517" i="5"/>
  <c r="E516" i="5"/>
  <c r="D516" i="5"/>
  <c r="C516" i="5"/>
  <c r="E515" i="5"/>
  <c r="E513" i="5"/>
  <c r="D513" i="5"/>
  <c r="C513" i="5"/>
  <c r="E512" i="5"/>
  <c r="D512" i="5"/>
  <c r="C512" i="5"/>
  <c r="E511" i="5"/>
  <c r="E509" i="5"/>
  <c r="D509" i="5"/>
  <c r="C509" i="5"/>
  <c r="E508" i="5"/>
  <c r="E507" i="5"/>
  <c r="D507" i="5"/>
  <c r="C507" i="5"/>
  <c r="E506" i="5"/>
  <c r="D506" i="5"/>
  <c r="C506" i="5"/>
  <c r="E504" i="5"/>
  <c r="D504" i="5"/>
  <c r="C504" i="5"/>
  <c r="E503" i="5"/>
  <c r="E501" i="5"/>
  <c r="D501" i="5"/>
  <c r="C501" i="5"/>
  <c r="E500" i="5"/>
  <c r="E499" i="5"/>
  <c r="D499" i="5"/>
  <c r="C499" i="5"/>
  <c r="C497" i="5"/>
  <c r="D497" i="5"/>
  <c r="E497" i="5"/>
  <c r="E496" i="5"/>
  <c r="E494" i="5"/>
  <c r="E489" i="5"/>
  <c r="D489" i="5"/>
  <c r="C489" i="5"/>
  <c r="E487" i="5"/>
  <c r="E486" i="5"/>
  <c r="E484" i="5"/>
  <c r="D484" i="5"/>
  <c r="C484" i="5"/>
  <c r="E483" i="5"/>
  <c r="E482" i="5"/>
  <c r="E480" i="5"/>
  <c r="D480" i="5"/>
  <c r="C480" i="5"/>
  <c r="E479" i="5"/>
  <c r="D479" i="5"/>
  <c r="C479" i="5"/>
  <c r="E478" i="5"/>
  <c r="E477" i="5"/>
  <c r="E476" i="5"/>
  <c r="C476" i="5"/>
  <c r="E475" i="5"/>
  <c r="D475" i="5"/>
  <c r="C475" i="5"/>
  <c r="E473" i="5"/>
  <c r="D473" i="5"/>
  <c r="C473" i="5"/>
  <c r="E472" i="5"/>
  <c r="D472" i="5"/>
  <c r="C472" i="5"/>
  <c r="E471" i="5"/>
  <c r="E470" i="5"/>
  <c r="D470" i="5"/>
  <c r="C470" i="5"/>
  <c r="E469" i="5"/>
  <c r="C469" i="5"/>
  <c r="E468" i="5"/>
  <c r="D468" i="5"/>
  <c r="C468" i="5"/>
  <c r="E466" i="5"/>
  <c r="D466" i="5"/>
  <c r="C466" i="5"/>
  <c r="E465" i="5"/>
  <c r="E464" i="5"/>
  <c r="D464" i="5"/>
  <c r="C464" i="5"/>
  <c r="E463" i="5"/>
  <c r="D463" i="5"/>
  <c r="C463" i="5"/>
  <c r="E461" i="5"/>
  <c r="D461" i="5"/>
  <c r="C461" i="5"/>
  <c r="E460" i="5"/>
  <c r="E459" i="5"/>
  <c r="D459" i="5"/>
  <c r="C459" i="5"/>
  <c r="E458" i="5"/>
  <c r="D458" i="5"/>
  <c r="C458" i="5"/>
  <c r="E456" i="5"/>
  <c r="D456" i="5"/>
  <c r="C456" i="5"/>
  <c r="E455" i="5"/>
  <c r="E454" i="5"/>
  <c r="D454" i="5"/>
  <c r="C454" i="5"/>
  <c r="E453" i="5"/>
  <c r="D453" i="5"/>
  <c r="C453" i="5"/>
  <c r="E451" i="5"/>
  <c r="D451" i="5"/>
  <c r="C451" i="5"/>
  <c r="E450" i="5"/>
  <c r="D450" i="5"/>
  <c r="C450" i="5"/>
  <c r="E449" i="5"/>
  <c r="D449" i="5"/>
  <c r="C449" i="5"/>
  <c r="E448" i="5"/>
  <c r="E447" i="5"/>
  <c r="E446" i="5"/>
  <c r="E445" i="5"/>
  <c r="E444" i="5"/>
  <c r="E443" i="5"/>
  <c r="D443" i="5"/>
  <c r="C443" i="5"/>
  <c r="E442" i="5"/>
  <c r="D442" i="5"/>
  <c r="C442" i="5"/>
  <c r="E441" i="5"/>
  <c r="D441" i="5"/>
  <c r="C441" i="5"/>
  <c r="E440" i="5"/>
  <c r="D440" i="5"/>
  <c r="C440" i="5"/>
  <c r="E439" i="5"/>
  <c r="D439" i="5"/>
  <c r="C439" i="5"/>
  <c r="E438" i="5"/>
  <c r="D438" i="5"/>
  <c r="C438" i="5"/>
  <c r="E437" i="5"/>
  <c r="D437" i="5"/>
  <c r="C437" i="5"/>
  <c r="E435" i="5"/>
  <c r="E434" i="5"/>
  <c r="D434" i="5"/>
  <c r="C434" i="5"/>
  <c r="E432" i="5"/>
  <c r="D432" i="5"/>
  <c r="C432" i="5"/>
  <c r="E431" i="5"/>
  <c r="D431" i="5"/>
  <c r="C431" i="5"/>
  <c r="E430" i="5"/>
  <c r="E228" i="5" s="1"/>
  <c r="E428" i="5"/>
  <c r="D428" i="5"/>
  <c r="C428" i="5"/>
  <c r="E427" i="5"/>
  <c r="E426" i="5"/>
  <c r="E425" i="5"/>
  <c r="D425" i="5"/>
  <c r="C425" i="5"/>
  <c r="E423" i="5"/>
  <c r="E422" i="5"/>
  <c r="D422" i="5"/>
  <c r="C422" i="5"/>
  <c r="E421" i="5"/>
  <c r="D421" i="5"/>
  <c r="C421" i="5"/>
  <c r="E420" i="5"/>
  <c r="D420" i="5"/>
  <c r="C420" i="5"/>
  <c r="E418" i="5"/>
  <c r="D418" i="5"/>
  <c r="C418" i="5"/>
  <c r="E416" i="5"/>
  <c r="D416" i="5"/>
  <c r="C416" i="5"/>
  <c r="E415" i="5"/>
  <c r="D415" i="5"/>
  <c r="C415" i="5"/>
  <c r="E414" i="5"/>
  <c r="D414" i="5"/>
  <c r="C414" i="5"/>
  <c r="E413" i="5"/>
  <c r="E411" i="5"/>
  <c r="E410" i="5"/>
  <c r="D410" i="5"/>
  <c r="C410" i="5"/>
  <c r="E408" i="5"/>
  <c r="E407" i="5"/>
  <c r="E406" i="5"/>
  <c r="D406" i="5"/>
  <c r="C406" i="5"/>
  <c r="E404" i="5"/>
  <c r="D404" i="5"/>
  <c r="C404" i="5"/>
  <c r="E403" i="5"/>
  <c r="E402" i="5"/>
  <c r="E395" i="5"/>
  <c r="D395" i="5"/>
  <c r="C395" i="5"/>
  <c r="E394" i="5"/>
  <c r="D394" i="5"/>
  <c r="C394" i="5"/>
  <c r="E393" i="5"/>
  <c r="D393" i="5"/>
  <c r="C393" i="5"/>
  <c r="E392" i="5"/>
  <c r="E391" i="5"/>
  <c r="E390" i="5"/>
  <c r="E389" i="5"/>
  <c r="D389" i="5"/>
  <c r="C389" i="5"/>
  <c r="E388" i="5"/>
  <c r="D388" i="5"/>
  <c r="C388" i="5"/>
  <c r="E387" i="5"/>
  <c r="D387" i="5"/>
  <c r="C387" i="5"/>
  <c r="E386" i="5"/>
  <c r="D386" i="5"/>
  <c r="C386" i="5"/>
  <c r="E385" i="5"/>
  <c r="D385" i="5"/>
  <c r="C385" i="5"/>
  <c r="E384" i="5"/>
  <c r="D384" i="5"/>
  <c r="C384" i="5"/>
  <c r="E383" i="5"/>
  <c r="D383" i="5"/>
  <c r="C383" i="5"/>
  <c r="E381" i="5"/>
  <c r="D381" i="5"/>
  <c r="C381" i="5"/>
  <c r="E380" i="5"/>
  <c r="D380" i="5"/>
  <c r="C380" i="5"/>
  <c r="E379" i="5"/>
  <c r="D379" i="5"/>
  <c r="C379" i="5"/>
  <c r="E378" i="5"/>
  <c r="D378" i="5"/>
  <c r="C378" i="5"/>
  <c r="E377" i="5"/>
  <c r="D377" i="5"/>
  <c r="C377" i="5"/>
  <c r="E374" i="5"/>
  <c r="E373" i="5"/>
  <c r="E371" i="5"/>
  <c r="D371" i="5"/>
  <c r="C371" i="5"/>
  <c r="E370" i="5"/>
  <c r="D370" i="5"/>
  <c r="C370" i="5"/>
  <c r="E369" i="5"/>
  <c r="D369" i="5"/>
  <c r="C369" i="5"/>
  <c r="E368" i="5"/>
  <c r="D368" i="5"/>
  <c r="C368" i="5"/>
  <c r="E367" i="5"/>
  <c r="D367" i="5"/>
  <c r="C367" i="5"/>
  <c r="E365" i="5"/>
  <c r="D365" i="5"/>
  <c r="C365" i="5"/>
  <c r="E364" i="5"/>
  <c r="E363" i="5"/>
  <c r="D363" i="5"/>
  <c r="C363" i="5"/>
  <c r="E362" i="5"/>
  <c r="D362" i="5"/>
  <c r="C362" i="5"/>
  <c r="E360" i="5"/>
  <c r="D360" i="5"/>
  <c r="C360" i="5"/>
  <c r="E359" i="5"/>
  <c r="E358" i="5"/>
  <c r="E357" i="5"/>
  <c r="D357" i="5"/>
  <c r="C357" i="5"/>
  <c r="E356" i="5"/>
  <c r="D356" i="5"/>
  <c r="C356" i="5"/>
  <c r="E354" i="5"/>
  <c r="D354" i="5"/>
  <c r="C354" i="5"/>
  <c r="E353" i="5"/>
  <c r="E352" i="5"/>
  <c r="E351" i="5"/>
  <c r="E350" i="5"/>
  <c r="D350" i="5"/>
  <c r="C350" i="5"/>
  <c r="E348" i="5"/>
  <c r="D348" i="5"/>
  <c r="C348" i="5"/>
  <c r="E347" i="5"/>
  <c r="D347" i="5"/>
  <c r="C347" i="5"/>
  <c r="E346" i="5"/>
  <c r="D346" i="5"/>
  <c r="C346" i="5"/>
  <c r="E344" i="5"/>
  <c r="D344" i="5"/>
  <c r="C344" i="5"/>
  <c r="E342" i="5"/>
  <c r="E341" i="5"/>
  <c r="E339" i="5"/>
  <c r="D339" i="5"/>
  <c r="C339" i="5"/>
  <c r="E337" i="5"/>
  <c r="D337" i="5"/>
  <c r="C337" i="5"/>
  <c r="E335" i="5"/>
  <c r="C335" i="5"/>
  <c r="E333" i="5"/>
  <c r="E332" i="5"/>
  <c r="E330" i="5"/>
  <c r="D330" i="5"/>
  <c r="C330" i="5"/>
  <c r="E329" i="5"/>
  <c r="D329" i="5"/>
  <c r="C329" i="5"/>
  <c r="E328" i="5"/>
  <c r="D328" i="5"/>
  <c r="C328" i="5"/>
  <c r="E327" i="5"/>
  <c r="D327" i="5"/>
  <c r="C327" i="5"/>
  <c r="E325" i="5"/>
  <c r="D325" i="5"/>
  <c r="C325" i="5"/>
  <c r="E324" i="5"/>
  <c r="D324" i="5"/>
  <c r="C324" i="5"/>
  <c r="E323" i="5"/>
  <c r="D323" i="5"/>
  <c r="C323" i="5"/>
  <c r="E322" i="5"/>
  <c r="D322" i="5"/>
  <c r="C322" i="5"/>
  <c r="E321" i="5"/>
  <c r="E320" i="5"/>
  <c r="E319" i="5"/>
  <c r="D319" i="5"/>
  <c r="C319" i="5"/>
  <c r="E317" i="5"/>
  <c r="D317" i="5"/>
  <c r="C317" i="5"/>
  <c r="E316" i="5"/>
  <c r="D316" i="5"/>
  <c r="C316" i="5"/>
  <c r="E315" i="5"/>
  <c r="D315" i="5"/>
  <c r="C315" i="5"/>
  <c r="E314" i="5"/>
  <c r="D314" i="5"/>
  <c r="C314" i="5"/>
  <c r="E313" i="5"/>
  <c r="E312" i="5"/>
  <c r="E311" i="5"/>
  <c r="D311" i="5"/>
  <c r="C311" i="5"/>
  <c r="E309" i="5"/>
  <c r="D309" i="5"/>
  <c r="C309" i="5"/>
  <c r="E308" i="5"/>
  <c r="D308" i="5"/>
  <c r="C308" i="5"/>
  <c r="E307" i="5"/>
  <c r="D307" i="5"/>
  <c r="C307" i="5"/>
  <c r="E306" i="5"/>
  <c r="D306" i="5"/>
  <c r="C306" i="5"/>
  <c r="E305" i="5"/>
  <c r="E304" i="5"/>
  <c r="E303" i="5"/>
  <c r="D303" i="5"/>
  <c r="C303" i="5"/>
  <c r="E301" i="5"/>
  <c r="D301" i="5"/>
  <c r="C301" i="5"/>
  <c r="E300" i="5"/>
  <c r="D300" i="5"/>
  <c r="C300" i="5"/>
  <c r="E299" i="5"/>
  <c r="E298" i="5"/>
  <c r="E297" i="5"/>
  <c r="E296" i="5"/>
  <c r="E295" i="5"/>
  <c r="E294" i="5"/>
  <c r="D294" i="5"/>
  <c r="C294" i="5"/>
  <c r="E292" i="5"/>
  <c r="D292" i="5"/>
  <c r="E286" i="5"/>
  <c r="D286" i="5"/>
  <c r="C292" i="5"/>
  <c r="E291" i="5"/>
  <c r="D291" i="5"/>
  <c r="C291" i="5"/>
  <c r="E290" i="5"/>
  <c r="D290" i="5"/>
  <c r="C290" i="5"/>
  <c r="E289" i="5"/>
  <c r="E288" i="5"/>
  <c r="C286" i="5"/>
  <c r="E285" i="5"/>
  <c r="D285" i="5"/>
  <c r="C285" i="5"/>
  <c r="E284" i="5"/>
  <c r="D284" i="5"/>
  <c r="C284" i="5"/>
  <c r="E283" i="5"/>
  <c r="D283" i="5"/>
  <c r="C283" i="5"/>
  <c r="E282" i="5"/>
  <c r="D282" i="5"/>
  <c r="C282" i="5"/>
  <c r="E281" i="5"/>
  <c r="D281" i="5"/>
  <c r="C281" i="5"/>
  <c r="E279" i="5"/>
  <c r="D279" i="5"/>
  <c r="C279" i="5"/>
  <c r="E278" i="5"/>
  <c r="D278" i="5"/>
  <c r="C278" i="5"/>
  <c r="E277" i="5"/>
  <c r="D277" i="5"/>
  <c r="C277" i="5"/>
  <c r="E276" i="5"/>
  <c r="D276" i="5"/>
  <c r="C276" i="5"/>
  <c r="E275" i="5"/>
  <c r="D275" i="5"/>
  <c r="C275" i="5"/>
  <c r="E274" i="5"/>
  <c r="D274" i="5"/>
  <c r="C274" i="5"/>
  <c r="E272" i="5"/>
  <c r="D272" i="5"/>
  <c r="C272" i="5"/>
  <c r="E271" i="5"/>
  <c r="D271" i="5"/>
  <c r="C271" i="5"/>
  <c r="E270" i="5"/>
  <c r="D270" i="5"/>
  <c r="C270" i="5"/>
  <c r="E269" i="5"/>
  <c r="D269" i="5"/>
  <c r="C269" i="5"/>
  <c r="E265" i="5"/>
  <c r="D265" i="5"/>
  <c r="C265" i="5"/>
  <c r="E264" i="5"/>
  <c r="D264" i="5"/>
  <c r="C264" i="5"/>
  <c r="E263" i="5"/>
  <c r="D263" i="5"/>
  <c r="C263" i="5"/>
  <c r="E262" i="5"/>
  <c r="E261" i="5"/>
  <c r="E260" i="5"/>
  <c r="E259" i="5"/>
  <c r="D259" i="5"/>
  <c r="C259" i="5"/>
  <c r="E257" i="5"/>
  <c r="D257" i="5"/>
  <c r="C257" i="5"/>
  <c r="E256" i="5"/>
  <c r="D256" i="5"/>
  <c r="C256" i="5"/>
  <c r="E255" i="5"/>
  <c r="D255" i="5"/>
  <c r="C255" i="5"/>
  <c r="E254" i="5"/>
  <c r="E241" i="5"/>
  <c r="D241" i="5"/>
  <c r="C241" i="5"/>
  <c r="E240" i="5"/>
  <c r="D240" i="5"/>
  <c r="C240" i="5"/>
  <c r="E239" i="5"/>
  <c r="D239" i="5"/>
  <c r="C239" i="5"/>
  <c r="E238" i="5"/>
  <c r="D238" i="5"/>
  <c r="C238" i="5"/>
  <c r="E237" i="5"/>
  <c r="D237" i="5"/>
  <c r="C237" i="5"/>
  <c r="E236" i="5"/>
  <c r="E235" i="5"/>
  <c r="E234" i="5"/>
  <c r="D234" i="5"/>
  <c r="C234" i="5"/>
  <c r="E233" i="5"/>
  <c r="D233" i="5"/>
  <c r="C233" i="5"/>
  <c r="E232" i="5"/>
  <c r="D232" i="5"/>
  <c r="C232" i="5"/>
  <c r="E226" i="5"/>
  <c r="D226" i="5"/>
  <c r="C226" i="5"/>
  <c r="E225" i="5"/>
  <c r="D225" i="5"/>
  <c r="C225" i="5"/>
  <c r="E224" i="5"/>
  <c r="D224" i="5"/>
  <c r="C224" i="5"/>
  <c r="E223" i="5"/>
  <c r="D223" i="5"/>
  <c r="C223" i="5"/>
  <c r="E222" i="5"/>
  <c r="E221" i="5"/>
  <c r="D221" i="5"/>
  <c r="C221" i="5"/>
  <c r="E220" i="5"/>
  <c r="D220" i="5"/>
  <c r="C220" i="5"/>
  <c r="E219" i="5"/>
  <c r="D219" i="5"/>
  <c r="C219" i="5"/>
  <c r="E217" i="5"/>
  <c r="E216" i="5"/>
  <c r="D216" i="5"/>
  <c r="C216" i="5"/>
  <c r="E215" i="5"/>
  <c r="E213" i="5"/>
  <c r="D213" i="5"/>
  <c r="C213" i="5"/>
  <c r="E212" i="5"/>
  <c r="E211" i="5"/>
  <c r="E209" i="5"/>
  <c r="D209" i="5"/>
  <c r="C209" i="5"/>
  <c r="E206" i="5"/>
  <c r="D206" i="5"/>
  <c r="C206" i="5"/>
  <c r="E205" i="5"/>
  <c r="D205" i="5"/>
  <c r="C205" i="5"/>
  <c r="E204" i="5"/>
  <c r="D204" i="5"/>
  <c r="C204" i="5"/>
  <c r="E202" i="5"/>
  <c r="D202" i="5"/>
  <c r="C202" i="5"/>
  <c r="E200" i="5"/>
  <c r="D200" i="5"/>
  <c r="C200" i="5"/>
  <c r="E199" i="5"/>
  <c r="D199" i="5"/>
  <c r="C199" i="5"/>
  <c r="E198" i="5"/>
  <c r="E196" i="5"/>
  <c r="D196" i="5"/>
  <c r="C196" i="5"/>
  <c r="E194" i="5"/>
  <c r="D194" i="5"/>
  <c r="C194" i="5"/>
  <c r="E193" i="5"/>
  <c r="D193" i="5"/>
  <c r="C193" i="5"/>
  <c r="E192" i="5"/>
  <c r="E185" i="5"/>
  <c r="D185" i="5"/>
  <c r="C185" i="5"/>
  <c r="E183" i="5"/>
  <c r="D183" i="5"/>
  <c r="C183" i="5"/>
  <c r="E182" i="5"/>
  <c r="D182" i="5"/>
  <c r="C182" i="5"/>
  <c r="E181" i="5"/>
  <c r="D181" i="5"/>
  <c r="C181" i="5"/>
  <c r="E180" i="5"/>
  <c r="E178" i="5"/>
  <c r="D178" i="5"/>
  <c r="C178" i="5"/>
  <c r="E176" i="5"/>
  <c r="D176" i="5"/>
  <c r="C176" i="5"/>
  <c r="E175" i="5"/>
  <c r="D175" i="5"/>
  <c r="C175" i="5"/>
  <c r="E174" i="5"/>
  <c r="D174" i="5"/>
  <c r="C174" i="5"/>
  <c r="E173" i="5"/>
  <c r="E171" i="5"/>
  <c r="D171" i="5"/>
  <c r="C171" i="5"/>
  <c r="E170" i="5"/>
  <c r="D170" i="5"/>
  <c r="C170" i="5"/>
  <c r="E169" i="5"/>
  <c r="D169" i="5"/>
  <c r="C169" i="5"/>
  <c r="E168" i="5"/>
  <c r="E166" i="5"/>
  <c r="D166" i="5"/>
  <c r="C166" i="5"/>
  <c r="E164" i="5"/>
  <c r="D164" i="5"/>
  <c r="C164" i="5"/>
  <c r="E163" i="5"/>
  <c r="D163" i="5"/>
  <c r="C163" i="5"/>
  <c r="E162" i="5"/>
  <c r="D162" i="5"/>
  <c r="C162" i="5"/>
  <c r="E160" i="5"/>
  <c r="D160" i="5"/>
  <c r="C160" i="5"/>
  <c r="E158" i="5"/>
  <c r="D158" i="5"/>
  <c r="C158" i="5"/>
  <c r="E157" i="5"/>
  <c r="D157" i="5"/>
  <c r="C157" i="5"/>
  <c r="E156" i="5"/>
  <c r="E154" i="5"/>
  <c r="D154" i="5"/>
  <c r="C154" i="5"/>
  <c r="E153" i="5"/>
  <c r="D153" i="5"/>
  <c r="C153" i="5"/>
  <c r="E152" i="5"/>
  <c r="D152" i="5"/>
  <c r="C152" i="5"/>
  <c r="E150" i="5"/>
  <c r="D150" i="5"/>
  <c r="C150" i="5"/>
  <c r="E149" i="5"/>
  <c r="D149" i="5"/>
  <c r="C149" i="5"/>
  <c r="E147" i="5"/>
  <c r="D147" i="5"/>
  <c r="C147" i="5"/>
  <c r="E146" i="5"/>
  <c r="D146" i="5"/>
  <c r="C146" i="5"/>
  <c r="E145" i="5"/>
  <c r="D145" i="5"/>
  <c r="C145" i="5"/>
  <c r="E143" i="5"/>
  <c r="D143" i="5"/>
  <c r="C143" i="5"/>
  <c r="E142" i="5"/>
  <c r="D142" i="5"/>
  <c r="C142" i="5"/>
  <c r="E140" i="5"/>
  <c r="D140" i="5"/>
  <c r="C140" i="5"/>
  <c r="E139" i="5"/>
  <c r="D139" i="5"/>
  <c r="C139" i="5"/>
  <c r="E138" i="5"/>
  <c r="D138" i="5"/>
  <c r="C138" i="5"/>
  <c r="E136" i="5"/>
  <c r="D136" i="5"/>
  <c r="C136" i="5"/>
  <c r="E135" i="5"/>
  <c r="D135" i="5"/>
  <c r="C135" i="5"/>
  <c r="E134" i="5"/>
  <c r="D134" i="5"/>
  <c r="C134" i="5"/>
  <c r="E133" i="5"/>
  <c r="D133" i="5"/>
  <c r="C133" i="5"/>
  <c r="E132" i="5"/>
  <c r="E130" i="5"/>
  <c r="D130" i="5"/>
  <c r="C130" i="5"/>
  <c r="E128" i="5"/>
  <c r="D128" i="5"/>
  <c r="C128" i="5"/>
  <c r="E127" i="5"/>
  <c r="D127" i="5"/>
  <c r="C127" i="5"/>
  <c r="E126" i="5"/>
  <c r="D126" i="5"/>
  <c r="C126" i="5"/>
  <c r="E124" i="5"/>
  <c r="D124" i="5"/>
  <c r="C124" i="5"/>
  <c r="E122" i="5"/>
  <c r="D122" i="5"/>
  <c r="C122" i="5"/>
  <c r="E121" i="5"/>
  <c r="D121" i="5"/>
  <c r="C121" i="5"/>
  <c r="E120" i="5"/>
  <c r="E117" i="5"/>
  <c r="D117" i="5"/>
  <c r="C117" i="5"/>
  <c r="E116" i="5"/>
  <c r="D116" i="5"/>
  <c r="C116" i="5"/>
  <c r="E114" i="5"/>
  <c r="D114" i="5"/>
  <c r="C114" i="5"/>
  <c r="E112" i="5"/>
  <c r="E110" i="5"/>
  <c r="D110" i="5"/>
  <c r="C110" i="5"/>
  <c r="E108" i="5"/>
  <c r="D108" i="5"/>
  <c r="C108" i="5"/>
  <c r="E106" i="5"/>
  <c r="D106" i="5"/>
  <c r="C106" i="5"/>
  <c r="E105" i="5"/>
  <c r="D105" i="5"/>
  <c r="C105" i="5"/>
  <c r="E104" i="5"/>
  <c r="E102" i="5"/>
  <c r="D102" i="5"/>
  <c r="C102" i="5"/>
  <c r="E101" i="5"/>
  <c r="D101" i="5"/>
  <c r="C101" i="5"/>
  <c r="E100" i="5"/>
  <c r="C100" i="5"/>
  <c r="E98" i="5"/>
  <c r="D98" i="5"/>
  <c r="C98" i="5"/>
  <c r="E97" i="5"/>
  <c r="D97" i="5"/>
  <c r="C97" i="5"/>
  <c r="E96" i="5"/>
  <c r="D96" i="5"/>
  <c r="C96" i="5"/>
  <c r="E95" i="5"/>
  <c r="E93" i="5"/>
  <c r="D93" i="5"/>
  <c r="C93" i="5"/>
  <c r="E92" i="5"/>
  <c r="D92" i="5"/>
  <c r="C92" i="5"/>
  <c r="E91" i="5"/>
  <c r="E89" i="5"/>
  <c r="D89" i="5"/>
  <c r="C89" i="5"/>
  <c r="E88" i="5"/>
  <c r="D88" i="5"/>
  <c r="C88" i="5"/>
  <c r="E87" i="5"/>
  <c r="E85" i="5"/>
  <c r="D85" i="5"/>
  <c r="C85" i="5"/>
  <c r="E84" i="5"/>
  <c r="D84" i="5"/>
  <c r="C84" i="5"/>
  <c r="E83" i="5"/>
  <c r="D83" i="5"/>
  <c r="C83" i="5"/>
  <c r="E82" i="5"/>
  <c r="E80" i="5"/>
  <c r="D80" i="5"/>
  <c r="C80" i="5"/>
  <c r="E79" i="5"/>
  <c r="D79" i="5"/>
  <c r="C79" i="5"/>
  <c r="E78" i="5"/>
  <c r="D78" i="5"/>
  <c r="C78" i="5"/>
  <c r="E77" i="5"/>
  <c r="E75" i="5"/>
  <c r="D75" i="5"/>
  <c r="C75" i="5"/>
  <c r="E74" i="5"/>
  <c r="D74" i="5"/>
  <c r="C74" i="5"/>
  <c r="E73" i="5"/>
  <c r="E72" i="5"/>
  <c r="E71" i="5"/>
  <c r="D71" i="5"/>
  <c r="C71" i="5"/>
  <c r="E70" i="5"/>
  <c r="D70" i="5"/>
  <c r="C70" i="5"/>
  <c r="E69" i="5"/>
  <c r="D69" i="5"/>
  <c r="C69" i="5"/>
  <c r="E68" i="5"/>
  <c r="D68" i="5"/>
  <c r="C68" i="5"/>
  <c r="E67" i="5"/>
  <c r="D67" i="5"/>
  <c r="C67" i="5"/>
  <c r="E65" i="5"/>
  <c r="E66" i="5"/>
  <c r="D66" i="5"/>
  <c r="C66" i="5"/>
  <c r="D65" i="5"/>
  <c r="C65" i="5"/>
  <c r="E63" i="5"/>
  <c r="D63" i="5"/>
  <c r="C63" i="5"/>
  <c r="E62" i="5"/>
  <c r="D62" i="5"/>
  <c r="C62" i="5"/>
  <c r="E61" i="5"/>
  <c r="E58" i="5"/>
  <c r="D58" i="5"/>
  <c r="C58" i="5"/>
  <c r="E57" i="5"/>
  <c r="C57" i="5"/>
  <c r="E55" i="5"/>
  <c r="D55" i="5"/>
  <c r="C55" i="5"/>
  <c r="E53" i="5"/>
  <c r="D53" i="5"/>
  <c r="C53" i="5"/>
  <c r="E52" i="5"/>
  <c r="D52" i="5"/>
  <c r="C52" i="5"/>
  <c r="E51" i="5"/>
  <c r="E49" i="5"/>
  <c r="D49" i="5"/>
  <c r="C49" i="5"/>
  <c r="E48" i="5"/>
  <c r="D48" i="5"/>
  <c r="C48" i="5"/>
  <c r="E47" i="5"/>
  <c r="D47" i="5"/>
  <c r="C47" i="5"/>
  <c r="E45" i="5"/>
  <c r="D45" i="5"/>
  <c r="C45" i="5"/>
  <c r="E44" i="5"/>
  <c r="D44" i="5"/>
  <c r="C44" i="5"/>
  <c r="E43" i="5"/>
  <c r="E41" i="5"/>
  <c r="D41" i="5"/>
  <c r="C41" i="5"/>
  <c r="E40" i="5"/>
  <c r="D40" i="5"/>
  <c r="C40" i="5"/>
  <c r="E39" i="5"/>
  <c r="E37" i="5"/>
  <c r="D37" i="5"/>
  <c r="C37" i="5"/>
  <c r="E36" i="5"/>
  <c r="D36" i="5"/>
  <c r="C36" i="5"/>
  <c r="E35" i="5"/>
  <c r="E33" i="5"/>
  <c r="D33" i="5"/>
  <c r="C33" i="5"/>
  <c r="E32" i="5"/>
  <c r="D32" i="5"/>
  <c r="C32" i="5"/>
  <c r="E31" i="5"/>
  <c r="E29" i="5"/>
  <c r="C28" i="5"/>
  <c r="E27" i="5"/>
  <c r="D27" i="5"/>
  <c r="C27" i="5"/>
  <c r="E26" i="5"/>
  <c r="D26" i="5"/>
  <c r="C26" i="5"/>
  <c r="E25" i="5"/>
  <c r="D25" i="5"/>
  <c r="C25" i="5"/>
  <c r="E24" i="5"/>
  <c r="D24" i="5"/>
  <c r="C24" i="5"/>
  <c r="E23" i="5"/>
  <c r="E21" i="5"/>
  <c r="D21" i="5"/>
  <c r="C21" i="5"/>
  <c r="E20" i="5"/>
  <c r="E19" i="5"/>
  <c r="E17" i="5"/>
  <c r="D17" i="5"/>
  <c r="C17" i="5"/>
  <c r="E16" i="5"/>
  <c r="E15" i="5"/>
  <c r="E9" i="5"/>
  <c r="D13" i="5"/>
  <c r="C13" i="5"/>
  <c r="C9" i="5"/>
  <c r="H4860" i="5"/>
  <c r="D4860" i="5"/>
  <c r="G4858" i="5"/>
  <c r="E4858" i="5"/>
  <c r="D4858" i="5"/>
  <c r="C4858" i="5"/>
  <c r="G4857" i="5"/>
  <c r="I4857" i="5" s="1"/>
  <c r="E4857" i="5"/>
  <c r="D4857" i="5"/>
  <c r="C4857" i="5"/>
  <c r="E4859" i="5"/>
  <c r="D4859" i="5"/>
  <c r="C4859" i="5"/>
  <c r="H4853" i="5"/>
  <c r="F4852" i="5"/>
  <c r="E4852" i="5"/>
  <c r="G4852" i="5"/>
  <c r="D4852" i="5"/>
  <c r="C4852" i="5"/>
  <c r="H4858" i="5"/>
  <c r="G4849" i="5"/>
  <c r="I4849" i="5" s="1"/>
  <c r="D4849" i="5"/>
  <c r="C4849" i="5"/>
  <c r="D4848" i="5"/>
  <c r="C4848" i="5"/>
  <c r="G4848" i="5"/>
  <c r="I4848" i="5" s="1"/>
  <c r="D4847" i="5"/>
  <c r="H4850" i="5"/>
  <c r="D4846" i="5"/>
  <c r="C4846" i="5"/>
  <c r="G4844" i="5"/>
  <c r="I4844" i="5" s="1"/>
  <c r="D4844" i="5"/>
  <c r="C4844" i="5"/>
  <c r="G4843" i="5"/>
  <c r="I4843" i="5" s="1"/>
  <c r="D4843" i="5"/>
  <c r="C4843" i="5"/>
  <c r="H4845" i="5"/>
  <c r="H4836" i="5"/>
  <c r="F4835" i="5"/>
  <c r="F4503" i="5"/>
  <c r="G4841" i="5"/>
  <c r="D4841" i="5"/>
  <c r="C4841" i="5"/>
  <c r="G4840" i="5"/>
  <c r="D4840" i="5"/>
  <c r="C4840" i="5"/>
  <c r="E4839" i="5"/>
  <c r="D4839" i="5"/>
  <c r="C4839" i="5"/>
  <c r="G4838" i="5"/>
  <c r="D4838" i="5"/>
  <c r="C4838" i="5"/>
  <c r="D4837" i="5"/>
  <c r="C4837" i="5"/>
  <c r="D4836" i="5"/>
  <c r="D4835" i="5"/>
  <c r="C4835" i="5"/>
  <c r="F4841" i="5"/>
  <c r="H4840" i="5"/>
  <c r="H4838" i="5"/>
  <c r="H4832" i="5"/>
  <c r="G4831" i="5"/>
  <c r="I4831" i="5" s="1"/>
  <c r="D4831" i="5"/>
  <c r="C4831" i="5"/>
  <c r="D4832" i="5"/>
  <c r="C4832" i="5"/>
  <c r="F4830" i="5"/>
  <c r="D4830" i="5"/>
  <c r="C4830" i="5"/>
  <c r="D4829" i="5"/>
  <c r="C4829" i="5"/>
  <c r="D4827" i="5"/>
  <c r="C4827" i="5"/>
  <c r="H4826" i="5"/>
  <c r="C4826" i="5"/>
  <c r="D4826" i="5"/>
  <c r="G4823" i="5"/>
  <c r="I4823" i="5" s="1"/>
  <c r="D4823" i="5"/>
  <c r="C4823" i="5"/>
  <c r="G4822" i="5"/>
  <c r="I4822" i="5" s="1"/>
  <c r="D4822" i="5"/>
  <c r="C4822" i="5"/>
  <c r="G4821" i="5"/>
  <c r="I4821" i="5" s="1"/>
  <c r="D4821" i="5"/>
  <c r="C4821" i="5"/>
  <c r="D4824" i="5"/>
  <c r="C4824" i="5"/>
  <c r="H4825" i="5"/>
  <c r="G4825" i="5"/>
  <c r="D4825" i="5"/>
  <c r="C4825" i="5"/>
  <c r="E4824" i="5"/>
  <c r="G4824" i="5"/>
  <c r="I4824" i="5" s="1"/>
  <c r="G4819" i="5"/>
  <c r="D4819" i="5"/>
  <c r="D4818" i="5"/>
  <c r="C4817" i="5"/>
  <c r="D4816" i="5"/>
  <c r="C4816" i="5"/>
  <c r="D4815" i="5"/>
  <c r="C4815" i="5"/>
  <c r="G4814" i="5"/>
  <c r="I4814" i="5" s="1"/>
  <c r="D4814" i="5"/>
  <c r="C4814" i="5"/>
  <c r="G4813" i="5"/>
  <c r="I4813" i="5" s="1"/>
  <c r="D4813" i="5"/>
  <c r="C4813" i="5"/>
  <c r="G4812" i="5"/>
  <c r="I4812" i="5" s="1"/>
  <c r="D4812" i="5"/>
  <c r="C4812" i="5"/>
  <c r="G4811" i="5"/>
  <c r="D4811" i="5"/>
  <c r="C4811" i="5"/>
  <c r="D4810" i="5"/>
  <c r="C4810" i="5"/>
  <c r="D4809" i="5"/>
  <c r="C4809" i="5"/>
  <c r="H4818" i="5"/>
  <c r="H4816" i="5"/>
  <c r="H4811" i="5"/>
  <c r="H4810" i="5"/>
  <c r="H4809" i="5"/>
  <c r="D4806" i="5"/>
  <c r="C4806" i="5"/>
  <c r="D4805" i="5"/>
  <c r="C4805" i="5"/>
  <c r="G4804" i="5"/>
  <c r="I4804" i="5" s="1"/>
  <c r="D4804" i="5"/>
  <c r="C4804" i="5"/>
  <c r="H4806" i="5"/>
  <c r="D4768" i="5"/>
  <c r="C4768" i="5"/>
  <c r="G4802" i="5"/>
  <c r="I4802" i="5" s="1"/>
  <c r="D4802" i="5"/>
  <c r="C4802" i="5"/>
  <c r="D4801" i="5"/>
  <c r="C4801" i="5"/>
  <c r="D4800" i="5"/>
  <c r="C4800" i="5"/>
  <c r="D4799" i="5"/>
  <c r="C4799" i="5"/>
  <c r="D4798" i="5"/>
  <c r="C4798" i="5"/>
  <c r="D4797" i="5"/>
  <c r="C4797" i="5"/>
  <c r="D4796" i="5"/>
  <c r="C4796" i="5"/>
  <c r="G4795" i="5"/>
  <c r="I4795" i="5" s="1"/>
  <c r="D4795" i="5"/>
  <c r="C4795" i="5"/>
  <c r="G4794" i="5"/>
  <c r="I4794" i="5" s="1"/>
  <c r="D4794" i="5"/>
  <c r="C4794" i="5"/>
  <c r="G4793" i="5"/>
  <c r="I4793" i="5" s="1"/>
  <c r="D4793" i="5"/>
  <c r="C4793" i="5"/>
  <c r="G4792" i="5"/>
  <c r="I4792" i="5" s="1"/>
  <c r="D4792" i="5"/>
  <c r="C4792" i="5"/>
  <c r="G4791" i="5"/>
  <c r="D4791" i="5"/>
  <c r="C4791" i="5"/>
  <c r="D4790" i="5"/>
  <c r="C4790" i="5"/>
  <c r="H4791" i="5"/>
  <c r="H4790" i="5"/>
  <c r="E4786" i="5"/>
  <c r="D4786" i="5"/>
  <c r="C4786" i="5"/>
  <c r="G4788" i="5"/>
  <c r="D4788" i="5"/>
  <c r="C4788" i="5"/>
  <c r="D4787" i="5"/>
  <c r="C4787" i="5"/>
  <c r="D4784" i="5"/>
  <c r="C4784" i="5"/>
  <c r="D4783" i="5"/>
  <c r="C4783" i="5"/>
  <c r="D4782" i="5"/>
  <c r="C4782" i="5"/>
  <c r="G4781" i="5"/>
  <c r="I4781" i="5" s="1"/>
  <c r="D4781" i="5"/>
  <c r="C4781" i="5"/>
  <c r="G4780" i="5"/>
  <c r="I4780" i="5" s="1"/>
  <c r="D4780" i="5"/>
  <c r="C4780" i="5"/>
  <c r="G4779" i="5"/>
  <c r="I4779" i="5" s="1"/>
  <c r="D4779" i="5"/>
  <c r="C4779" i="5"/>
  <c r="G4778" i="5"/>
  <c r="I4778" i="5" s="1"/>
  <c r="D4778" i="5"/>
  <c r="C4778" i="5"/>
  <c r="G4777" i="5"/>
  <c r="D4777" i="5"/>
  <c r="C4777" i="5"/>
  <c r="D4776" i="5"/>
  <c r="C4776" i="5"/>
  <c r="H4787" i="5"/>
  <c r="H4785" i="5"/>
  <c r="H4777" i="5"/>
  <c r="H4776" i="5"/>
  <c r="D541" i="5"/>
  <c r="G4774" i="5"/>
  <c r="I4774" i="5" s="1"/>
  <c r="D4774" i="5"/>
  <c r="H4773" i="5"/>
  <c r="G4773" i="5"/>
  <c r="D4773" i="5"/>
  <c r="C4773" i="5"/>
  <c r="D4772" i="5"/>
  <c r="C4772" i="5"/>
  <c r="H4771" i="5"/>
  <c r="G4771" i="5"/>
  <c r="D4771" i="5"/>
  <c r="C4771" i="5"/>
  <c r="C4770" i="5"/>
  <c r="D4769" i="5"/>
  <c r="C4769" i="5"/>
  <c r="F4768" i="5"/>
  <c r="H4765" i="5"/>
  <c r="D4765" i="5"/>
  <c r="C4765" i="5"/>
  <c r="G4764" i="5"/>
  <c r="I4764" i="5" s="1"/>
  <c r="E4764" i="5"/>
  <c r="D4764" i="5"/>
  <c r="D4763" i="5"/>
  <c r="C4763" i="5"/>
  <c r="E4762" i="5"/>
  <c r="E4755" i="5"/>
  <c r="D4762" i="5"/>
  <c r="C4762" i="5"/>
  <c r="C4755" i="5"/>
  <c r="D4761" i="5"/>
  <c r="C4761" i="5"/>
  <c r="H4758" i="5"/>
  <c r="D4758" i="5"/>
  <c r="C4758" i="5"/>
  <c r="G4757" i="5"/>
  <c r="I4757" i="5" s="1"/>
  <c r="E4757" i="5"/>
  <c r="D4757" i="5"/>
  <c r="C4757" i="5"/>
  <c r="G4756" i="5"/>
  <c r="I4756" i="5" s="1"/>
  <c r="E4756" i="5"/>
  <c r="D4756" i="5"/>
  <c r="C4756" i="5"/>
  <c r="D4755" i="5"/>
  <c r="D4754" i="5"/>
  <c r="C4754" i="5"/>
  <c r="E4751" i="5"/>
  <c r="D4751" i="5"/>
  <c r="C4751" i="5"/>
  <c r="E4752" i="5"/>
  <c r="D4752" i="5"/>
  <c r="E4749" i="5"/>
  <c r="C4749" i="5"/>
  <c r="G4748" i="5"/>
  <c r="I4748" i="5" s="1"/>
  <c r="E4747" i="5"/>
  <c r="D4747" i="5"/>
  <c r="C4747" i="5"/>
  <c r="H2459" i="5"/>
  <c r="G2457" i="5"/>
  <c r="I2457" i="5" s="1"/>
  <c r="D2457" i="5"/>
  <c r="C2457" i="5"/>
  <c r="E4744" i="5"/>
  <c r="D4744" i="5"/>
  <c r="C4744" i="5"/>
  <c r="G4742" i="5"/>
  <c r="I4742" i="5" s="1"/>
  <c r="E4742" i="5"/>
  <c r="E4743" i="5"/>
  <c r="D4743" i="5"/>
  <c r="C4743" i="5"/>
  <c r="B67" i="6"/>
  <c r="B68" i="6"/>
  <c r="B48" i="6"/>
  <c r="B63" i="6"/>
  <c r="B69" i="6"/>
  <c r="B66" i="6"/>
  <c r="B65" i="6"/>
  <c r="B64" i="6"/>
  <c r="B59" i="6"/>
  <c r="B58" i="6"/>
  <c r="B57" i="6"/>
  <c r="B56" i="6"/>
  <c r="B55" i="6"/>
  <c r="B54" i="6"/>
  <c r="B53" i="6"/>
  <c r="B51" i="6"/>
  <c r="B50" i="6"/>
  <c r="B49" i="6"/>
  <c r="H665" i="5"/>
  <c r="H661" i="5"/>
  <c r="G1439" i="5"/>
  <c r="I1439" i="5" s="1"/>
  <c r="D1442" i="5"/>
  <c r="C1442" i="5"/>
  <c r="H4738" i="5"/>
  <c r="E4739" i="5"/>
  <c r="D4739" i="5"/>
  <c r="C4739" i="5"/>
  <c r="G4737" i="5"/>
  <c r="I4737" i="5" s="1"/>
  <c r="C4737" i="5"/>
  <c r="G4735" i="5"/>
  <c r="I4735" i="5" s="1"/>
  <c r="E4735" i="5"/>
  <c r="D4735" i="5"/>
  <c r="D4738" i="5"/>
  <c r="C4738" i="5"/>
  <c r="G4733" i="5"/>
  <c r="I4733" i="5" s="1"/>
  <c r="G4357" i="5"/>
  <c r="I4357" i="5" s="1"/>
  <c r="G4356" i="5"/>
  <c r="I4356" i="5" s="1"/>
  <c r="G4350" i="5"/>
  <c r="I4350" i="5" s="1"/>
  <c r="D4025" i="5"/>
  <c r="C4025" i="5"/>
  <c r="I4342" i="5"/>
  <c r="D4334" i="5"/>
  <c r="C4334" i="5"/>
  <c r="D4326" i="5"/>
  <c r="C4326" i="5"/>
  <c r="G4310" i="5"/>
  <c r="I4310" i="5" s="1"/>
  <c r="H784" i="5"/>
  <c r="H771" i="5"/>
  <c r="H758" i="5"/>
  <c r="H746" i="5"/>
  <c r="H723" i="5"/>
  <c r="D743" i="5"/>
  <c r="C743" i="5"/>
  <c r="D720" i="5"/>
  <c r="C720" i="5"/>
  <c r="E4492" i="5"/>
  <c r="D4492" i="5"/>
  <c r="C4492" i="5"/>
  <c r="G4493" i="5"/>
  <c r="H4493" i="5"/>
  <c r="D4489" i="5"/>
  <c r="C4489" i="5"/>
  <c r="D4496" i="5"/>
  <c r="C4496" i="5"/>
  <c r="D4503" i="5"/>
  <c r="C4503" i="5"/>
  <c r="H4504" i="5"/>
  <c r="E4507" i="5"/>
  <c r="D4507" i="5"/>
  <c r="C4507" i="5"/>
  <c r="H4508" i="5"/>
  <c r="D4508" i="5"/>
  <c r="C4508" i="5"/>
  <c r="H4731" i="5"/>
  <c r="D4729" i="5"/>
  <c r="C4729" i="5"/>
  <c r="G4731" i="5"/>
  <c r="G4723" i="5"/>
  <c r="I4723" i="5" s="1"/>
  <c r="G4722" i="5"/>
  <c r="G4721" i="5"/>
  <c r="I4721" i="5" s="1"/>
  <c r="D4726" i="5"/>
  <c r="C4726" i="5"/>
  <c r="H4726" i="5"/>
  <c r="H4722" i="5"/>
  <c r="H4720" i="5"/>
  <c r="F4625" i="5"/>
  <c r="G4624" i="5"/>
  <c r="G4629" i="5"/>
  <c r="I4629" i="5" s="1"/>
  <c r="C4628" i="5"/>
  <c r="D4628" i="5"/>
  <c r="C4626" i="5"/>
  <c r="D4626" i="5"/>
  <c r="C4625" i="5"/>
  <c r="D4625" i="5"/>
  <c r="G4623" i="5"/>
  <c r="I4623" i="5" s="1"/>
  <c r="G4621" i="5"/>
  <c r="I4621" i="5" s="1"/>
  <c r="H4624" i="5"/>
  <c r="H4620" i="5"/>
  <c r="H4619" i="5"/>
  <c r="D1783" i="5"/>
  <c r="C1783" i="5"/>
  <c r="D1743" i="5"/>
  <c r="D1532" i="5"/>
  <c r="C1532" i="5"/>
  <c r="D1523" i="5"/>
  <c r="C1523" i="5"/>
  <c r="D1515" i="5"/>
  <c r="C1515" i="5"/>
  <c r="D1509" i="5"/>
  <c r="C1509" i="5"/>
  <c r="D1498" i="5"/>
  <c r="C1498" i="5"/>
  <c r="D1487" i="5"/>
  <c r="C1487" i="5"/>
  <c r="D1476" i="5"/>
  <c r="C1476" i="5"/>
  <c r="D1472" i="5"/>
  <c r="C1472" i="5"/>
  <c r="D1463" i="5"/>
  <c r="C1463" i="5"/>
  <c r="D1457" i="5"/>
  <c r="C1457" i="5"/>
  <c r="D1451" i="5"/>
  <c r="C1451" i="5"/>
  <c r="D1443" i="5"/>
  <c r="C1443" i="5"/>
  <c r="D1432" i="5"/>
  <c r="C1432" i="5"/>
  <c r="D1423" i="5"/>
  <c r="C1423" i="5"/>
  <c r="D1412" i="5"/>
  <c r="C1412" i="5"/>
  <c r="C1396" i="5"/>
  <c r="D1396" i="5"/>
  <c r="C1357" i="5"/>
  <c r="D1357" i="5"/>
  <c r="C1358" i="5"/>
  <c r="D1358" i="5"/>
  <c r="C1368" i="5"/>
  <c r="D1368" i="5"/>
  <c r="C1377" i="5"/>
  <c r="D1377" i="5"/>
  <c r="C1386" i="5"/>
  <c r="D1386" i="5"/>
  <c r="D1387" i="5"/>
  <c r="C1387" i="5"/>
  <c r="D1378" i="5"/>
  <c r="C1378" i="5"/>
  <c r="D1369" i="5"/>
  <c r="C1369" i="5"/>
  <c r="D1359" i="5"/>
  <c r="C1359" i="5"/>
  <c r="D1353" i="5"/>
  <c r="C1353" i="5"/>
  <c r="D1348" i="5"/>
  <c r="D1339" i="5"/>
  <c r="C1339" i="5"/>
  <c r="C1169" i="5"/>
  <c r="D1169" i="5"/>
  <c r="C1207" i="5"/>
  <c r="D1207" i="5"/>
  <c r="D1216" i="5"/>
  <c r="D1224" i="5"/>
  <c r="C1224" i="5"/>
  <c r="C1235" i="5"/>
  <c r="D1235" i="5"/>
  <c r="C1240" i="5"/>
  <c r="D1240" i="5"/>
  <c r="D1248" i="5"/>
  <c r="C1248" i="5"/>
  <c r="D1259" i="5"/>
  <c r="D1270" i="5"/>
  <c r="C1270" i="5"/>
  <c r="C1269" i="5"/>
  <c r="D1269" i="5"/>
  <c r="C1282" i="5"/>
  <c r="D1282" i="5"/>
  <c r="C1294" i="5"/>
  <c r="D1294" i="5"/>
  <c r="C1293" i="5"/>
  <c r="D1293" i="5"/>
  <c r="C1309" i="5"/>
  <c r="D1309" i="5"/>
  <c r="C1325" i="5"/>
  <c r="D1325" i="5"/>
  <c r="D1326" i="5"/>
  <c r="C1326" i="5"/>
  <c r="D1310" i="5"/>
  <c r="C1310" i="5"/>
  <c r="D1295" i="5"/>
  <c r="C1295" i="5"/>
  <c r="D1283" i="5"/>
  <c r="C1283" i="5"/>
  <c r="D1271" i="5"/>
  <c r="C1271" i="5"/>
  <c r="D1260" i="5"/>
  <c r="C1260" i="5"/>
  <c r="D1250" i="5"/>
  <c r="C1250" i="5"/>
  <c r="D1241" i="5"/>
  <c r="C1241" i="5"/>
  <c r="D1236" i="5"/>
  <c r="C1236" i="5"/>
  <c r="D1226" i="5"/>
  <c r="C1226" i="5"/>
  <c r="D1217" i="5"/>
  <c r="C1217" i="5"/>
  <c r="D1208" i="5"/>
  <c r="C1208" i="5"/>
  <c r="D1199" i="5"/>
  <c r="C1199" i="5"/>
  <c r="D1186" i="5"/>
  <c r="C1186" i="5"/>
  <c r="D1173" i="5"/>
  <c r="C1173" i="5"/>
  <c r="D1162" i="5"/>
  <c r="C1162" i="5"/>
  <c r="D1153" i="5"/>
  <c r="C1153" i="5"/>
  <c r="D1146" i="5"/>
  <c r="C1146" i="5"/>
  <c r="D1137" i="5"/>
  <c r="C1137" i="5"/>
  <c r="D1128" i="5"/>
  <c r="C1128" i="5"/>
  <c r="D1115" i="5"/>
  <c r="C1115" i="5"/>
  <c r="D1106" i="5"/>
  <c r="C1106" i="5"/>
  <c r="D1097" i="5"/>
  <c r="C1097" i="5"/>
  <c r="D1089" i="5"/>
  <c r="C1089" i="5"/>
  <c r="D1080" i="5"/>
  <c r="C1080" i="5"/>
  <c r="D1075" i="5"/>
  <c r="C1075" i="5"/>
  <c r="D1063" i="5"/>
  <c r="C1063" i="5"/>
  <c r="D1055" i="5"/>
  <c r="C1055" i="5"/>
  <c r="D1044" i="5"/>
  <c r="C1044" i="5"/>
  <c r="C1033" i="5"/>
  <c r="D1033" i="5"/>
  <c r="D1023" i="5"/>
  <c r="C1023" i="5"/>
  <c r="D1022" i="5"/>
  <c r="D1012" i="5"/>
  <c r="C1012" i="5"/>
  <c r="D998" i="5"/>
  <c r="C998" i="5"/>
  <c r="D984" i="5"/>
  <c r="C984" i="5"/>
  <c r="D971" i="5"/>
  <c r="C971" i="5"/>
  <c r="D962" i="5"/>
  <c r="C962" i="5"/>
  <c r="D953" i="5"/>
  <c r="C953" i="5"/>
  <c r="D942" i="5"/>
  <c r="C942" i="5"/>
  <c r="D930" i="5"/>
  <c r="C930" i="5"/>
  <c r="D918" i="5"/>
  <c r="C918" i="5"/>
  <c r="D906" i="5"/>
  <c r="C906" i="5"/>
  <c r="D892" i="5"/>
  <c r="C892" i="5"/>
  <c r="D880" i="5"/>
  <c r="C880" i="5"/>
  <c r="D869" i="5"/>
  <c r="C869" i="5"/>
  <c r="D861" i="5"/>
  <c r="C861" i="5"/>
  <c r="D855" i="5"/>
  <c r="C855" i="5"/>
  <c r="D846" i="5"/>
  <c r="C846" i="5"/>
  <c r="D832" i="5"/>
  <c r="C832" i="5"/>
  <c r="D819" i="5"/>
  <c r="C819" i="5"/>
  <c r="D806" i="5"/>
  <c r="C806" i="5"/>
  <c r="D794" i="5"/>
  <c r="C794" i="5"/>
  <c r="D781" i="5"/>
  <c r="C781" i="5"/>
  <c r="D769" i="5"/>
  <c r="C769" i="5"/>
  <c r="D756" i="5"/>
  <c r="C756" i="5"/>
  <c r="D744" i="5"/>
  <c r="C744" i="5"/>
  <c r="D721" i="5"/>
  <c r="C721" i="5"/>
  <c r="D712" i="5"/>
  <c r="C712" i="5"/>
  <c r="D701" i="5"/>
  <c r="C701" i="5"/>
  <c r="D692" i="5"/>
  <c r="C692" i="5"/>
  <c r="D683" i="5"/>
  <c r="C683" i="5"/>
  <c r="D674" i="5"/>
  <c r="C674" i="5"/>
  <c r="D665" i="5"/>
  <c r="C665" i="5"/>
  <c r="D656" i="5"/>
  <c r="C656" i="5"/>
  <c r="D649" i="5"/>
  <c r="C649" i="5"/>
  <c r="D645" i="5"/>
  <c r="C645" i="5"/>
  <c r="D638" i="5"/>
  <c r="C638" i="5"/>
  <c r="D627" i="5"/>
  <c r="C627" i="5"/>
  <c r="D616" i="5"/>
  <c r="C616" i="5"/>
  <c r="D607" i="5"/>
  <c r="C607" i="5"/>
  <c r="D595" i="5"/>
  <c r="C595" i="5"/>
  <c r="D591" i="5"/>
  <c r="C591" i="5"/>
  <c r="D584" i="5"/>
  <c r="D5353" i="5" s="1"/>
  <c r="C584" i="5"/>
  <c r="C5353" i="5" s="1"/>
  <c r="D579" i="5"/>
  <c r="C579" i="5"/>
  <c r="D568" i="5"/>
  <c r="C568" i="5"/>
  <c r="D559" i="5"/>
  <c r="C559" i="5"/>
  <c r="D550" i="5"/>
  <c r="C550" i="5"/>
  <c r="C541" i="5"/>
  <c r="D532" i="5"/>
  <c r="C532" i="5"/>
  <c r="D528" i="5"/>
  <c r="C528" i="5"/>
  <c r="D523" i="5"/>
  <c r="C523" i="5"/>
  <c r="D519" i="5"/>
  <c r="C519" i="5"/>
  <c r="D515" i="5"/>
  <c r="C515" i="5"/>
  <c r="D511" i="5"/>
  <c r="C511" i="5"/>
  <c r="D508" i="5"/>
  <c r="C508" i="5"/>
  <c r="D503" i="5"/>
  <c r="C503" i="5"/>
  <c r="D500" i="5"/>
  <c r="C500" i="5"/>
  <c r="D496" i="5"/>
  <c r="C496" i="5"/>
  <c r="D494" i="5"/>
  <c r="C494" i="5"/>
  <c r="D487" i="5"/>
  <c r="C487" i="5"/>
  <c r="D483" i="5"/>
  <c r="C483" i="5"/>
  <c r="D478" i="5"/>
  <c r="C478" i="5"/>
  <c r="D471" i="5"/>
  <c r="C471" i="5"/>
  <c r="D465" i="5"/>
  <c r="C465" i="5"/>
  <c r="D448" i="5"/>
  <c r="C448" i="5"/>
  <c r="D435" i="5"/>
  <c r="C435" i="5"/>
  <c r="D430" i="5"/>
  <c r="C430" i="5"/>
  <c r="D427" i="5"/>
  <c r="C427" i="5"/>
  <c r="D423" i="5"/>
  <c r="C423" i="5"/>
  <c r="D455" i="5"/>
  <c r="C455" i="5"/>
  <c r="D460" i="5"/>
  <c r="C460" i="5"/>
  <c r="D413" i="5"/>
  <c r="C413" i="5"/>
  <c r="C408" i="5"/>
  <c r="D408" i="5"/>
  <c r="D403" i="5"/>
  <c r="C403" i="5"/>
  <c r="D392" i="5"/>
  <c r="C392" i="5"/>
  <c r="D364" i="5"/>
  <c r="C364" i="5"/>
  <c r="D359" i="5"/>
  <c r="C359" i="5"/>
  <c r="D353" i="5"/>
  <c r="C353" i="5"/>
  <c r="D342" i="5"/>
  <c r="C342" i="5"/>
  <c r="D332" i="5"/>
  <c r="C332" i="5"/>
  <c r="D321" i="5"/>
  <c r="C321" i="5"/>
  <c r="D313" i="5"/>
  <c r="C313" i="5"/>
  <c r="D305" i="5"/>
  <c r="C305" i="5"/>
  <c r="D299" i="5"/>
  <c r="C299" i="5"/>
  <c r="D289" i="5"/>
  <c r="C289" i="5"/>
  <c r="D268" i="5"/>
  <c r="C268" i="5"/>
  <c r="D262" i="5"/>
  <c r="C262" i="5"/>
  <c r="C254" i="5"/>
  <c r="D254" i="5"/>
  <c r="D236" i="5"/>
  <c r="C236" i="5"/>
  <c r="D212" i="5"/>
  <c r="C212" i="5"/>
  <c r="D198" i="5"/>
  <c r="C198" i="5"/>
  <c r="D192" i="5"/>
  <c r="C192" i="5"/>
  <c r="D180" i="5"/>
  <c r="C180" i="5"/>
  <c r="D173" i="5"/>
  <c r="C173" i="5"/>
  <c r="D168" i="5"/>
  <c r="C168" i="5"/>
  <c r="C156" i="5"/>
  <c r="D156" i="5"/>
  <c r="C132" i="5"/>
  <c r="D132" i="5"/>
  <c r="C120" i="5"/>
  <c r="D120" i="5"/>
  <c r="C112" i="5"/>
  <c r="D112" i="5"/>
  <c r="C104" i="5"/>
  <c r="D104" i="5"/>
  <c r="D100" i="5"/>
  <c r="C95" i="5"/>
  <c r="D95" i="5"/>
  <c r="C91" i="5"/>
  <c r="D91" i="5"/>
  <c r="C87" i="5"/>
  <c r="D87" i="5"/>
  <c r="C82" i="5"/>
  <c r="D82" i="5"/>
  <c r="C77" i="5"/>
  <c r="D77" i="5"/>
  <c r="C73" i="5"/>
  <c r="D73" i="5"/>
  <c r="D57" i="5"/>
  <c r="C51" i="5"/>
  <c r="D51" i="5"/>
  <c r="C43" i="5"/>
  <c r="D43" i="5"/>
  <c r="C39" i="5"/>
  <c r="D39" i="5"/>
  <c r="C35" i="5"/>
  <c r="D35" i="5"/>
  <c r="C31" i="5"/>
  <c r="D31" i="5"/>
  <c r="C29" i="5"/>
  <c r="C23" i="5"/>
  <c r="D23" i="5"/>
  <c r="D20" i="5"/>
  <c r="C20" i="5"/>
  <c r="C19" i="5"/>
  <c r="D19" i="5"/>
  <c r="C16" i="5"/>
  <c r="D16" i="5"/>
  <c r="C15" i="5"/>
  <c r="D15" i="5"/>
  <c r="E8" i="5"/>
  <c r="E7" i="5"/>
  <c r="C7" i="5"/>
  <c r="D7" i="5"/>
  <c r="C3730" i="5"/>
  <c r="D3730" i="5"/>
  <c r="C3742" i="5"/>
  <c r="D3742" i="5"/>
  <c r="C3755" i="5"/>
  <c r="D3755" i="5"/>
  <c r="C3767" i="5"/>
  <c r="D3767" i="5"/>
  <c r="C3779" i="5"/>
  <c r="D3779" i="5"/>
  <c r="C3791" i="5"/>
  <c r="D3791" i="5"/>
  <c r="C3806" i="5"/>
  <c r="D3806" i="5"/>
  <c r="C3817" i="5"/>
  <c r="D3817" i="5"/>
  <c r="C3825" i="5"/>
  <c r="D3825" i="5"/>
  <c r="C3837" i="5"/>
  <c r="D3837" i="5"/>
  <c r="C3850" i="5"/>
  <c r="D3850" i="5"/>
  <c r="C3960" i="5"/>
  <c r="D3960" i="5"/>
  <c r="C4038" i="5"/>
  <c r="D4038" i="5"/>
  <c r="C4104" i="5"/>
  <c r="D4104" i="5"/>
  <c r="C4119" i="5"/>
  <c r="D4119" i="5"/>
  <c r="C4129" i="5"/>
  <c r="D4129" i="5"/>
  <c r="C4202" i="5"/>
  <c r="D4202" i="5"/>
  <c r="D4307" i="5"/>
  <c r="C4418" i="5"/>
  <c r="D4418" i="5"/>
  <c r="C4423" i="5"/>
  <c r="D4423" i="5"/>
  <c r="D4455" i="5"/>
  <c r="C4467" i="5"/>
  <c r="D4467" i="5"/>
  <c r="C4512" i="5"/>
  <c r="D4512" i="5"/>
  <c r="C4526" i="5"/>
  <c r="D4526" i="5"/>
  <c r="C4525" i="5"/>
  <c r="D4525" i="5"/>
  <c r="C4571" i="5"/>
  <c r="D4571" i="5"/>
  <c r="C4580" i="5"/>
  <c r="D4580" i="5"/>
  <c r="C4587" i="5"/>
  <c r="D4587" i="5"/>
  <c r="C2026" i="5"/>
  <c r="D2026" i="5"/>
  <c r="C2185" i="5"/>
  <c r="D2185" i="5"/>
  <c r="D2108" i="5"/>
  <c r="C2283" i="5"/>
  <c r="D2283" i="5"/>
  <c r="C2305" i="5"/>
  <c r="D2305" i="5"/>
  <c r="D2316" i="5"/>
  <c r="C2316" i="5"/>
  <c r="C2327" i="5"/>
  <c r="D2327" i="5"/>
  <c r="C2340" i="5"/>
  <c r="D2340" i="5"/>
  <c r="C2540" i="5"/>
  <c r="D2540" i="5"/>
  <c r="C2551" i="5"/>
  <c r="D2551" i="5"/>
  <c r="C2929" i="5"/>
  <c r="D2929" i="5"/>
  <c r="C2923" i="5"/>
  <c r="D2923" i="5"/>
  <c r="C2899" i="5"/>
  <c r="D2899" i="5"/>
  <c r="C2893" i="5"/>
  <c r="D2893" i="5"/>
  <c r="C2888" i="5"/>
  <c r="D2888" i="5"/>
  <c r="C2883" i="5"/>
  <c r="D2883" i="5"/>
  <c r="C2825" i="5"/>
  <c r="D2825" i="5"/>
  <c r="C2814" i="5"/>
  <c r="D2814" i="5"/>
  <c r="C2771" i="5"/>
  <c r="D2771" i="5"/>
  <c r="C2759" i="5"/>
  <c r="D2759" i="5"/>
  <c r="C2742" i="5"/>
  <c r="D2742" i="5"/>
  <c r="C2734" i="5"/>
  <c r="D2734" i="5"/>
  <c r="C2726" i="5"/>
  <c r="D2726" i="5"/>
  <c r="C2718" i="5"/>
  <c r="D2718" i="5"/>
  <c r="C2706" i="5"/>
  <c r="D2706" i="5"/>
  <c r="C2694" i="5"/>
  <c r="D2694" i="5"/>
  <c r="C2682" i="5"/>
  <c r="D2682" i="5"/>
  <c r="C2670" i="5"/>
  <c r="D2670" i="5"/>
  <c r="C2658" i="5"/>
  <c r="D2658" i="5"/>
  <c r="C2562" i="5"/>
  <c r="D2562" i="5"/>
  <c r="C2347" i="5"/>
  <c r="D2347" i="5"/>
  <c r="G2283" i="5"/>
  <c r="I2283" i="5" s="1"/>
  <c r="C2167" i="5"/>
  <c r="D2167" i="5"/>
  <c r="C2156" i="5"/>
  <c r="D2156" i="5"/>
  <c r="C2120" i="5"/>
  <c r="D2120" i="5"/>
  <c r="C2108" i="5"/>
  <c r="C2088" i="5"/>
  <c r="D2088" i="5"/>
  <c r="C2082" i="5"/>
  <c r="D2082" i="5"/>
  <c r="C2074" i="5"/>
  <c r="D2074" i="5"/>
  <c r="C2067" i="5"/>
  <c r="D2067" i="5"/>
  <c r="C2061" i="5"/>
  <c r="D2061" i="5"/>
  <c r="C2051" i="5"/>
  <c r="D2051" i="5"/>
  <c r="C2038" i="5"/>
  <c r="D2038" i="5"/>
  <c r="C2013" i="5"/>
  <c r="D2013" i="5"/>
  <c r="C2001" i="5"/>
  <c r="D2001" i="5"/>
  <c r="C2000" i="5"/>
  <c r="D2000" i="5"/>
  <c r="C1974" i="5"/>
  <c r="D1974" i="5"/>
  <c r="C1964" i="5"/>
  <c r="D1964" i="5"/>
  <c r="C1893" i="5"/>
  <c r="D1893" i="5"/>
  <c r="C1858" i="5"/>
  <c r="D1858" i="5"/>
  <c r="C1857" i="5"/>
  <c r="D1857" i="5"/>
  <c r="C1856" i="5"/>
  <c r="D1856" i="5"/>
  <c r="C1838" i="5"/>
  <c r="D1838" i="5"/>
  <c r="C1837" i="5"/>
  <c r="D1837" i="5"/>
  <c r="C1836" i="5"/>
  <c r="D1836" i="5"/>
  <c r="C1835" i="5"/>
  <c r="D1835" i="5"/>
  <c r="C1824" i="5"/>
  <c r="D1824" i="5"/>
  <c r="C1823" i="5"/>
  <c r="D1823" i="5"/>
  <c r="C1822" i="5"/>
  <c r="D1822" i="5"/>
  <c r="C1821" i="5"/>
  <c r="D1821" i="5"/>
  <c r="C1820" i="5"/>
  <c r="D1820" i="5"/>
  <c r="C1819" i="5"/>
  <c r="D1819" i="5"/>
  <c r="C1810" i="5"/>
  <c r="D1810" i="5"/>
  <c r="C1809" i="5"/>
  <c r="D1809" i="5"/>
  <c r="C1793" i="5"/>
  <c r="D1793" i="5"/>
  <c r="C1792" i="5"/>
  <c r="D1792" i="5"/>
  <c r="C1785" i="5"/>
  <c r="D1785" i="5"/>
  <c r="C1782" i="5"/>
  <c r="D1782" i="5"/>
  <c r="C1781" i="5"/>
  <c r="D1781" i="5"/>
  <c r="C1772" i="5"/>
  <c r="D1772" i="5"/>
  <c r="C1771" i="5"/>
  <c r="D1771" i="5"/>
  <c r="C1770" i="5"/>
  <c r="D1770" i="5"/>
  <c r="C1761" i="5"/>
  <c r="D1761" i="5"/>
  <c r="C1760" i="5"/>
  <c r="D1760" i="5"/>
  <c r="C1759" i="5"/>
  <c r="D1759" i="5"/>
  <c r="C1758" i="5"/>
  <c r="D1758" i="5"/>
  <c r="C1757" i="5"/>
  <c r="D1757" i="5"/>
  <c r="C1746" i="5"/>
  <c r="D1746" i="5"/>
  <c r="C1745" i="5"/>
  <c r="D1745" i="5"/>
  <c r="D1744" i="5"/>
  <c r="C1742" i="5"/>
  <c r="D1742" i="5"/>
  <c r="C1735" i="5"/>
  <c r="D1735" i="5"/>
  <c r="C1728" i="5"/>
  <c r="D1728" i="5"/>
  <c r="C1718" i="5"/>
  <c r="D1718" i="5"/>
  <c r="C1709" i="5"/>
  <c r="D1709" i="5"/>
  <c r="C1676" i="5"/>
  <c r="D1676" i="5"/>
  <c r="C1669" i="5"/>
  <c r="D1669" i="5"/>
  <c r="C1660" i="5"/>
  <c r="D1660" i="5"/>
  <c r="C1613" i="5"/>
  <c r="D1613" i="5"/>
  <c r="C1606" i="5"/>
  <c r="D1606" i="5"/>
  <c r="C1584" i="5"/>
  <c r="D1584" i="5"/>
  <c r="C1577" i="5"/>
  <c r="D1577" i="5"/>
  <c r="C1571" i="5"/>
  <c r="D1571" i="5"/>
  <c r="C1565" i="5"/>
  <c r="D1565" i="5"/>
  <c r="C1559" i="5"/>
  <c r="D1559" i="5"/>
  <c r="C1555" i="5"/>
  <c r="D1555" i="5"/>
  <c r="C1547" i="5"/>
  <c r="D1547" i="5"/>
  <c r="C1538" i="5"/>
  <c r="D1538" i="5"/>
  <c r="C1522" i="5"/>
  <c r="D1522" i="5"/>
  <c r="C1514" i="5"/>
  <c r="D1514" i="5"/>
  <c r="C1508" i="5"/>
  <c r="D1508" i="5"/>
  <c r="C1497" i="5"/>
  <c r="D1497" i="5"/>
  <c r="C1486" i="5"/>
  <c r="D1486" i="5"/>
  <c r="C1475" i="5"/>
  <c r="D1475" i="5"/>
  <c r="C1467" i="5"/>
  <c r="D1467" i="5"/>
  <c r="C1450" i="5"/>
  <c r="D1450" i="5"/>
  <c r="C1127" i="5"/>
  <c r="D1127" i="5"/>
  <c r="C1126" i="5"/>
  <c r="D1126" i="5"/>
  <c r="C1114" i="5"/>
  <c r="D1114" i="5"/>
  <c r="C1105" i="5"/>
  <c r="D1105" i="5"/>
  <c r="C1096" i="5"/>
  <c r="D1096" i="5"/>
  <c r="C1088" i="5"/>
  <c r="D1088" i="5"/>
  <c r="C1071" i="5"/>
  <c r="D1071" i="5"/>
  <c r="C1079" i="5"/>
  <c r="D1079" i="5"/>
  <c r="C1074" i="5"/>
  <c r="D1074" i="5"/>
  <c r="C1073" i="5"/>
  <c r="D1073" i="5"/>
  <c r="C1072" i="5"/>
  <c r="D1072" i="5"/>
  <c r="C1054" i="5"/>
  <c r="D1054" i="5"/>
  <c r="D1053" i="5"/>
  <c r="C1043" i="5"/>
  <c r="D1043" i="5"/>
  <c r="C1042" i="5"/>
  <c r="D1042" i="5"/>
  <c r="C1032" i="5"/>
  <c r="D1032" i="5"/>
  <c r="C1031" i="5"/>
  <c r="D1031" i="5"/>
  <c r="C1021" i="5"/>
  <c r="D1021" i="5"/>
  <c r="C1011" i="5"/>
  <c r="D1011" i="5"/>
  <c r="C997" i="5"/>
  <c r="D997" i="5"/>
  <c r="D983" i="5"/>
  <c r="C969" i="5"/>
  <c r="D969" i="5"/>
  <c r="C960" i="5"/>
  <c r="D960" i="5"/>
  <c r="G859" i="5"/>
  <c r="I859" i="5" s="1"/>
  <c r="D859" i="5"/>
  <c r="C859" i="5"/>
  <c r="C867" i="5"/>
  <c r="D867" i="5"/>
  <c r="G867" i="5"/>
  <c r="I867" i="5" s="1"/>
  <c r="G877" i="5"/>
  <c r="I877" i="5" s="1"/>
  <c r="C877" i="5"/>
  <c r="D877" i="5"/>
  <c r="C890" i="5"/>
  <c r="D890" i="5"/>
  <c r="C948" i="5"/>
  <c r="D948" i="5"/>
  <c r="G948" i="5"/>
  <c r="I948" i="5" s="1"/>
  <c r="D947" i="5"/>
  <c r="C947" i="5"/>
  <c r="D937" i="5"/>
  <c r="C937" i="5"/>
  <c r="D925" i="5"/>
  <c r="C925" i="5"/>
  <c r="D914" i="5"/>
  <c r="C914" i="5"/>
  <c r="D903" i="5"/>
  <c r="C903" i="5"/>
  <c r="D889" i="5"/>
  <c r="C889" i="5"/>
  <c r="D878" i="5"/>
  <c r="C878" i="5"/>
  <c r="C866" i="5"/>
  <c r="D866" i="5"/>
  <c r="G858" i="5"/>
  <c r="I858" i="5" s="1"/>
  <c r="D858" i="5"/>
  <c r="C858" i="5"/>
  <c r="D853" i="5"/>
  <c r="C853" i="5"/>
  <c r="C843" i="5"/>
  <c r="D843" i="5"/>
  <c r="C852" i="5"/>
  <c r="D852" i="5"/>
  <c r="G852" i="5"/>
  <c r="I852" i="5" s="1"/>
  <c r="C842" i="5"/>
  <c r="D842" i="5"/>
  <c r="G842" i="5"/>
  <c r="I842" i="5" s="1"/>
  <c r="F928" i="5"/>
  <c r="F916" i="5"/>
  <c r="C951" i="5"/>
  <c r="D951" i="5"/>
  <c r="C941" i="5"/>
  <c r="D941" i="5"/>
  <c r="D929" i="5"/>
  <c r="C928" i="5"/>
  <c r="D928" i="5"/>
  <c r="D905" i="5"/>
  <c r="C905" i="5"/>
  <c r="D891" i="5"/>
  <c r="C891" i="5"/>
  <c r="D879" i="5"/>
  <c r="C879" i="5"/>
  <c r="C868" i="5"/>
  <c r="D868" i="5"/>
  <c r="D860" i="5"/>
  <c r="C860" i="5"/>
  <c r="D854" i="5"/>
  <c r="C854" i="5"/>
  <c r="D845" i="5"/>
  <c r="C845" i="5"/>
  <c r="D844" i="5"/>
  <c r="C844" i="5"/>
  <c r="C831" i="5"/>
  <c r="D831" i="5"/>
  <c r="D830" i="5"/>
  <c r="C830" i="5"/>
  <c r="C829" i="5"/>
  <c r="D829" i="5"/>
  <c r="C828" i="5"/>
  <c r="D828" i="5"/>
  <c r="C818" i="5"/>
  <c r="D818" i="5"/>
  <c r="D817" i="5"/>
  <c r="C817" i="5"/>
  <c r="C816" i="5"/>
  <c r="D815" i="5"/>
  <c r="C815" i="5"/>
  <c r="D805" i="5"/>
  <c r="C805" i="5"/>
  <c r="D804" i="5"/>
  <c r="C804" i="5"/>
  <c r="D803" i="5"/>
  <c r="C803" i="5"/>
  <c r="C802" i="5"/>
  <c r="D802" i="5"/>
  <c r="D793" i="5"/>
  <c r="C793" i="5"/>
  <c r="D780" i="5"/>
  <c r="C780" i="5"/>
  <c r="D768" i="5"/>
  <c r="C768" i="5"/>
  <c r="D755" i="5"/>
  <c r="C755" i="5"/>
  <c r="D711" i="5"/>
  <c r="C711" i="5"/>
  <c r="D700" i="5"/>
  <c r="C700" i="5"/>
  <c r="D691" i="5"/>
  <c r="C691" i="5"/>
  <c r="C682" i="5"/>
  <c r="D682" i="5"/>
  <c r="D673" i="5"/>
  <c r="C673" i="5"/>
  <c r="D672" i="5"/>
  <c r="C672" i="5"/>
  <c r="C664" i="5"/>
  <c r="D664" i="5"/>
  <c r="D655" i="5"/>
  <c r="C655" i="5"/>
  <c r="D654" i="5"/>
  <c r="C654" i="5"/>
  <c r="C648" i="5"/>
  <c r="D648" i="5"/>
  <c r="C644" i="5"/>
  <c r="D644" i="5"/>
  <c r="D637" i="5"/>
  <c r="C637" i="5"/>
  <c r="C636" i="5"/>
  <c r="D636" i="5"/>
  <c r="C626" i="5"/>
  <c r="D626" i="5"/>
  <c r="C625" i="5"/>
  <c r="D625" i="5"/>
  <c r="C624" i="5"/>
  <c r="D624" i="5"/>
  <c r="C615" i="5"/>
  <c r="D615" i="5"/>
  <c r="C614" i="5"/>
  <c r="D614" i="5"/>
  <c r="C613" i="5"/>
  <c r="D613" i="5"/>
  <c r="C612" i="5"/>
  <c r="D612" i="5"/>
  <c r="C606" i="5"/>
  <c r="D606" i="5"/>
  <c r="C605" i="5"/>
  <c r="D605" i="5"/>
  <c r="C604" i="5"/>
  <c r="D604" i="5"/>
  <c r="C594" i="5"/>
  <c r="D594" i="5"/>
  <c r="C573" i="5"/>
  <c r="D573" i="5"/>
  <c r="C477" i="5"/>
  <c r="D477" i="5"/>
  <c r="C445" i="5"/>
  <c r="D445" i="5"/>
  <c r="C444" i="5"/>
  <c r="D444" i="5"/>
  <c r="C407" i="5"/>
  <c r="D407" i="5"/>
  <c r="C402" i="5"/>
  <c r="D402" i="5"/>
  <c r="C373" i="5"/>
  <c r="D373" i="5"/>
  <c r="C352" i="5"/>
  <c r="D352" i="5"/>
  <c r="C296" i="5"/>
  <c r="D296" i="5"/>
  <c r="D295" i="5"/>
  <c r="C295" i="5"/>
  <c r="C288" i="5"/>
  <c r="D288" i="5"/>
  <c r="C261" i="5"/>
  <c r="D261" i="5"/>
  <c r="C260" i="5"/>
  <c r="D260" i="5"/>
  <c r="D72" i="5"/>
  <c r="C72" i="5"/>
  <c r="D235" i="5"/>
  <c r="C235" i="5"/>
  <c r="D222" i="5"/>
  <c r="C222" i="5"/>
  <c r="D215" i="5"/>
  <c r="C215" i="5"/>
  <c r="D211" i="5"/>
  <c r="C211" i="5"/>
  <c r="C4387" i="5"/>
  <c r="D4371" i="5"/>
  <c r="C4371" i="5"/>
  <c r="D4271" i="5"/>
  <c r="C4271" i="5"/>
  <c r="D4210" i="5"/>
  <c r="C4210" i="5"/>
  <c r="D4209" i="5"/>
  <c r="C4209" i="5"/>
  <c r="D4128" i="5"/>
  <c r="C4128" i="5"/>
  <c r="D4127" i="5"/>
  <c r="C4127" i="5"/>
  <c r="D4118" i="5"/>
  <c r="C4118" i="5"/>
  <c r="D4117" i="5"/>
  <c r="C4117" i="5"/>
  <c r="D2910" i="5"/>
  <c r="C2910" i="5"/>
  <c r="D2874" i="5"/>
  <c r="C2874" i="5"/>
  <c r="D2875" i="5"/>
  <c r="C2875" i="5"/>
  <c r="D2835" i="5"/>
  <c r="C2835" i="5"/>
  <c r="D2834" i="5"/>
  <c r="C2834" i="5"/>
  <c r="D1234" i="5"/>
  <c r="C1234" i="5"/>
  <c r="D304" i="5"/>
  <c r="C304" i="5"/>
  <c r="D320" i="5"/>
  <c r="C320" i="5"/>
  <c r="D312" i="5"/>
  <c r="C312" i="5"/>
  <c r="C297" i="5"/>
  <c r="D297" i="5"/>
  <c r="C391" i="5"/>
  <c r="D391" i="5"/>
  <c r="D482" i="5"/>
  <c r="C482" i="5"/>
  <c r="D447" i="5"/>
  <c r="C447" i="5"/>
  <c r="E412" i="5"/>
  <c r="D412" i="5"/>
  <c r="C412" i="5"/>
  <c r="D486" i="5"/>
  <c r="C486" i="5"/>
  <c r="D446" i="5"/>
  <c r="C446" i="5"/>
  <c r="D426" i="5"/>
  <c r="C426" i="5"/>
  <c r="D411" i="5"/>
  <c r="C411" i="5"/>
  <c r="D390" i="5"/>
  <c r="C390" i="5"/>
  <c r="D374" i="5"/>
  <c r="C374" i="5"/>
  <c r="D358" i="5"/>
  <c r="C358" i="5"/>
  <c r="D351" i="5"/>
  <c r="C351" i="5"/>
  <c r="D341" i="5"/>
  <c r="C341" i="5"/>
  <c r="D298" i="5"/>
  <c r="C298" i="5"/>
  <c r="E4511" i="5"/>
  <c r="D4511" i="5"/>
  <c r="C4511" i="5"/>
  <c r="D4111" i="5"/>
  <c r="C4111" i="5"/>
  <c r="D4077" i="5"/>
  <c r="C4077" i="5"/>
  <c r="D4082" i="5"/>
  <c r="C4082" i="5"/>
  <c r="D4071" i="5"/>
  <c r="C4071" i="5"/>
  <c r="C4059" i="5"/>
  <c r="D4059" i="5"/>
  <c r="H4599" i="5"/>
  <c r="E4597" i="5"/>
  <c r="G4598" i="5"/>
  <c r="I4598" i="5" s="1"/>
  <c r="E4598" i="5"/>
  <c r="E4599" i="5"/>
  <c r="D4599" i="5"/>
  <c r="C4599" i="5"/>
  <c r="E491" i="5"/>
  <c r="D491" i="5"/>
  <c r="C491" i="5"/>
  <c r="G492" i="5"/>
  <c r="I492" i="5" s="1"/>
  <c r="E492" i="5"/>
  <c r="D492" i="5"/>
  <c r="C492" i="5"/>
  <c r="C4593" i="5"/>
  <c r="D4593" i="5"/>
  <c r="G4592" i="5"/>
  <c r="I4592" i="5" s="1"/>
  <c r="G4586" i="5"/>
  <c r="I4586" i="5" s="1"/>
  <c r="E4589" i="5"/>
  <c r="D4589" i="5"/>
  <c r="C4589" i="5"/>
  <c r="D4588" i="5"/>
  <c r="C4588" i="5"/>
  <c r="H4585" i="5"/>
  <c r="H4584" i="5"/>
  <c r="H4575" i="5"/>
  <c r="G4579" i="5"/>
  <c r="I4579" i="5" s="1"/>
  <c r="G4578" i="5"/>
  <c r="I4578" i="5" s="1"/>
  <c r="G4577" i="5"/>
  <c r="I4577" i="5" s="1"/>
  <c r="G4576" i="5"/>
  <c r="I4576" i="5" s="1"/>
  <c r="G4570" i="5"/>
  <c r="I4570" i="5" s="1"/>
  <c r="G4569" i="5"/>
  <c r="I4569" i="5" s="1"/>
  <c r="G4568" i="5"/>
  <c r="I4568" i="5" s="1"/>
  <c r="G4567" i="5"/>
  <c r="I4567" i="5" s="1"/>
  <c r="G4566" i="5"/>
  <c r="H4566" i="5"/>
  <c r="H4565" i="5"/>
  <c r="H4564" i="5"/>
  <c r="G4558" i="5"/>
  <c r="I4558" i="5" s="1"/>
  <c r="G4556" i="5"/>
  <c r="I4556" i="5" s="1"/>
  <c r="H4562" i="5"/>
  <c r="H4560" i="5"/>
  <c r="G4156" i="5"/>
  <c r="I4156" i="5" s="1"/>
  <c r="G4154" i="5"/>
  <c r="I4154" i="5" s="1"/>
  <c r="G4155" i="5"/>
  <c r="I4155" i="5" s="1"/>
  <c r="G3673" i="5"/>
  <c r="I3673" i="5" s="1"/>
  <c r="D939" i="5"/>
  <c r="D1151" i="5"/>
  <c r="G4553" i="5"/>
  <c r="D4548" i="5"/>
  <c r="C4548" i="5"/>
  <c r="G4547" i="5"/>
  <c r="G4546" i="5"/>
  <c r="I4546" i="5" s="1"/>
  <c r="G4545" i="5"/>
  <c r="I4545" i="5" s="1"/>
  <c r="G4544" i="5"/>
  <c r="I4544" i="5" s="1"/>
  <c r="G4543" i="5"/>
  <c r="H4547" i="5"/>
  <c r="H4543" i="5"/>
  <c r="H4542" i="5"/>
  <c r="G1061" i="5"/>
  <c r="I1061" i="5" s="1"/>
  <c r="G1059" i="5"/>
  <c r="I1059" i="5" s="1"/>
  <c r="H1065" i="5"/>
  <c r="H1063" i="5"/>
  <c r="E2795" i="5"/>
  <c r="G2795" i="5"/>
  <c r="I2795" i="5" s="1"/>
  <c r="G2740" i="5"/>
  <c r="I2740" i="5" s="1"/>
  <c r="F1858" i="5"/>
  <c r="F1282" i="5"/>
  <c r="F1270" i="5"/>
  <c r="F1054" i="5"/>
  <c r="F1043" i="5"/>
  <c r="F1032" i="5"/>
  <c r="F1022" i="5"/>
  <c r="F1010" i="5"/>
  <c r="F929" i="5"/>
  <c r="F917" i="5"/>
  <c r="G475" i="5"/>
  <c r="I475" i="5" s="1"/>
  <c r="G468" i="5"/>
  <c r="I468" i="5" s="1"/>
  <c r="G3712" i="5"/>
  <c r="I3712" i="5" s="1"/>
  <c r="G3707" i="5"/>
  <c r="I3707" i="5" s="1"/>
  <c r="G3795" i="5"/>
  <c r="I3795" i="5" s="1"/>
  <c r="H3796" i="5"/>
  <c r="G2419" i="5"/>
  <c r="I2419" i="5" s="1"/>
  <c r="G476" i="5"/>
  <c r="I476" i="5" s="1"/>
  <c r="D476" i="5"/>
  <c r="G469" i="5"/>
  <c r="I469" i="5" s="1"/>
  <c r="D469" i="5"/>
  <c r="G1591" i="5"/>
  <c r="I1591" i="5" s="1"/>
  <c r="G982" i="5"/>
  <c r="I982" i="5" s="1"/>
  <c r="G379" i="5"/>
  <c r="I379" i="5" s="1"/>
  <c r="G4108" i="5"/>
  <c r="G4010" i="5"/>
  <c r="I4010" i="5" s="1"/>
  <c r="G4006" i="5"/>
  <c r="I4006" i="5" s="1"/>
  <c r="G3966" i="5"/>
  <c r="I3966" i="5" s="1"/>
  <c r="G3816" i="5"/>
  <c r="I3816" i="5" s="1"/>
  <c r="G3416" i="5"/>
  <c r="I3416" i="5" s="1"/>
  <c r="G3417" i="5" s="1"/>
  <c r="G2879" i="5"/>
  <c r="G2650" i="5"/>
  <c r="I2650" i="5" s="1"/>
  <c r="G2649" i="5"/>
  <c r="I2649" i="5" s="1"/>
  <c r="G2581" i="5"/>
  <c r="G2477" i="5"/>
  <c r="D2477" i="5"/>
  <c r="G2418" i="5"/>
  <c r="I2418" i="5" s="1"/>
  <c r="G2153" i="5"/>
  <c r="G1955" i="5"/>
  <c r="G1950" i="5"/>
  <c r="G1854" i="5"/>
  <c r="I1854" i="5" s="1"/>
  <c r="G1853" i="5"/>
  <c r="I1853" i="5" s="1"/>
  <c r="G1778" i="5"/>
  <c r="I1778" i="5" s="1"/>
  <c r="G1779" i="5"/>
  <c r="I1779" i="5" s="1"/>
  <c r="G1740" i="5"/>
  <c r="I1740" i="5" s="1"/>
  <c r="G1755" i="5"/>
  <c r="I1755" i="5" s="1"/>
  <c r="G1777" i="5"/>
  <c r="G1739" i="5"/>
  <c r="G1752" i="5"/>
  <c r="G1675" i="5"/>
  <c r="G1851" i="5"/>
  <c r="I1851" i="5" s="1"/>
  <c r="G1494" i="5"/>
  <c r="I1494" i="5" s="1"/>
  <c r="G1505" i="5"/>
  <c r="I1505" i="5" s="1"/>
  <c r="G1265" i="5"/>
  <c r="I1265" i="5" s="1"/>
  <c r="G1277" i="5"/>
  <c r="I1277" i="5" s="1"/>
  <c r="G1141" i="5"/>
  <c r="I1141" i="5" s="1"/>
  <c r="G708" i="5"/>
  <c r="I708" i="5" s="1"/>
  <c r="G583" i="5"/>
  <c r="I583" i="5" s="1"/>
  <c r="G456" i="5"/>
  <c r="G461" i="5"/>
  <c r="G394" i="5"/>
  <c r="G450" i="5"/>
  <c r="G319" i="5"/>
  <c r="I319" i="5" s="1"/>
  <c r="G4086" i="5"/>
  <c r="I4086" i="5" s="1"/>
  <c r="G303" i="5"/>
  <c r="I303" i="5" s="1"/>
  <c r="G4208" i="5"/>
  <c r="I4208" i="5" s="1"/>
  <c r="G23" i="5"/>
  <c r="I23" i="5" s="1"/>
  <c r="G3637" i="5"/>
  <c r="I3637" i="5" s="1"/>
  <c r="H3639" i="5"/>
  <c r="D3617" i="5"/>
  <c r="G2784" i="5"/>
  <c r="I2784" i="5" s="1"/>
  <c r="G1429" i="5"/>
  <c r="I1429" i="5" s="1"/>
  <c r="G1681" i="5"/>
  <c r="I1681" i="5" s="1"/>
  <c r="G1060" i="5"/>
  <c r="I1060" i="5" s="1"/>
  <c r="G4557" i="5"/>
  <c r="I4557" i="5" s="1"/>
  <c r="H28" i="5"/>
  <c r="E28" i="5"/>
  <c r="D28" i="5"/>
  <c r="G1125" i="5"/>
  <c r="I1125" i="5" s="1"/>
  <c r="G1124" i="5"/>
  <c r="G1123" i="5"/>
  <c r="I1123" i="5" s="1"/>
  <c r="G1122" i="5"/>
  <c r="I1122" i="5" s="1"/>
  <c r="G1121" i="5"/>
  <c r="I1121" i="5" s="1"/>
  <c r="G1120" i="5"/>
  <c r="G1119" i="5"/>
  <c r="H1128" i="5"/>
  <c r="F1124" i="5"/>
  <c r="H1120" i="5"/>
  <c r="F1119" i="5"/>
  <c r="H1118" i="5"/>
  <c r="H2027" i="5"/>
  <c r="G2024" i="5"/>
  <c r="I2024" i="5" s="1"/>
  <c r="G2025" i="5"/>
  <c r="I2025" i="5" s="1"/>
  <c r="G2026" i="5"/>
  <c r="I2026" i="5" s="1"/>
  <c r="G2423" i="5"/>
  <c r="I2423" i="5" s="1"/>
  <c r="H3614" i="5"/>
  <c r="H3619" i="5"/>
  <c r="H3624" i="5"/>
  <c r="H3468" i="5"/>
  <c r="H3461" i="5"/>
  <c r="H3453" i="5"/>
  <c r="H3444" i="5"/>
  <c r="G1280" i="5"/>
  <c r="G1278" i="5"/>
  <c r="I1278" i="5" s="1"/>
  <c r="G947" i="5"/>
  <c r="I947" i="5" s="1"/>
  <c r="H3014" i="5"/>
  <c r="I3012" i="5"/>
  <c r="H3995" i="5"/>
  <c r="G3994" i="5"/>
  <c r="I3994" i="5" s="1"/>
  <c r="G3993" i="5"/>
  <c r="I3993" i="5" s="1"/>
  <c r="G3992" i="5"/>
  <c r="I3992" i="5" s="1"/>
  <c r="B25" i="6"/>
  <c r="B27" i="6" s="1"/>
  <c r="G2272" i="5"/>
  <c r="I2272" i="5" s="1"/>
  <c r="G2185" i="5"/>
  <c r="I2185" i="5" s="1"/>
  <c r="H2175" i="5"/>
  <c r="G2174" i="5"/>
  <c r="I2174" i="5" s="1"/>
  <c r="G2546" i="5"/>
  <c r="I2546" i="5" s="1"/>
  <c r="G2340" i="5"/>
  <c r="I2340" i="5" s="1"/>
  <c r="H2341" i="5"/>
  <c r="G4483" i="5"/>
  <c r="I4483" i="5" s="1"/>
  <c r="G3697" i="5"/>
  <c r="I3697" i="5" s="1"/>
  <c r="G3692" i="5"/>
  <c r="I3692" i="5" s="1"/>
  <c r="G3687" i="5"/>
  <c r="I3687" i="5" s="1"/>
  <c r="G3682" i="5"/>
  <c r="I3682" i="5" s="1"/>
  <c r="G3677" i="5"/>
  <c r="I3677" i="5" s="1"/>
  <c r="H3694" i="5"/>
  <c r="H3679" i="5"/>
  <c r="B30" i="6"/>
  <c r="B32" i="6" s="1"/>
  <c r="C27" i="6"/>
  <c r="G259" i="5"/>
  <c r="I259" i="5" s="1"/>
  <c r="G418" i="5"/>
  <c r="G213" i="5"/>
  <c r="G337" i="5"/>
  <c r="H3780" i="5"/>
  <c r="G546" i="5"/>
  <c r="I546" i="5" s="1"/>
  <c r="G547" i="5"/>
  <c r="I547" i="5" s="1"/>
  <c r="G548" i="5"/>
  <c r="I548" i="5" s="1"/>
  <c r="G4500" i="5"/>
  <c r="G4501" i="5"/>
  <c r="G4494" i="5"/>
  <c r="H4490" i="5"/>
  <c r="G3439" i="5"/>
  <c r="I3439" i="5" s="1"/>
  <c r="G3440" i="5" s="1"/>
  <c r="G2989" i="5"/>
  <c r="I2989" i="5" s="1"/>
  <c r="G3269" i="5"/>
  <c r="I3269" i="5" s="1"/>
  <c r="H3435" i="5"/>
  <c r="G3434" i="5"/>
  <c r="I3434" i="5" s="1"/>
  <c r="G3433" i="5"/>
  <c r="I3433" i="5" s="1"/>
  <c r="G3846" i="5"/>
  <c r="I3846" i="5" s="1"/>
  <c r="H4537" i="5"/>
  <c r="H4497" i="5"/>
  <c r="G811" i="5"/>
  <c r="G4201" i="5"/>
  <c r="I4201" i="5" s="1"/>
  <c r="G1420" i="5"/>
  <c r="I1420" i="5" s="1"/>
  <c r="G1393" i="5"/>
  <c r="I1393" i="5" s="1"/>
  <c r="G1267" i="5"/>
  <c r="I1267" i="5" s="1"/>
  <c r="G1246" i="5"/>
  <c r="I1246" i="5" s="1"/>
  <c r="G1239" i="5"/>
  <c r="I1239" i="5" s="1"/>
  <c r="G1232" i="5"/>
  <c r="I1232" i="5" s="1"/>
  <c r="G1214" i="5"/>
  <c r="I1214" i="5" s="1"/>
  <c r="G1222" i="5"/>
  <c r="I1222" i="5" s="1"/>
  <c r="F1159" i="5"/>
  <c r="F791" i="5"/>
  <c r="G680" i="5"/>
  <c r="I680" i="5" s="1"/>
  <c r="H412" i="5"/>
  <c r="H2875" i="5"/>
  <c r="G2980" i="5"/>
  <c r="H2983" i="5"/>
  <c r="H2971" i="5"/>
  <c r="H2977" i="5"/>
  <c r="H2959" i="5"/>
  <c r="H2953" i="5"/>
  <c r="H2965" i="5"/>
  <c r="G2968" i="5"/>
  <c r="H2536" i="5"/>
  <c r="G2536" i="5"/>
  <c r="H2008" i="5"/>
  <c r="H1956" i="5"/>
  <c r="H1955" i="5"/>
  <c r="G1949" i="5"/>
  <c r="I1949" i="5" s="1"/>
  <c r="H1951" i="5"/>
  <c r="H1950" i="5"/>
  <c r="G4524" i="5"/>
  <c r="I4524" i="5" s="1"/>
  <c r="G4471" i="5"/>
  <c r="H4470" i="5"/>
  <c r="H4468" i="5"/>
  <c r="H1844" i="5"/>
  <c r="H1828" i="5"/>
  <c r="G1828" i="5"/>
  <c r="H2170" i="5"/>
  <c r="G1861" i="5"/>
  <c r="H1841" i="5"/>
  <c r="H2168" i="5"/>
  <c r="H1859" i="5"/>
  <c r="H1786" i="5"/>
  <c r="H1310" i="5"/>
  <c r="H1295" i="5"/>
  <c r="H1283" i="5"/>
  <c r="H1271" i="5"/>
  <c r="H403" i="5"/>
  <c r="G4065" i="5"/>
  <c r="I4065" i="5" s="1"/>
  <c r="H2644" i="5"/>
  <c r="H2201" i="5"/>
  <c r="G2643" i="5"/>
  <c r="I2643" i="5" s="1"/>
  <c r="H4456" i="5"/>
  <c r="H4473" i="5"/>
  <c r="F4509" i="5"/>
  <c r="F4459" i="5"/>
  <c r="F4390" i="5"/>
  <c r="F4216" i="5"/>
  <c r="F1298" i="5"/>
  <c r="F1286" i="5"/>
  <c r="F1274" i="5"/>
  <c r="F1262" i="5"/>
  <c r="F1015" i="5"/>
  <c r="F989" i="5"/>
  <c r="F956" i="5"/>
  <c r="F933" i="5"/>
  <c r="F921" i="5"/>
  <c r="F798" i="5"/>
  <c r="F785" i="5"/>
  <c r="F747" i="5"/>
  <c r="F451" i="5"/>
  <c r="F416" i="5"/>
  <c r="F395" i="5"/>
  <c r="F325" i="5"/>
  <c r="F317" i="5"/>
  <c r="F292" i="5"/>
  <c r="F279" i="5"/>
  <c r="F272" i="5"/>
  <c r="F241" i="5"/>
  <c r="H1137" i="5"/>
  <c r="H627" i="5"/>
  <c r="G2516" i="5"/>
  <c r="I2516" i="5" s="1"/>
  <c r="G2515" i="5"/>
  <c r="I2515" i="5" s="1"/>
  <c r="H2521" i="5"/>
  <c r="G2508" i="5"/>
  <c r="I2508" i="5" s="1"/>
  <c r="G2510" i="5"/>
  <c r="I2510" i="5" s="1"/>
  <c r="G2509" i="5"/>
  <c r="I2509" i="5" s="1"/>
  <c r="G2507" i="5"/>
  <c r="I2507" i="5" s="1"/>
  <c r="G2506" i="5"/>
  <c r="I2506" i="5" s="1"/>
  <c r="G2505" i="5"/>
  <c r="I2505" i="5" s="1"/>
  <c r="G2500" i="5"/>
  <c r="I2500" i="5" s="1"/>
  <c r="G2499" i="5"/>
  <c r="I2499" i="5" s="1"/>
  <c r="G2498" i="5"/>
  <c r="I2498" i="5" s="1"/>
  <c r="G2497" i="5"/>
  <c r="I2497" i="5" s="1"/>
  <c r="G2496" i="5"/>
  <c r="I2496" i="5" s="1"/>
  <c r="G2495" i="5"/>
  <c r="I2495" i="5" s="1"/>
  <c r="H2511" i="5"/>
  <c r="H2501" i="5"/>
  <c r="H2328" i="5"/>
  <c r="G2312" i="5"/>
  <c r="I2312" i="5" s="1"/>
  <c r="H2317" i="5"/>
  <c r="H2306" i="5"/>
  <c r="G2291" i="5"/>
  <c r="I2291" i="5" s="1"/>
  <c r="G2293" i="5"/>
  <c r="I2293" i="5" s="1"/>
  <c r="G2292" i="5"/>
  <c r="I2292" i="5" s="1"/>
  <c r="G2290" i="5"/>
  <c r="I2290" i="5" s="1"/>
  <c r="G2289" i="5"/>
  <c r="I2289" i="5" s="1"/>
  <c r="G2288" i="5"/>
  <c r="I2288" i="5" s="1"/>
  <c r="H2295" i="5"/>
  <c r="G2279" i="5"/>
  <c r="I2279" i="5" s="1"/>
  <c r="G2278" i="5"/>
  <c r="I2278" i="5" s="1"/>
  <c r="G2277" i="5"/>
  <c r="I2277" i="5" s="1"/>
  <c r="H2284" i="5"/>
  <c r="G2267" i="5"/>
  <c r="I2267" i="5" s="1"/>
  <c r="G2266" i="5"/>
  <c r="I2266" i="5" s="1"/>
  <c r="G2268" i="5"/>
  <c r="I2268" i="5" s="1"/>
  <c r="G2271" i="5"/>
  <c r="I2271" i="5" s="1"/>
  <c r="H2273" i="5"/>
  <c r="G2270" i="5"/>
  <c r="I2270" i="5" s="1"/>
  <c r="G2269" i="5"/>
  <c r="I2269" i="5" s="1"/>
  <c r="H465" i="5"/>
  <c r="H423" i="5"/>
  <c r="H413" i="5"/>
  <c r="H321" i="5"/>
  <c r="H1472" i="5"/>
  <c r="H2348" i="5"/>
  <c r="H1476" i="5"/>
  <c r="H1162" i="5"/>
  <c r="H794" i="5"/>
  <c r="H880" i="5"/>
  <c r="H1202" i="5"/>
  <c r="H1201" i="5"/>
  <c r="H1199" i="5"/>
  <c r="H1189" i="5"/>
  <c r="H1188" i="5"/>
  <c r="H1176" i="5"/>
  <c r="H1175" i="5"/>
  <c r="G809" i="5"/>
  <c r="G822" i="5"/>
  <c r="G835" i="5"/>
  <c r="H1566" i="5"/>
  <c r="H1560" i="5"/>
  <c r="H1457" i="5"/>
  <c r="H595" i="5"/>
  <c r="H108" i="5"/>
  <c r="G4206" i="5"/>
  <c r="G4200" i="5"/>
  <c r="I4200" i="5" s="1"/>
  <c r="H4205" i="5"/>
  <c r="G2535" i="5"/>
  <c r="I2535" i="5" s="1"/>
  <c r="H2537" i="5"/>
  <c r="G2526" i="5"/>
  <c r="I2526" i="5" s="1"/>
  <c r="G2525" i="5"/>
  <c r="I2525" i="5" s="1"/>
  <c r="G2528" i="5"/>
  <c r="I2528" i="5" s="1"/>
  <c r="H2533" i="5"/>
  <c r="H2531" i="5"/>
  <c r="G2489" i="5"/>
  <c r="I2489" i="5" s="1"/>
  <c r="G2486" i="5"/>
  <c r="I2486" i="5" s="1"/>
  <c r="G2487" i="5"/>
  <c r="I2487" i="5" s="1"/>
  <c r="G2488" i="5"/>
  <c r="I2488" i="5" s="1"/>
  <c r="H2492" i="5"/>
  <c r="G4509" i="5"/>
  <c r="G4459" i="5"/>
  <c r="G4390" i="5"/>
  <c r="G4216" i="5"/>
  <c r="G4031" i="5"/>
  <c r="I4031" i="5" s="1"/>
  <c r="G3457" i="5"/>
  <c r="I3457" i="5" s="1"/>
  <c r="G4523" i="5"/>
  <c r="I4523" i="5" s="1"/>
  <c r="G4534" i="5"/>
  <c r="G4521" i="5"/>
  <c r="I4521" i="5" s="1"/>
  <c r="G4520" i="5"/>
  <c r="I4520" i="5" s="1"/>
  <c r="H4534" i="5"/>
  <c r="H4532" i="5"/>
  <c r="G415" i="5"/>
  <c r="G410" i="5"/>
  <c r="I410" i="5" s="1"/>
  <c r="G3376" i="5"/>
  <c r="I3376" i="5" s="1"/>
  <c r="G3334" i="5"/>
  <c r="I3334" i="5" s="1"/>
  <c r="G3204" i="5"/>
  <c r="I3204" i="5" s="1"/>
  <c r="G3195" i="5"/>
  <c r="I3195" i="5" s="1"/>
  <c r="G3186" i="5"/>
  <c r="I3186" i="5" s="1"/>
  <c r="G3177" i="5"/>
  <c r="I3177" i="5" s="1"/>
  <c r="G3178" i="5"/>
  <c r="I3178" i="5" s="1"/>
  <c r="H2095" i="5"/>
  <c r="H2098" i="5"/>
  <c r="B2" i="3"/>
  <c r="W1" i="3"/>
  <c r="H4518" i="5"/>
  <c r="G4518" i="5"/>
  <c r="H4517" i="5"/>
  <c r="G4516" i="5"/>
  <c r="I4516" i="5" s="1"/>
  <c r="H4513" i="5"/>
  <c r="G4511" i="5"/>
  <c r="I4511" i="5" s="1"/>
  <c r="H4506" i="5"/>
  <c r="G4506" i="5"/>
  <c r="H4500" i="5"/>
  <c r="H4486" i="5"/>
  <c r="G4485" i="5"/>
  <c r="I4485" i="5" s="1"/>
  <c r="G4484" i="5"/>
  <c r="I4484" i="5" s="1"/>
  <c r="H4478" i="5"/>
  <c r="H4461" i="5"/>
  <c r="H4458" i="5"/>
  <c r="G4454" i="5"/>
  <c r="I4454" i="5" s="1"/>
  <c r="G4453" i="5"/>
  <c r="I4453" i="5" s="1"/>
  <c r="G4452" i="5"/>
  <c r="I4452" i="5" s="1"/>
  <c r="G4451" i="5"/>
  <c r="I4451" i="5" s="1"/>
  <c r="H4450" i="5"/>
  <c r="G4450" i="5"/>
  <c r="H4449" i="5"/>
  <c r="H4448" i="5"/>
  <c r="H4444" i="5"/>
  <c r="H4440" i="5"/>
  <c r="H4434" i="5"/>
  <c r="G4434" i="5"/>
  <c r="H4433" i="5"/>
  <c r="H4430" i="5"/>
  <c r="G4429" i="5"/>
  <c r="I4429" i="5" s="1"/>
  <c r="G4428" i="5"/>
  <c r="I4428" i="5" s="1"/>
  <c r="H4424" i="5"/>
  <c r="G4422" i="5"/>
  <c r="I4422" i="5" s="1"/>
  <c r="H4419" i="5"/>
  <c r="G4417" i="5"/>
  <c r="I4417" i="5" s="1"/>
  <c r="G4410" i="5"/>
  <c r="I4410" i="5" s="1"/>
  <c r="G4409" i="5"/>
  <c r="I4409" i="5" s="1"/>
  <c r="G4407" i="5"/>
  <c r="I4407" i="5" s="1"/>
  <c r="H4403" i="5"/>
  <c r="G4402" i="5"/>
  <c r="I4402" i="5" s="1"/>
  <c r="G4400" i="5"/>
  <c r="I4400" i="5" s="1"/>
  <c r="G4399" i="5"/>
  <c r="I4399" i="5" s="1"/>
  <c r="G4395" i="5"/>
  <c r="G4393" i="5"/>
  <c r="I4393" i="5" s="1"/>
  <c r="G4392" i="5"/>
  <c r="I4392" i="5" s="1"/>
  <c r="I4386" i="5"/>
  <c r="G4384" i="5"/>
  <c r="I4384" i="5" s="1"/>
  <c r="G4383" i="5"/>
  <c r="I4383" i="5" s="1"/>
  <c r="G4380" i="5"/>
  <c r="I4380" i="5" s="1"/>
  <c r="G4379" i="5"/>
  <c r="I4379" i="5" s="1"/>
  <c r="H4377" i="5"/>
  <c r="G4377" i="5"/>
  <c r="H4376" i="5"/>
  <c r="G4376" i="5"/>
  <c r="H4375" i="5"/>
  <c r="G4375" i="5"/>
  <c r="H4372" i="5"/>
  <c r="H4371" i="5"/>
  <c r="G4364" i="5"/>
  <c r="I4364" i="5" s="1"/>
  <c r="G4363" i="5"/>
  <c r="I4363" i="5" s="1"/>
  <c r="G4351" i="5"/>
  <c r="I4351" i="5" s="1"/>
  <c r="G4344" i="5"/>
  <c r="I4344" i="5" s="1"/>
  <c r="G4343" i="5"/>
  <c r="I4343" i="5" s="1"/>
  <c r="H4338" i="5"/>
  <c r="G4337" i="5"/>
  <c r="I4337" i="5" s="1"/>
  <c r="G4335" i="5"/>
  <c r="I4335" i="5" s="1"/>
  <c r="G4334" i="5"/>
  <c r="I4334" i="5" s="1"/>
  <c r="H4330" i="5"/>
  <c r="G4329" i="5"/>
  <c r="I4329" i="5" s="1"/>
  <c r="G4327" i="5"/>
  <c r="I4327" i="5" s="1"/>
  <c r="G4326" i="5"/>
  <c r="I4326" i="5" s="1"/>
  <c r="H4322" i="5"/>
  <c r="G4321" i="5"/>
  <c r="I4321" i="5" s="1"/>
  <c r="G4319" i="5"/>
  <c r="I4319" i="5" s="1"/>
  <c r="G4318" i="5"/>
  <c r="I4318" i="5" s="1"/>
  <c r="H4314" i="5"/>
  <c r="G4313" i="5"/>
  <c r="I4313" i="5" s="1"/>
  <c r="G4311" i="5"/>
  <c r="I4311" i="5" s="1"/>
  <c r="G4312" i="5"/>
  <c r="I4312" i="5" s="1"/>
  <c r="G4306" i="5"/>
  <c r="I4306" i="5" s="1"/>
  <c r="H4302" i="5"/>
  <c r="H4299" i="5"/>
  <c r="H4296" i="5"/>
  <c r="G4295" i="5"/>
  <c r="I4295" i="5" s="1"/>
  <c r="H4287" i="5"/>
  <c r="H4284" i="5"/>
  <c r="G4280" i="5"/>
  <c r="I4280" i="5" s="1"/>
  <c r="G4278" i="5"/>
  <c r="I4278" i="5" s="1"/>
  <c r="G4276" i="5"/>
  <c r="I4276" i="5" s="1"/>
  <c r="G4274" i="5"/>
  <c r="H4256" i="5"/>
  <c r="H4252" i="5"/>
  <c r="H4249" i="5"/>
  <c r="G4248" i="5"/>
  <c r="I4248" i="5" s="1"/>
  <c r="G4247" i="5"/>
  <c r="I4247" i="5" s="1"/>
  <c r="G4246" i="5"/>
  <c r="I4246" i="5" s="1"/>
  <c r="G4245" i="5"/>
  <c r="I4245" i="5" s="1"/>
  <c r="G4244" i="5"/>
  <c r="I4244" i="5" s="1"/>
  <c r="G4243" i="5"/>
  <c r="F4243" i="5"/>
  <c r="H4230" i="5"/>
  <c r="H4228" i="5"/>
  <c r="G4228" i="5"/>
  <c r="H4227" i="5"/>
  <c r="H4221" i="5"/>
  <c r="G4219" i="5"/>
  <c r="I4219" i="5" s="1"/>
  <c r="H4218" i="5"/>
  <c r="G4218" i="5"/>
  <c r="H4214" i="5"/>
  <c r="G4214" i="5"/>
  <c r="H4213" i="5"/>
  <c r="G4213" i="5"/>
  <c r="H4212" i="5"/>
  <c r="H4211" i="5"/>
  <c r="H4210" i="5"/>
  <c r="H4196" i="5"/>
  <c r="H4193" i="5"/>
  <c r="G4186" i="5"/>
  <c r="I4186" i="5" s="1"/>
  <c r="G4182" i="5"/>
  <c r="G4180" i="5"/>
  <c r="I4180" i="5" s="1"/>
  <c r="G4175" i="5"/>
  <c r="I4175" i="5" s="1"/>
  <c r="G4174" i="5"/>
  <c r="I4174" i="5" s="1"/>
  <c r="G4173" i="5"/>
  <c r="I4173" i="5" s="1"/>
  <c r="G4172" i="5"/>
  <c r="I4172" i="5" s="1"/>
  <c r="H4168" i="5"/>
  <c r="G4167" i="5"/>
  <c r="I4167" i="5" s="1"/>
  <c r="G4166" i="5"/>
  <c r="I4166" i="5" s="1"/>
  <c r="H4163" i="5"/>
  <c r="G4162" i="5"/>
  <c r="I4162" i="5" s="1"/>
  <c r="G4161" i="5"/>
  <c r="I4161" i="5" s="1"/>
  <c r="G4160" i="5"/>
  <c r="I4160" i="5" s="1"/>
  <c r="G4150" i="5"/>
  <c r="I4150" i="5" s="1"/>
  <c r="G4149" i="5"/>
  <c r="I4149" i="5" s="1"/>
  <c r="G4148" i="5"/>
  <c r="I4148" i="5" s="1"/>
  <c r="G4144" i="5"/>
  <c r="I4144" i="5" s="1"/>
  <c r="G4143" i="5"/>
  <c r="I4143" i="5" s="1"/>
  <c r="G4142" i="5"/>
  <c r="I4142" i="5" s="1"/>
  <c r="H4132" i="5"/>
  <c r="H4130" i="5"/>
  <c r="H4128" i="5"/>
  <c r="G4126" i="5"/>
  <c r="I4126" i="5" s="1"/>
  <c r="H4124" i="5"/>
  <c r="G4124" i="5"/>
  <c r="H4123" i="5"/>
  <c r="G4123" i="5"/>
  <c r="H4122" i="5"/>
  <c r="G4122" i="5"/>
  <c r="H4120" i="5"/>
  <c r="H4118" i="5"/>
  <c r="G4116" i="5"/>
  <c r="I4116" i="5" s="1"/>
  <c r="G4115" i="5"/>
  <c r="I4115" i="5" s="1"/>
  <c r="H4112" i="5"/>
  <c r="G4110" i="5"/>
  <c r="I4110" i="5" s="1"/>
  <c r="H4108" i="5"/>
  <c r="H4106" i="5"/>
  <c r="H4105" i="5"/>
  <c r="G4103" i="5"/>
  <c r="I4103" i="5" s="1"/>
  <c r="G4102" i="5"/>
  <c r="I4102" i="5" s="1"/>
  <c r="G4100" i="5"/>
  <c r="I4100" i="5" s="1"/>
  <c r="G4095" i="5"/>
  <c r="I4095" i="5" s="1"/>
  <c r="G4091" i="5"/>
  <c r="I4091" i="5" s="1"/>
  <c r="H4089" i="5"/>
  <c r="H4087" i="5"/>
  <c r="I588" i="5"/>
  <c r="G589" i="5"/>
  <c r="I589" i="5" s="1"/>
  <c r="G453" i="5"/>
  <c r="G454" i="5"/>
  <c r="H4083" i="5"/>
  <c r="G4081" i="5"/>
  <c r="I4081" i="5" s="1"/>
  <c r="H4078" i="5"/>
  <c r="G4076" i="5"/>
  <c r="I4076" i="5" s="1"/>
  <c r="G4074" i="5"/>
  <c r="I4074" i="5" s="1"/>
  <c r="H4072" i="5"/>
  <c r="G4070" i="5"/>
  <c r="I4070" i="5" s="1"/>
  <c r="H4067" i="5"/>
  <c r="G4063" i="5"/>
  <c r="I4063" i="5" s="1"/>
  <c r="H4060" i="5"/>
  <c r="G4058" i="5"/>
  <c r="I4058" i="5" s="1"/>
  <c r="H4055" i="5"/>
  <c r="G4054" i="5"/>
  <c r="I4054" i="5" s="1"/>
  <c r="H4050" i="5"/>
  <c r="H4046" i="5"/>
  <c r="G4045" i="5"/>
  <c r="I4045" i="5" s="1"/>
  <c r="G4042" i="5"/>
  <c r="I4042" i="5" s="1"/>
  <c r="H4039" i="5"/>
  <c r="G4037" i="5"/>
  <c r="I4037" i="5" s="1"/>
  <c r="G4036" i="5"/>
  <c r="I4036" i="5" s="1"/>
  <c r="H4033" i="5"/>
  <c r="G4032" i="5"/>
  <c r="I4032" i="5" s="1"/>
  <c r="G4030" i="5"/>
  <c r="I4030" i="5" s="1"/>
  <c r="G4029" i="5"/>
  <c r="I4029" i="5" s="1"/>
  <c r="H4026" i="5"/>
  <c r="G4024" i="5"/>
  <c r="I4024" i="5" s="1"/>
  <c r="H4021" i="5"/>
  <c r="G4019" i="5"/>
  <c r="I4019" i="5" s="1"/>
  <c r="H4016" i="5"/>
  <c r="G4014" i="5"/>
  <c r="I4014" i="5" s="1"/>
  <c r="H4011" i="5"/>
  <c r="H4007" i="5"/>
  <c r="H4003" i="5"/>
  <c r="H4002" i="5"/>
  <c r="H3999" i="5"/>
  <c r="G3998" i="5"/>
  <c r="I3998" i="5" s="1"/>
  <c r="G3997" i="5"/>
  <c r="I3997" i="5" s="1"/>
  <c r="H3990" i="5"/>
  <c r="G3989" i="5"/>
  <c r="I3989" i="5" s="1"/>
  <c r="H3986" i="5"/>
  <c r="G3985" i="5"/>
  <c r="I3985" i="5" s="1"/>
  <c r="G3984" i="5"/>
  <c r="I3984" i="5" s="1"/>
  <c r="G3983" i="5"/>
  <c r="I3983" i="5" s="1"/>
  <c r="G3982" i="5"/>
  <c r="I3982" i="5" s="1"/>
  <c r="G3981" i="5"/>
  <c r="I3981" i="5" s="1"/>
  <c r="H3978" i="5"/>
  <c r="G3977" i="5"/>
  <c r="I3977" i="5" s="1"/>
  <c r="G3975" i="5"/>
  <c r="I3975" i="5" s="1"/>
  <c r="H3972" i="5"/>
  <c r="G3971" i="5"/>
  <c r="I3971" i="5" s="1"/>
  <c r="G3968" i="5"/>
  <c r="G3967" i="5"/>
  <c r="I3967" i="5" s="1"/>
  <c r="G3965" i="5"/>
  <c r="I3965" i="5" s="1"/>
  <c r="G3964" i="5"/>
  <c r="I3964" i="5" s="1"/>
  <c r="H3961" i="5"/>
  <c r="G3959" i="5"/>
  <c r="I3959" i="5" s="1"/>
  <c r="G3955" i="5"/>
  <c r="I3955" i="5" s="1"/>
  <c r="G3954" i="5"/>
  <c r="I3954" i="5" s="1"/>
  <c r="G3953" i="5"/>
  <c r="I3953" i="5" s="1"/>
  <c r="G3952" i="5"/>
  <c r="I3952" i="5" s="1"/>
  <c r="H3950" i="5"/>
  <c r="G3949" i="5"/>
  <c r="I3949" i="5" s="1"/>
  <c r="H3947" i="5"/>
  <c r="G3946" i="5"/>
  <c r="I3946" i="5" s="1"/>
  <c r="H3943" i="5"/>
  <c r="G3941" i="5"/>
  <c r="I3941" i="5" s="1"/>
  <c r="G3940" i="5"/>
  <c r="I3940" i="5" s="1"/>
  <c r="G3938" i="5"/>
  <c r="I3938" i="5" s="1"/>
  <c r="G3937" i="5"/>
  <c r="I3937" i="5" s="1"/>
  <c r="H3934" i="5"/>
  <c r="H3933" i="5"/>
  <c r="G3932" i="5"/>
  <c r="I3932" i="5" s="1"/>
  <c r="G3931" i="5"/>
  <c r="I3931" i="5" s="1"/>
  <c r="G3930" i="5"/>
  <c r="I3930" i="5" s="1"/>
  <c r="G3929" i="5"/>
  <c r="I3929" i="5" s="1"/>
  <c r="G3928" i="5"/>
  <c r="I3928" i="5" s="1"/>
  <c r="H3925" i="5"/>
  <c r="G3922" i="5"/>
  <c r="I3922" i="5" s="1"/>
  <c r="G3920" i="5"/>
  <c r="I3920" i="5" s="1"/>
  <c r="G3919" i="5"/>
  <c r="I3919" i="5" s="1"/>
  <c r="G3918" i="5"/>
  <c r="I3918" i="5" s="1"/>
  <c r="G3917" i="5"/>
  <c r="I3917" i="5" s="1"/>
  <c r="H3914" i="5"/>
  <c r="G3911" i="5"/>
  <c r="I3911" i="5" s="1"/>
  <c r="G3909" i="5"/>
  <c r="I3909" i="5" s="1"/>
  <c r="G3908" i="5"/>
  <c r="I3908" i="5" s="1"/>
  <c r="G3907" i="5"/>
  <c r="I3907" i="5" s="1"/>
  <c r="H3904" i="5"/>
  <c r="G3903" i="5"/>
  <c r="I3903" i="5" s="1"/>
  <c r="H3901" i="5"/>
  <c r="G3900" i="5"/>
  <c r="I3900" i="5" s="1"/>
  <c r="H3897" i="5"/>
  <c r="H3894" i="5"/>
  <c r="H3891" i="5"/>
  <c r="H3890" i="5"/>
  <c r="G3889" i="5"/>
  <c r="I3889" i="5" s="1"/>
  <c r="G3888" i="5"/>
  <c r="I3888" i="5" s="1"/>
  <c r="G3887" i="5"/>
  <c r="I3887" i="5" s="1"/>
  <c r="G3886" i="5"/>
  <c r="I3886" i="5" s="1"/>
  <c r="G3885" i="5"/>
  <c r="I3885" i="5" s="1"/>
  <c r="H3882" i="5"/>
  <c r="H3881" i="5"/>
  <c r="G3879" i="5"/>
  <c r="I3879" i="5" s="1"/>
  <c r="G3878" i="5"/>
  <c r="I3878" i="5" s="1"/>
  <c r="G3877" i="5"/>
  <c r="I3877" i="5" s="1"/>
  <c r="G3876" i="5"/>
  <c r="I3876" i="5" s="1"/>
  <c r="H3873" i="5"/>
  <c r="G3870" i="5"/>
  <c r="I3870" i="5" s="1"/>
  <c r="G3869" i="5"/>
  <c r="I3869" i="5" s="1"/>
  <c r="G3868" i="5"/>
  <c r="I3868" i="5" s="1"/>
  <c r="H3865" i="5"/>
  <c r="G3864" i="5"/>
  <c r="I3864" i="5" s="1"/>
  <c r="G3863" i="5"/>
  <c r="I3863" i="5" s="1"/>
  <c r="G3862" i="5"/>
  <c r="I3862" i="5" s="1"/>
  <c r="G3861" i="5"/>
  <c r="I3861" i="5" s="1"/>
  <c r="H3858" i="5"/>
  <c r="G3857" i="5"/>
  <c r="I3857" i="5" s="1"/>
  <c r="G3856" i="5"/>
  <c r="I3856" i="5" s="1"/>
  <c r="G3854" i="5"/>
  <c r="I3854" i="5" s="1"/>
  <c r="H3851" i="5"/>
  <c r="G3849" i="5"/>
  <c r="I3849" i="5" s="1"/>
  <c r="G3845" i="5"/>
  <c r="I3845" i="5" s="1"/>
  <c r="G3844" i="5"/>
  <c r="I3844" i="5" s="1"/>
  <c r="G3843" i="5"/>
  <c r="I3843" i="5" s="1"/>
  <c r="G3842" i="5"/>
  <c r="I3842" i="5" s="1"/>
  <c r="G3841" i="5"/>
  <c r="I3841" i="5" s="1"/>
  <c r="H3838" i="5"/>
  <c r="G3836" i="5"/>
  <c r="I3836" i="5" s="1"/>
  <c r="G3832" i="5"/>
  <c r="I3832" i="5" s="1"/>
  <c r="G3831" i="5"/>
  <c r="I3831" i="5" s="1"/>
  <c r="G3830" i="5"/>
  <c r="I3830" i="5" s="1"/>
  <c r="G3829" i="5"/>
  <c r="I3829" i="5" s="1"/>
  <c r="H3826" i="5"/>
  <c r="G3824" i="5"/>
  <c r="I3824" i="5" s="1"/>
  <c r="G3823" i="5"/>
  <c r="I3823" i="5" s="1"/>
  <c r="G3822" i="5"/>
  <c r="I3822" i="5" s="1"/>
  <c r="G3821" i="5"/>
  <c r="I3821" i="5" s="1"/>
  <c r="G3813" i="5"/>
  <c r="I3813" i="5" s="1"/>
  <c r="G3812" i="5"/>
  <c r="I3812" i="5" s="1"/>
  <c r="G3811" i="5"/>
  <c r="I3811" i="5" s="1"/>
  <c r="G3810" i="5"/>
  <c r="I3810" i="5" s="1"/>
  <c r="H3807" i="5"/>
  <c r="G3805" i="5"/>
  <c r="I3805" i="5" s="1"/>
  <c r="G3804" i="5"/>
  <c r="I3804" i="5" s="1"/>
  <c r="G3801" i="5"/>
  <c r="I3801" i="5" s="1"/>
  <c r="G3800" i="5"/>
  <c r="I3800" i="5" s="1"/>
  <c r="G3798" i="5"/>
  <c r="I3798" i="5" s="1"/>
  <c r="H3792" i="5"/>
  <c r="G3790" i="5"/>
  <c r="I3790" i="5" s="1"/>
  <c r="G3787" i="5"/>
  <c r="I3787" i="5" s="1"/>
  <c r="G3786" i="5"/>
  <c r="I3786" i="5" s="1"/>
  <c r="G3785" i="5"/>
  <c r="I3785" i="5" s="1"/>
  <c r="G3784" i="5"/>
  <c r="I3784" i="5" s="1"/>
  <c r="G3783" i="5"/>
  <c r="I3783" i="5" s="1"/>
  <c r="G3778" i="5"/>
  <c r="I3778" i="5" s="1"/>
  <c r="G3775" i="5"/>
  <c r="I3775" i="5" s="1"/>
  <c r="G3774" i="5"/>
  <c r="I3774" i="5" s="1"/>
  <c r="G3773" i="5"/>
  <c r="I3773" i="5" s="1"/>
  <c r="G3772" i="5"/>
  <c r="I3772" i="5" s="1"/>
  <c r="G3771" i="5"/>
  <c r="I3771" i="5" s="1"/>
  <c r="H3768" i="5"/>
  <c r="G3766" i="5"/>
  <c r="I3766" i="5" s="1"/>
  <c r="G3763" i="5"/>
  <c r="I3763" i="5" s="1"/>
  <c r="G3762" i="5"/>
  <c r="I3762" i="5" s="1"/>
  <c r="G3761" i="5"/>
  <c r="I3761" i="5" s="1"/>
  <c r="G3760" i="5"/>
  <c r="I3760" i="5" s="1"/>
  <c r="G3759" i="5"/>
  <c r="I3759" i="5" s="1"/>
  <c r="H3756" i="5"/>
  <c r="G3754" i="5"/>
  <c r="I3754" i="5" s="1"/>
  <c r="G3751" i="5"/>
  <c r="I3751" i="5" s="1"/>
  <c r="G3750" i="5"/>
  <c r="I3750" i="5" s="1"/>
  <c r="G3749" i="5"/>
  <c r="I3749" i="5" s="1"/>
  <c r="G3748" i="5"/>
  <c r="I3748" i="5" s="1"/>
  <c r="G3747" i="5"/>
  <c r="I3747" i="5" s="1"/>
  <c r="G3746" i="5"/>
  <c r="I3746" i="5" s="1"/>
  <c r="H3743" i="5"/>
  <c r="G3741" i="5"/>
  <c r="I3741" i="5" s="1"/>
  <c r="G3738" i="5"/>
  <c r="I3738" i="5" s="1"/>
  <c r="G3737" i="5"/>
  <c r="I3737" i="5" s="1"/>
  <c r="G3736" i="5"/>
  <c r="I3736" i="5" s="1"/>
  <c r="G3735" i="5"/>
  <c r="I3735" i="5" s="1"/>
  <c r="G3734" i="5"/>
  <c r="I3734" i="5" s="1"/>
  <c r="H3731" i="5"/>
  <c r="G3729" i="5"/>
  <c r="I3729" i="5" s="1"/>
  <c r="G3726" i="5"/>
  <c r="I3726" i="5" s="1"/>
  <c r="G3725" i="5"/>
  <c r="I3725" i="5" s="1"/>
  <c r="G3724" i="5"/>
  <c r="I3724" i="5" s="1"/>
  <c r="G3723" i="5"/>
  <c r="I3723" i="5" s="1"/>
  <c r="H3721" i="5"/>
  <c r="G3718" i="5"/>
  <c r="I3718" i="5" s="1"/>
  <c r="G3717" i="5"/>
  <c r="I3717" i="5" s="1"/>
  <c r="G3672" i="5"/>
  <c r="I3672" i="5" s="1"/>
  <c r="H3669" i="5"/>
  <c r="G3668" i="5"/>
  <c r="I3668" i="5" s="1"/>
  <c r="H3665" i="5"/>
  <c r="H3661" i="5"/>
  <c r="G3660" i="5"/>
  <c r="I3660" i="5" s="1"/>
  <c r="H3657" i="5"/>
  <c r="G3656" i="5"/>
  <c r="I3656" i="5" s="1"/>
  <c r="H3653" i="5"/>
  <c r="G3652" i="5"/>
  <c r="I3652" i="5" s="1"/>
  <c r="G3647" i="5"/>
  <c r="I3647" i="5" s="1"/>
  <c r="G3632" i="5"/>
  <c r="I3632" i="5" s="1"/>
  <c r="G3627" i="5"/>
  <c r="I3627" i="5" s="1"/>
  <c r="G3622" i="5"/>
  <c r="I3622" i="5" s="1"/>
  <c r="G3617" i="5"/>
  <c r="I3617" i="5" s="1"/>
  <c r="G3612" i="5"/>
  <c r="I3612" i="5" s="1"/>
  <c r="H3608" i="5"/>
  <c r="G3606" i="5"/>
  <c r="I3606" i="5" s="1"/>
  <c r="H3602" i="5"/>
  <c r="G3600" i="5"/>
  <c r="I3600" i="5" s="1"/>
  <c r="H3596" i="5"/>
  <c r="G3594" i="5"/>
  <c r="I3594" i="5" s="1"/>
  <c r="H3590" i="5"/>
  <c r="G3588" i="5"/>
  <c r="I3588" i="5" s="1"/>
  <c r="H3584" i="5"/>
  <c r="G3582" i="5"/>
  <c r="I3582" i="5" s="1"/>
  <c r="H3578" i="5"/>
  <c r="G3576" i="5"/>
  <c r="I3576" i="5" s="1"/>
  <c r="H3572" i="5"/>
  <c r="G3570" i="5"/>
  <c r="I3570" i="5" s="1"/>
  <c r="H3566" i="5"/>
  <c r="G3564" i="5"/>
  <c r="I3564" i="5" s="1"/>
  <c r="H3560" i="5"/>
  <c r="G3558" i="5"/>
  <c r="I3558" i="5" s="1"/>
  <c r="H3554" i="5"/>
  <c r="G3552" i="5"/>
  <c r="I3552" i="5" s="1"/>
  <c r="H3548" i="5"/>
  <c r="G3546" i="5"/>
  <c r="I3546" i="5" s="1"/>
  <c r="H3543" i="5"/>
  <c r="G3541" i="5"/>
  <c r="I3541" i="5" s="1"/>
  <c r="H3538" i="5"/>
  <c r="G3536" i="5"/>
  <c r="I3536" i="5" s="1"/>
  <c r="H3533" i="5"/>
  <c r="G3531" i="5"/>
  <c r="I3531" i="5" s="1"/>
  <c r="H3528" i="5"/>
  <c r="G3526" i="5"/>
  <c r="I3526" i="5" s="1"/>
  <c r="H3523" i="5"/>
  <c r="G3515" i="5"/>
  <c r="I3515" i="5" s="1"/>
  <c r="G3512" i="5"/>
  <c r="I3512" i="5" s="1"/>
  <c r="G3509" i="5"/>
  <c r="I3509" i="5" s="1"/>
  <c r="G3494" i="5"/>
  <c r="I3494" i="5" s="1"/>
  <c r="G3493" i="5"/>
  <c r="I3493" i="5" s="1"/>
  <c r="G3485" i="5"/>
  <c r="I3485" i="5" s="1"/>
  <c r="G3478" i="5"/>
  <c r="G3464" i="5"/>
  <c r="I3464" i="5" s="1"/>
  <c r="G3465" i="5" s="1"/>
  <c r="G3450" i="5"/>
  <c r="I3450" i="5" s="1"/>
  <c r="G3448" i="5"/>
  <c r="I3448" i="5" s="1"/>
  <c r="G3449" i="5" s="1"/>
  <c r="H3429" i="5"/>
  <c r="G3426" i="5"/>
  <c r="I3426" i="5" s="1"/>
  <c r="G3401" i="5"/>
  <c r="I3401" i="5" s="1"/>
  <c r="G3402" i="5" s="1"/>
  <c r="H3391" i="5"/>
  <c r="G3387" i="5"/>
  <c r="I3387" i="5" s="1"/>
  <c r="G3388" i="5" s="1"/>
  <c r="H3384" i="5"/>
  <c r="G3383" i="5"/>
  <c r="I3383" i="5" s="1"/>
  <c r="G3382" i="5"/>
  <c r="I3382" i="5" s="1"/>
  <c r="G3381" i="5"/>
  <c r="I3381" i="5" s="1"/>
  <c r="H3378" i="5"/>
  <c r="G3377" i="5"/>
  <c r="I3377" i="5" s="1"/>
  <c r="G3375" i="5"/>
  <c r="I3375" i="5" s="1"/>
  <c r="G3374" i="5"/>
  <c r="I3374" i="5" s="1"/>
  <c r="H3371" i="5"/>
  <c r="G3370" i="5"/>
  <c r="I3370" i="5" s="1"/>
  <c r="H3367" i="5"/>
  <c r="G3366" i="5"/>
  <c r="I3366" i="5" s="1"/>
  <c r="H3363" i="5"/>
  <c r="G3362" i="5"/>
  <c r="I3362" i="5" s="1"/>
  <c r="H3359" i="5"/>
  <c r="G3358" i="5"/>
  <c r="I3358" i="5" s="1"/>
  <c r="H3355" i="5"/>
  <c r="H3351" i="5"/>
  <c r="G3350" i="5"/>
  <c r="I3350" i="5" s="1"/>
  <c r="H3347" i="5"/>
  <c r="G3346" i="5"/>
  <c r="I3346" i="5" s="1"/>
  <c r="H3343" i="5"/>
  <c r="H3342" i="5"/>
  <c r="G3341" i="5"/>
  <c r="I3341" i="5" s="1"/>
  <c r="H3336" i="5"/>
  <c r="H3335" i="5"/>
  <c r="G3333" i="5"/>
  <c r="I3333" i="5" s="1"/>
  <c r="H3327" i="5"/>
  <c r="H3326" i="5"/>
  <c r="G3325" i="5"/>
  <c r="I3325" i="5" s="1"/>
  <c r="H3320" i="5"/>
  <c r="H3319" i="5"/>
  <c r="G3318" i="5"/>
  <c r="I3318" i="5" s="1"/>
  <c r="H3313" i="5"/>
  <c r="G3311" i="5"/>
  <c r="I3311" i="5" s="1"/>
  <c r="G3307" i="5"/>
  <c r="I3307" i="5" s="1"/>
  <c r="G3308" i="5" s="1"/>
  <c r="H3304" i="5"/>
  <c r="G3302" i="5"/>
  <c r="I3302" i="5" s="1"/>
  <c r="H3295" i="5"/>
  <c r="G3293" i="5"/>
  <c r="I3293" i="5" s="1"/>
  <c r="G3289" i="5"/>
  <c r="I3289" i="5" s="1"/>
  <c r="G3290" i="5" s="1"/>
  <c r="H3286" i="5"/>
  <c r="G3284" i="5"/>
  <c r="I3284" i="5" s="1"/>
  <c r="G3280" i="5"/>
  <c r="I3280" i="5" s="1"/>
  <c r="G3281" i="5" s="1"/>
  <c r="H3277" i="5"/>
  <c r="G3276" i="5"/>
  <c r="I3276" i="5" s="1"/>
  <c r="G3275" i="5"/>
  <c r="I3275" i="5" s="1"/>
  <c r="H3272" i="5"/>
  <c r="G3271" i="5"/>
  <c r="I3271" i="5" s="1"/>
  <c r="G3267" i="5"/>
  <c r="I3267" i="5" s="1"/>
  <c r="H3264" i="5"/>
  <c r="H3255" i="5"/>
  <c r="H3246" i="5"/>
  <c r="H3244" i="5"/>
  <c r="G3241" i="5"/>
  <c r="I3241" i="5" s="1"/>
  <c r="H3238" i="5"/>
  <c r="H3237" i="5"/>
  <c r="G3237" i="5"/>
  <c r="G3236" i="5"/>
  <c r="I3236" i="5" s="1"/>
  <c r="G3233" i="5"/>
  <c r="I3233" i="5" s="1"/>
  <c r="H3230" i="5"/>
  <c r="G3229" i="5"/>
  <c r="I3229" i="5" s="1"/>
  <c r="H3228" i="5"/>
  <c r="G3227" i="5"/>
  <c r="I3227" i="5" s="1"/>
  <c r="H3222" i="5"/>
  <c r="G3221" i="5"/>
  <c r="I3221" i="5" s="1"/>
  <c r="H3220" i="5"/>
  <c r="H3214" i="5"/>
  <c r="G3213" i="5"/>
  <c r="I3213" i="5" s="1"/>
  <c r="H3212" i="5"/>
  <c r="G3209" i="5"/>
  <c r="I3209" i="5" s="1"/>
  <c r="H3206" i="5"/>
  <c r="G3205" i="5"/>
  <c r="I3205" i="5" s="1"/>
  <c r="H3203" i="5"/>
  <c r="G3202" i="5"/>
  <c r="I3202" i="5" s="1"/>
  <c r="H3197" i="5"/>
  <c r="H3196" i="5"/>
  <c r="G3194" i="5"/>
  <c r="I3194" i="5" s="1"/>
  <c r="G3193" i="5"/>
  <c r="I3193" i="5" s="1"/>
  <c r="H3188" i="5"/>
  <c r="H3187" i="5"/>
  <c r="G3187" i="5"/>
  <c r="G3185" i="5"/>
  <c r="I3185" i="5" s="1"/>
  <c r="H3179" i="5"/>
  <c r="G3176" i="5"/>
  <c r="I3176" i="5" s="1"/>
  <c r="H3175" i="5"/>
  <c r="H3170" i="5"/>
  <c r="G3169" i="5"/>
  <c r="I3169" i="5" s="1"/>
  <c r="H3168" i="5"/>
  <c r="G3168" i="5"/>
  <c r="H3163" i="5"/>
  <c r="H3162" i="5"/>
  <c r="G3161" i="5"/>
  <c r="I3161" i="5" s="1"/>
  <c r="G3157" i="5"/>
  <c r="I3157" i="5" s="1"/>
  <c r="G3156" i="5"/>
  <c r="I3156" i="5" s="1"/>
  <c r="H3153" i="5"/>
  <c r="G3152" i="5"/>
  <c r="I3152" i="5" s="1"/>
  <c r="H3151" i="5"/>
  <c r="G3150" i="5"/>
  <c r="I3150" i="5" s="1"/>
  <c r="H3145" i="5"/>
  <c r="H3144" i="5"/>
  <c r="G3143" i="5"/>
  <c r="I3143" i="5" s="1"/>
  <c r="H3137" i="5"/>
  <c r="G3136" i="5"/>
  <c r="I3136" i="5" s="1"/>
  <c r="H3135" i="5"/>
  <c r="G3134" i="5"/>
  <c r="I3134" i="5" s="1"/>
  <c r="H3130" i="5"/>
  <c r="G3129" i="5"/>
  <c r="I3129" i="5" s="1"/>
  <c r="G3128" i="5"/>
  <c r="I3128" i="5" s="1"/>
  <c r="H3126" i="5"/>
  <c r="H3123" i="5"/>
  <c r="G3122" i="5"/>
  <c r="I3122" i="5" s="1"/>
  <c r="H3120" i="5"/>
  <c r="H3117" i="5"/>
  <c r="H3114" i="5"/>
  <c r="G3113" i="5"/>
  <c r="I3113" i="5" s="1"/>
  <c r="H3111" i="5"/>
  <c r="G3110" i="5"/>
  <c r="I3110" i="5" s="1"/>
  <c r="H3108" i="5"/>
  <c r="G3107" i="5"/>
  <c r="I3107" i="5" s="1"/>
  <c r="H3105" i="5"/>
  <c r="G3104" i="5"/>
  <c r="I3104" i="5" s="1"/>
  <c r="H3102" i="5"/>
  <c r="G3101" i="5"/>
  <c r="I3101" i="5" s="1"/>
  <c r="H3099" i="5"/>
  <c r="G3098" i="5"/>
  <c r="I3098" i="5" s="1"/>
  <c r="H3095" i="5"/>
  <c r="G3093" i="5"/>
  <c r="I3093" i="5" s="1"/>
  <c r="G3094" i="5" s="1"/>
  <c r="H3090" i="5"/>
  <c r="G3088" i="5"/>
  <c r="I3088" i="5" s="1"/>
  <c r="G3089" i="5" s="1"/>
  <c r="H3085" i="5"/>
  <c r="G3083" i="5"/>
  <c r="I3083" i="5" s="1"/>
  <c r="G3084" i="5" s="1"/>
  <c r="H3080" i="5"/>
  <c r="G3078" i="5"/>
  <c r="I3078" i="5" s="1"/>
  <c r="G3079" i="5" s="1"/>
  <c r="H3075" i="5"/>
  <c r="G3073" i="5"/>
  <c r="I3073" i="5" s="1"/>
  <c r="G3074" i="5" s="1"/>
  <c r="H3070" i="5"/>
  <c r="G3068" i="5"/>
  <c r="I3068" i="5" s="1"/>
  <c r="G3069" i="5" s="1"/>
  <c r="H3066" i="5"/>
  <c r="G3065" i="5"/>
  <c r="I3065" i="5" s="1"/>
  <c r="H3046" i="5"/>
  <c r="H3038" i="5"/>
  <c r="G3033" i="5"/>
  <c r="I3033" i="5" s="1"/>
  <c r="G3034" i="5" s="1"/>
  <c r="H3030" i="5"/>
  <c r="G3025" i="5"/>
  <c r="I3025" i="5" s="1"/>
  <c r="G3026" i="5" s="1"/>
  <c r="H3022" i="5"/>
  <c r="H3005" i="5"/>
  <c r="H2998" i="5"/>
  <c r="H2991" i="5"/>
  <c r="H2947" i="5"/>
  <c r="H2942" i="5"/>
  <c r="G2942" i="5"/>
  <c r="G2939" i="5"/>
  <c r="I2939" i="5" s="1"/>
  <c r="H2936" i="5"/>
  <c r="G2934" i="5"/>
  <c r="I2934" i="5" s="1"/>
  <c r="H2930" i="5"/>
  <c r="G2928" i="5"/>
  <c r="I2928" i="5" s="1"/>
  <c r="G2922" i="5"/>
  <c r="I2922" i="5" s="1"/>
  <c r="G2921" i="5"/>
  <c r="I2921" i="5" s="1"/>
  <c r="H2918" i="5"/>
  <c r="G2918" i="5"/>
  <c r="H2916" i="5"/>
  <c r="H2913" i="5"/>
  <c r="H2911" i="5"/>
  <c r="G2909" i="5"/>
  <c r="I2909" i="5" s="1"/>
  <c r="G2905" i="5"/>
  <c r="F2905" i="5"/>
  <c r="G2904" i="5"/>
  <c r="I2904" i="5" s="1"/>
  <c r="G2903" i="5"/>
  <c r="I2903" i="5" s="1"/>
  <c r="H2900" i="5"/>
  <c r="G2898" i="5"/>
  <c r="I2898" i="5" s="1"/>
  <c r="G2897" i="5"/>
  <c r="I2897" i="5" s="1"/>
  <c r="H2894" i="5"/>
  <c r="G2892" i="5"/>
  <c r="I2892" i="5" s="1"/>
  <c r="H2889" i="5"/>
  <c r="G2887" i="5"/>
  <c r="I2887" i="5" s="1"/>
  <c r="H2884" i="5"/>
  <c r="G2882" i="5"/>
  <c r="I2882" i="5" s="1"/>
  <c r="G2881" i="5"/>
  <c r="I2881" i="5" s="1"/>
  <c r="H2879" i="5"/>
  <c r="H2878" i="5"/>
  <c r="G2878" i="5"/>
  <c r="H2876" i="5"/>
  <c r="G2873" i="5"/>
  <c r="I2873" i="5" s="1"/>
  <c r="H2870" i="5"/>
  <c r="G2869" i="5"/>
  <c r="I2869" i="5" s="1"/>
  <c r="G2868" i="5"/>
  <c r="I2868" i="5" s="1"/>
  <c r="H2865" i="5"/>
  <c r="G2864" i="5"/>
  <c r="I2864" i="5" s="1"/>
  <c r="H2860" i="5"/>
  <c r="G2859" i="5"/>
  <c r="I2859" i="5" s="1"/>
  <c r="H2856" i="5"/>
  <c r="G2855" i="5"/>
  <c r="I2855" i="5" s="1"/>
  <c r="G2854" i="5"/>
  <c r="I2854" i="5" s="1"/>
  <c r="H2852" i="5"/>
  <c r="G2851" i="5"/>
  <c r="I2851" i="5" s="1"/>
  <c r="G2847" i="5"/>
  <c r="I2847" i="5" s="1"/>
  <c r="H2845" i="5"/>
  <c r="G2845" i="5"/>
  <c r="G2840" i="5"/>
  <c r="G2839" i="5"/>
  <c r="G2838" i="5"/>
  <c r="G2833" i="5"/>
  <c r="I2833" i="5" s="1"/>
  <c r="H2831" i="5"/>
  <c r="G2830" i="5"/>
  <c r="I2830" i="5" s="1"/>
  <c r="G2828" i="5"/>
  <c r="G2823" i="5"/>
  <c r="G2820" i="5"/>
  <c r="I2820" i="5" s="1"/>
  <c r="G2819" i="5"/>
  <c r="I2819" i="5" s="1"/>
  <c r="H2817" i="5"/>
  <c r="G2817" i="5"/>
  <c r="H2815" i="5"/>
  <c r="G2812" i="5"/>
  <c r="I2812" i="5" s="1"/>
  <c r="G2811" i="5"/>
  <c r="I2811" i="5" s="1"/>
  <c r="G2810" i="5"/>
  <c r="I2810" i="5" s="1"/>
  <c r="H2805" i="5"/>
  <c r="G2804" i="5"/>
  <c r="I2804" i="5" s="1"/>
  <c r="H2802" i="5"/>
  <c r="G2801" i="5"/>
  <c r="I2801" i="5" s="1"/>
  <c r="G2800" i="5"/>
  <c r="I2800" i="5" s="1"/>
  <c r="G2794" i="5"/>
  <c r="I2794" i="5" s="1"/>
  <c r="H2792" i="5"/>
  <c r="G2790" i="5"/>
  <c r="I2790" i="5" s="1"/>
  <c r="G2789" i="5" s="1"/>
  <c r="H2787" i="5"/>
  <c r="G2785" i="5"/>
  <c r="I2785" i="5" s="1"/>
  <c r="G2783" i="5"/>
  <c r="I2783" i="5" s="1"/>
  <c r="G2782" i="5"/>
  <c r="I2782" i="5" s="1"/>
  <c r="H2779" i="5"/>
  <c r="H2778" i="5"/>
  <c r="G2778" i="5"/>
  <c r="G2777" i="5"/>
  <c r="I2777" i="5" s="1"/>
  <c r="H2775" i="5"/>
  <c r="G2775" i="5"/>
  <c r="H2773" i="5"/>
  <c r="H2772" i="5"/>
  <c r="G2770" i="5"/>
  <c r="I2770" i="5" s="1"/>
  <c r="G2769" i="5"/>
  <c r="I2769" i="5" s="1"/>
  <c r="G2768" i="5"/>
  <c r="I2768" i="5" s="1"/>
  <c r="G2766" i="5"/>
  <c r="I2766" i="5" s="1"/>
  <c r="G2765" i="5"/>
  <c r="I2765" i="5" s="1"/>
  <c r="H2763" i="5"/>
  <c r="G2763" i="5"/>
  <c r="H2761" i="5"/>
  <c r="H2760" i="5"/>
  <c r="G2758" i="5"/>
  <c r="I2758" i="5" s="1"/>
  <c r="G2757" i="5"/>
  <c r="I2757" i="5" s="1"/>
  <c r="G2755" i="5"/>
  <c r="I2755" i="5" s="1"/>
  <c r="H2752" i="5"/>
  <c r="G2751" i="5"/>
  <c r="I2751" i="5" s="1"/>
  <c r="G2750" i="5"/>
  <c r="I2750" i="5" s="1"/>
  <c r="H2747" i="5"/>
  <c r="G2746" i="5"/>
  <c r="I2746" i="5" s="1"/>
  <c r="H2743" i="5"/>
  <c r="G2741" i="5"/>
  <c r="I2741" i="5" s="1"/>
  <c r="G2738" i="5"/>
  <c r="I2738" i="5" s="1"/>
  <c r="H2735" i="5"/>
  <c r="G2733" i="5"/>
  <c r="I2733" i="5" s="1"/>
  <c r="G2732" i="5"/>
  <c r="I2732" i="5" s="1"/>
  <c r="G2730" i="5"/>
  <c r="I2730" i="5" s="1"/>
  <c r="G2725" i="5"/>
  <c r="I2725" i="5" s="1"/>
  <c r="G2724" i="5"/>
  <c r="I2724" i="5" s="1"/>
  <c r="H2719" i="5"/>
  <c r="G2717" i="5"/>
  <c r="I2717" i="5" s="1"/>
  <c r="G2715" i="5"/>
  <c r="I2715" i="5" s="1"/>
  <c r="G2714" i="5"/>
  <c r="I2714" i="5" s="1"/>
  <c r="G2713" i="5"/>
  <c r="I2713" i="5" s="1"/>
  <c r="G2712" i="5"/>
  <c r="I2712" i="5" s="1"/>
  <c r="G2710" i="5"/>
  <c r="I2710" i="5" s="1"/>
  <c r="H2707" i="5"/>
  <c r="G2705" i="5"/>
  <c r="I2705" i="5" s="1"/>
  <c r="G2704" i="5"/>
  <c r="I2704" i="5" s="1"/>
  <c r="G2703" i="5"/>
  <c r="I2703" i="5" s="1"/>
  <c r="G2701" i="5"/>
  <c r="I2701" i="5" s="1"/>
  <c r="G2700" i="5"/>
  <c r="I2700" i="5" s="1"/>
  <c r="G2699" i="5"/>
  <c r="I2699" i="5" s="1"/>
  <c r="G2698" i="5"/>
  <c r="I2698" i="5" s="1"/>
  <c r="H2695" i="5"/>
  <c r="G2693" i="5"/>
  <c r="I2693" i="5" s="1"/>
  <c r="G2692" i="5"/>
  <c r="I2692" i="5" s="1"/>
  <c r="G2691" i="5"/>
  <c r="I2691" i="5" s="1"/>
  <c r="G2689" i="5"/>
  <c r="I2689" i="5" s="1"/>
  <c r="G2686" i="5"/>
  <c r="I2686" i="5" s="1"/>
  <c r="H2683" i="5"/>
  <c r="G2681" i="5"/>
  <c r="I2681" i="5" s="1"/>
  <c r="G2680" i="5"/>
  <c r="I2680" i="5" s="1"/>
  <c r="G2679" i="5"/>
  <c r="I2679" i="5" s="1"/>
  <c r="G2677" i="5"/>
  <c r="I2677" i="5" s="1"/>
  <c r="G2676" i="5"/>
  <c r="I2676" i="5" s="1"/>
  <c r="G2674" i="5"/>
  <c r="I2674" i="5" s="1"/>
  <c r="H2671" i="5"/>
  <c r="G2669" i="5"/>
  <c r="I2669" i="5" s="1"/>
  <c r="G2668" i="5"/>
  <c r="I2668" i="5" s="1"/>
  <c r="G2667" i="5"/>
  <c r="I2667" i="5" s="1"/>
  <c r="G2665" i="5"/>
  <c r="I2665" i="5" s="1"/>
  <c r="G2664" i="5"/>
  <c r="I2664" i="5" s="1"/>
  <c r="G2663" i="5"/>
  <c r="I2663" i="5" s="1"/>
  <c r="G2662" i="5"/>
  <c r="I2662" i="5" s="1"/>
  <c r="H2659" i="5"/>
  <c r="G2657" i="5"/>
  <c r="I2657" i="5" s="1"/>
  <c r="G2656" i="5"/>
  <c r="I2656" i="5" s="1"/>
  <c r="G2655" i="5"/>
  <c r="I2655" i="5" s="1"/>
  <c r="G2654" i="5"/>
  <c r="I2654" i="5" s="1"/>
  <c r="G2653" i="5"/>
  <c r="I2653" i="5" s="1"/>
  <c r="G2652" i="5"/>
  <c r="I2652" i="5" s="1"/>
  <c r="I2651" i="5"/>
  <c r="G2640" i="5"/>
  <c r="I2640" i="5" s="1"/>
  <c r="H2639" i="5"/>
  <c r="G2637" i="5"/>
  <c r="I2637" i="5" s="1"/>
  <c r="G2636" i="5"/>
  <c r="I2636" i="5" s="1"/>
  <c r="H2633" i="5"/>
  <c r="G2633" i="5"/>
  <c r="G2628" i="5"/>
  <c r="I2628" i="5" s="1"/>
  <c r="G2623" i="5"/>
  <c r="I2623" i="5" s="1"/>
  <c r="G2622" i="5"/>
  <c r="I2622" i="5" s="1"/>
  <c r="H2619" i="5"/>
  <c r="G2618" i="5"/>
  <c r="I2618" i="5" s="1"/>
  <c r="G2617" i="5"/>
  <c r="I2617" i="5" s="1"/>
  <c r="H2608" i="5"/>
  <c r="G2607" i="5"/>
  <c r="I2607" i="5" s="1"/>
  <c r="G2601" i="5"/>
  <c r="I2601" i="5" s="1"/>
  <c r="H2596" i="5"/>
  <c r="G2595" i="5"/>
  <c r="I2595" i="5" s="1"/>
  <c r="G2594" i="5"/>
  <c r="I2594" i="5" s="1"/>
  <c r="G2593" i="5"/>
  <c r="I2593" i="5" s="1"/>
  <c r="H2589" i="5"/>
  <c r="G2588" i="5"/>
  <c r="I2588" i="5" s="1"/>
  <c r="G2587" i="5"/>
  <c r="I2587" i="5" s="1"/>
  <c r="H2581" i="5"/>
  <c r="H2578" i="5"/>
  <c r="H2577" i="5"/>
  <c r="G2577" i="5"/>
  <c r="G2576" i="5"/>
  <c r="I2576" i="5" s="1"/>
  <c r="H2573" i="5"/>
  <c r="G2572" i="5"/>
  <c r="I2572" i="5" s="1"/>
  <c r="G2571" i="5"/>
  <c r="I2571" i="5" s="1"/>
  <c r="G2570" i="5"/>
  <c r="I2570" i="5" s="1"/>
  <c r="H2569" i="5"/>
  <c r="G2569" i="5"/>
  <c r="G2568" i="5"/>
  <c r="I2568" i="5" s="1"/>
  <c r="H2563" i="5"/>
  <c r="F2562" i="5"/>
  <c r="G2561" i="5"/>
  <c r="I2561" i="5" s="1"/>
  <c r="G2560" i="5"/>
  <c r="I2560" i="5" s="1"/>
  <c r="G2559" i="5"/>
  <c r="I2559" i="5" s="1"/>
  <c r="G2558" i="5"/>
  <c r="I2558" i="5" s="1"/>
  <c r="G2556" i="5"/>
  <c r="I2556" i="5" s="1"/>
  <c r="G2551" i="5"/>
  <c r="I2551" i="5" s="1"/>
  <c r="G2541" i="5"/>
  <c r="I2541" i="5" s="1"/>
  <c r="G2540" i="5"/>
  <c r="I2540" i="5" s="1"/>
  <c r="H2483" i="5"/>
  <c r="G2482" i="5"/>
  <c r="I2482" i="5" s="1"/>
  <c r="G2481" i="5"/>
  <c r="I2481" i="5" s="1"/>
  <c r="G2480" i="5"/>
  <c r="I2480" i="5" s="1"/>
  <c r="G2475" i="5"/>
  <c r="I2475" i="5" s="1"/>
  <c r="G2474" i="5"/>
  <c r="H2471" i="5"/>
  <c r="G2470" i="5"/>
  <c r="I2470" i="5" s="1"/>
  <c r="G2469" i="5"/>
  <c r="I2469" i="5" s="1"/>
  <c r="G2468" i="5"/>
  <c r="I2468" i="5" s="1"/>
  <c r="H2465" i="5"/>
  <c r="G2464" i="5"/>
  <c r="I2464" i="5" s="1"/>
  <c r="G2463" i="5"/>
  <c r="I2463" i="5" s="1"/>
  <c r="G2462" i="5"/>
  <c r="I2462" i="5" s="1"/>
  <c r="G2458" i="5"/>
  <c r="I2458" i="5" s="1"/>
  <c r="H2454" i="5"/>
  <c r="G2453" i="5"/>
  <c r="I2453" i="5" s="1"/>
  <c r="G2452" i="5"/>
  <c r="I2452" i="5" s="1"/>
  <c r="H2448" i="5"/>
  <c r="H2442" i="5"/>
  <c r="G2441" i="5"/>
  <c r="I2441" i="5" s="1"/>
  <c r="G2435" i="5"/>
  <c r="I2435" i="5" s="1"/>
  <c r="G2434" i="5"/>
  <c r="I2434" i="5" s="1"/>
  <c r="G2433" i="5"/>
  <c r="I2433" i="5" s="1"/>
  <c r="G2432" i="5"/>
  <c r="I2432" i="5" s="1"/>
  <c r="H2429" i="5"/>
  <c r="F2428" i="5"/>
  <c r="G2427" i="5"/>
  <c r="I2427" i="5" s="1"/>
  <c r="G2426" i="5"/>
  <c r="I2426" i="5" s="1"/>
  <c r="G2425" i="5"/>
  <c r="I2425" i="5" s="1"/>
  <c r="G2424" i="5"/>
  <c r="I2424" i="5" s="1"/>
  <c r="H2420" i="5"/>
  <c r="G2417" i="5"/>
  <c r="I2417" i="5" s="1"/>
  <c r="H2414" i="5"/>
  <c r="G2413" i="5"/>
  <c r="I2413" i="5" s="1"/>
  <c r="G2412" i="5"/>
  <c r="I2412" i="5" s="1"/>
  <c r="G2411" i="5"/>
  <c r="I2411" i="5" s="1"/>
  <c r="G2410" i="5"/>
  <c r="I2410" i="5" s="1"/>
  <c r="H2407" i="5"/>
  <c r="G2406" i="5"/>
  <c r="I2406" i="5" s="1"/>
  <c r="G2405" i="5"/>
  <c r="I2405" i="5" s="1"/>
  <c r="G2404" i="5"/>
  <c r="I2404" i="5" s="1"/>
  <c r="H2399" i="5"/>
  <c r="G2398" i="5"/>
  <c r="I2398" i="5" s="1"/>
  <c r="H2395" i="5"/>
  <c r="G2394" i="5"/>
  <c r="I2394" i="5" s="1"/>
  <c r="G2393" i="5"/>
  <c r="I2393" i="5" s="1"/>
  <c r="G2392" i="5"/>
  <c r="I2392" i="5" s="1"/>
  <c r="H2389" i="5"/>
  <c r="G2388" i="5"/>
  <c r="I2388" i="5" s="1"/>
  <c r="G2387" i="5"/>
  <c r="I2387" i="5" s="1"/>
  <c r="G2386" i="5"/>
  <c r="I2386" i="5" s="1"/>
  <c r="G2385" i="5"/>
  <c r="I2385" i="5" s="1"/>
  <c r="H2382" i="5"/>
  <c r="G2381" i="5"/>
  <c r="I2381" i="5" s="1"/>
  <c r="H2378" i="5"/>
  <c r="G2376" i="5"/>
  <c r="I2376" i="5" s="1"/>
  <c r="G2375" i="5"/>
  <c r="I2375" i="5" s="1"/>
  <c r="H2371" i="5"/>
  <c r="G2370" i="5"/>
  <c r="I2370" i="5" s="1"/>
  <c r="G2369" i="5"/>
  <c r="I2369" i="5" s="1"/>
  <c r="H2366" i="5"/>
  <c r="G2365" i="5"/>
  <c r="I2365" i="5" s="1"/>
  <c r="G2364" i="5"/>
  <c r="I2364" i="5" s="1"/>
  <c r="H2361" i="5"/>
  <c r="G2360" i="5"/>
  <c r="I2360" i="5" s="1"/>
  <c r="G2359" i="5"/>
  <c r="I2359" i="5" s="1"/>
  <c r="H2356" i="5"/>
  <c r="G2355" i="5"/>
  <c r="I2355" i="5" s="1"/>
  <c r="H2352" i="5"/>
  <c r="G2346" i="5"/>
  <c r="I2346" i="5" s="1"/>
  <c r="G2345" i="5"/>
  <c r="I2345" i="5" s="1"/>
  <c r="G2339" i="5"/>
  <c r="I2339" i="5" s="1"/>
  <c r="G2338" i="5"/>
  <c r="I2338" i="5" s="1"/>
  <c r="G2337" i="5"/>
  <c r="I2337" i="5" s="1"/>
  <c r="G2336" i="5"/>
  <c r="I2336" i="5" s="1"/>
  <c r="G2335" i="5"/>
  <c r="I2335" i="5" s="1"/>
  <c r="G2334" i="5"/>
  <c r="I2334" i="5" s="1"/>
  <c r="G2333" i="5"/>
  <c r="I2333" i="5" s="1"/>
  <c r="G2332" i="5"/>
  <c r="I2332" i="5" s="1"/>
  <c r="H2262" i="5"/>
  <c r="G2261" i="5"/>
  <c r="I2261" i="5" s="1"/>
  <c r="G2260" i="5"/>
  <c r="I2260" i="5" s="1"/>
  <c r="G2259" i="5"/>
  <c r="I2259" i="5" s="1"/>
  <c r="G2257" i="5"/>
  <c r="I2257" i="5" s="1"/>
  <c r="G2256" i="5"/>
  <c r="I2256" i="5" s="1"/>
  <c r="H2252" i="5"/>
  <c r="G2251" i="5"/>
  <c r="I2251" i="5" s="1"/>
  <c r="G2250" i="5"/>
  <c r="I2250" i="5" s="1"/>
  <c r="G2249" i="5"/>
  <c r="I2249" i="5" s="1"/>
  <c r="H2245" i="5"/>
  <c r="G2244" i="5"/>
  <c r="F2244" i="5"/>
  <c r="G2243" i="5"/>
  <c r="F2243" i="5"/>
  <c r="G2242" i="5"/>
  <c r="I2242" i="5" s="1"/>
  <c r="H2239" i="5"/>
  <c r="G2238" i="5"/>
  <c r="I2238" i="5" s="1"/>
  <c r="G2237" i="5"/>
  <c r="I2237" i="5" s="1"/>
  <c r="G2236" i="5"/>
  <c r="I2236" i="5" s="1"/>
  <c r="G2235" i="5"/>
  <c r="I2235" i="5" s="1"/>
  <c r="H2231" i="5"/>
  <c r="G2230" i="5"/>
  <c r="I2230" i="5" s="1"/>
  <c r="G2229" i="5"/>
  <c r="I2229" i="5" s="1"/>
  <c r="G2228" i="5"/>
  <c r="I2228" i="5" s="1"/>
  <c r="G2227" i="5"/>
  <c r="I2227" i="5" s="1"/>
  <c r="G2222" i="5"/>
  <c r="I2222" i="5" s="1"/>
  <c r="G2221" i="5"/>
  <c r="I2221" i="5" s="1"/>
  <c r="G2220" i="5"/>
  <c r="I2220" i="5" s="1"/>
  <c r="G2219" i="5"/>
  <c r="I2219" i="5" s="1"/>
  <c r="G2206" i="5"/>
  <c r="I2206" i="5" s="1"/>
  <c r="G2200" i="5"/>
  <c r="I2200" i="5" s="1"/>
  <c r="H2197" i="5"/>
  <c r="G2196" i="5"/>
  <c r="I2196" i="5" s="1"/>
  <c r="H2192" i="5"/>
  <c r="G2191" i="5"/>
  <c r="I2191" i="5" s="1"/>
  <c r="G2186" i="5"/>
  <c r="I2186" i="5" s="1"/>
  <c r="G2180" i="5"/>
  <c r="I2180" i="5" s="1"/>
  <c r="G2170" i="5"/>
  <c r="G2166" i="5"/>
  <c r="I2166" i="5" s="1"/>
  <c r="G2163" i="5"/>
  <c r="I2163" i="5" s="1"/>
  <c r="G2162" i="5"/>
  <c r="I2162" i="5" s="1"/>
  <c r="G2161" i="5"/>
  <c r="I2161" i="5" s="1"/>
  <c r="H2157" i="5"/>
  <c r="G2155" i="5"/>
  <c r="I2155" i="5" s="1"/>
  <c r="H2153" i="5"/>
  <c r="H2152" i="5"/>
  <c r="G2152" i="5"/>
  <c r="H2150" i="5"/>
  <c r="G2149" i="5"/>
  <c r="I2149" i="5" s="1"/>
  <c r="G2148" i="5"/>
  <c r="I2148" i="5" s="1"/>
  <c r="G2147" i="5"/>
  <c r="I2147" i="5" s="1"/>
  <c r="G2146" i="5"/>
  <c r="I2146" i="5" s="1"/>
  <c r="G2145" i="5"/>
  <c r="I2145" i="5" s="1"/>
  <c r="G2144" i="5"/>
  <c r="I2144" i="5" s="1"/>
  <c r="G2143" i="5"/>
  <c r="I2143" i="5" s="1"/>
  <c r="H2140" i="5"/>
  <c r="H2137" i="5"/>
  <c r="G2136" i="5"/>
  <c r="I2136" i="5" s="1"/>
  <c r="G2130" i="5"/>
  <c r="I2130" i="5" s="1"/>
  <c r="H2127" i="5"/>
  <c r="G2126" i="5"/>
  <c r="I2126" i="5" s="1"/>
  <c r="G2125" i="5"/>
  <c r="I2125" i="5" s="1"/>
  <c r="H2121" i="5"/>
  <c r="G2119" i="5"/>
  <c r="I2119" i="5" s="1"/>
  <c r="H2116" i="5"/>
  <c r="H2115" i="5"/>
  <c r="G2114" i="5"/>
  <c r="I2114" i="5" s="1"/>
  <c r="G2113" i="5"/>
  <c r="I2113" i="5" s="1"/>
  <c r="G2112" i="5"/>
  <c r="I2112" i="5" s="1"/>
  <c r="H2109" i="5"/>
  <c r="G2107" i="5"/>
  <c r="I2107" i="5" s="1"/>
  <c r="G2106" i="5"/>
  <c r="I2106" i="5" s="1"/>
  <c r="G2105" i="5"/>
  <c r="I2105" i="5" s="1"/>
  <c r="G2104" i="5"/>
  <c r="I2104" i="5" s="1"/>
  <c r="G2103" i="5"/>
  <c r="I2103" i="5" s="1"/>
  <c r="G2102" i="5"/>
  <c r="I2102" i="5" s="1"/>
  <c r="G2101" i="5"/>
  <c r="I2101" i="5" s="1"/>
  <c r="H2099" i="5"/>
  <c r="G2099" i="5"/>
  <c r="G2097" i="5"/>
  <c r="I2097" i="5" s="1"/>
  <c r="G2095" i="5"/>
  <c r="G2093" i="5"/>
  <c r="I2093" i="5" s="1"/>
  <c r="H2089" i="5"/>
  <c r="G2087" i="5"/>
  <c r="I2087" i="5" s="1"/>
  <c r="H2083" i="5"/>
  <c r="G2081" i="5"/>
  <c r="I2081" i="5" s="1"/>
  <c r="G2080" i="5"/>
  <c r="I2080" i="5" s="1"/>
  <c r="G2079" i="5"/>
  <c r="I2079" i="5" s="1"/>
  <c r="H2075" i="5"/>
  <c r="G2073" i="5"/>
  <c r="I2073" i="5" s="1"/>
  <c r="G2072" i="5"/>
  <c r="I2072" i="5" s="1"/>
  <c r="H2068" i="5"/>
  <c r="G2066" i="5"/>
  <c r="I2066" i="5" s="1"/>
  <c r="G2065" i="5"/>
  <c r="I2065" i="5" s="1"/>
  <c r="H2062" i="5"/>
  <c r="G2060" i="5"/>
  <c r="I2060" i="5" s="1"/>
  <c r="G2059" i="5"/>
  <c r="I2059" i="5" s="1"/>
  <c r="H2056" i="5"/>
  <c r="H2052" i="5"/>
  <c r="G2049" i="5"/>
  <c r="I2049" i="5" s="1"/>
  <c r="G2048" i="5"/>
  <c r="I2048" i="5" s="1"/>
  <c r="G2047" i="5"/>
  <c r="I2047" i="5" s="1"/>
  <c r="G2046" i="5"/>
  <c r="I2046" i="5" s="1"/>
  <c r="G2045" i="5"/>
  <c r="I2045" i="5" s="1"/>
  <c r="G2044" i="5"/>
  <c r="I2044" i="5" s="1"/>
  <c r="G2043" i="5"/>
  <c r="I2043" i="5" s="1"/>
  <c r="H2039" i="5"/>
  <c r="G2037" i="5"/>
  <c r="I2037" i="5" s="1"/>
  <c r="G2036" i="5"/>
  <c r="I2036" i="5" s="1"/>
  <c r="G2035" i="5"/>
  <c r="I2035" i="5" s="1"/>
  <c r="G2034" i="5"/>
  <c r="I2034" i="5" s="1"/>
  <c r="G2033" i="5"/>
  <c r="I2033" i="5" s="1"/>
  <c r="G2032" i="5"/>
  <c r="I2032" i="5" s="1"/>
  <c r="G2031" i="5"/>
  <c r="I2031" i="5" s="1"/>
  <c r="G2023" i="5"/>
  <c r="I2023" i="5" s="1"/>
  <c r="G2022" i="5"/>
  <c r="I2022" i="5" s="1"/>
  <c r="G2021" i="5"/>
  <c r="I2021" i="5" s="1"/>
  <c r="G2020" i="5"/>
  <c r="I2020" i="5" s="1"/>
  <c r="G2019" i="5"/>
  <c r="I2019" i="5" s="1"/>
  <c r="G2018" i="5"/>
  <c r="I2018" i="5" s="1"/>
  <c r="H2014" i="5"/>
  <c r="G2012" i="5"/>
  <c r="I2012" i="5" s="1"/>
  <c r="G2011" i="5"/>
  <c r="F2011" i="5"/>
  <c r="H2004" i="5"/>
  <c r="H1999" i="5"/>
  <c r="G1999" i="5"/>
  <c r="H1998" i="5"/>
  <c r="G1997" i="5"/>
  <c r="I1997" i="5" s="1"/>
  <c r="H1994" i="5"/>
  <c r="G1992" i="5"/>
  <c r="I1992" i="5" s="1"/>
  <c r="G1991" i="5"/>
  <c r="I1991" i="5" s="1"/>
  <c r="G1990" i="5"/>
  <c r="I1990" i="5" s="1"/>
  <c r="H1987" i="5"/>
  <c r="G1987" i="5"/>
  <c r="H1986" i="5"/>
  <c r="G1985" i="5"/>
  <c r="I1985" i="5" s="1"/>
  <c r="G1984" i="5"/>
  <c r="I1984" i="5" s="1"/>
  <c r="G1983" i="5"/>
  <c r="I1983" i="5" s="1"/>
  <c r="G1982" i="5"/>
  <c r="I1982" i="5" s="1"/>
  <c r="G1981" i="5"/>
  <c r="I1981" i="5" s="1"/>
  <c r="G1979" i="5"/>
  <c r="I1979" i="5" s="1"/>
  <c r="G1978" i="5"/>
  <c r="I1978" i="5" s="1"/>
  <c r="H1975" i="5"/>
  <c r="G1973" i="5"/>
  <c r="I1973" i="5" s="1"/>
  <c r="G1972" i="5"/>
  <c r="I1972" i="5" s="1"/>
  <c r="G1971" i="5"/>
  <c r="I1971" i="5" s="1"/>
  <c r="G1970" i="5"/>
  <c r="I1970" i="5" s="1"/>
  <c r="G1969" i="5"/>
  <c r="I1969" i="5" s="1"/>
  <c r="H1965" i="5"/>
  <c r="G1963" i="5"/>
  <c r="I1963" i="5" s="1"/>
  <c r="G1962" i="5"/>
  <c r="I1962" i="5" s="1"/>
  <c r="G1961" i="5"/>
  <c r="I1961" i="5" s="1"/>
  <c r="G1960" i="5"/>
  <c r="I1960" i="5" s="1"/>
  <c r="H1946" i="5"/>
  <c r="G1944" i="5"/>
  <c r="I1944" i="5" s="1"/>
  <c r="G1943" i="5"/>
  <c r="I1943" i="5" s="1"/>
  <c r="G1942" i="5"/>
  <c r="I1942" i="5" s="1"/>
  <c r="H1939" i="5"/>
  <c r="G1937" i="5"/>
  <c r="I1937" i="5" s="1"/>
  <c r="G1936" i="5"/>
  <c r="I1936" i="5" s="1"/>
  <c r="G1935" i="5"/>
  <c r="I1935" i="5" s="1"/>
  <c r="H1932" i="5"/>
  <c r="G1930" i="5"/>
  <c r="I1930" i="5" s="1"/>
  <c r="G1928" i="5"/>
  <c r="I1928" i="5" s="1"/>
  <c r="H1925" i="5"/>
  <c r="G1923" i="5"/>
  <c r="I1923" i="5" s="1"/>
  <c r="G1921" i="5"/>
  <c r="I1921" i="5" s="1"/>
  <c r="H1918" i="5"/>
  <c r="G1916" i="5"/>
  <c r="I1916" i="5" s="1"/>
  <c r="H1911" i="5"/>
  <c r="G1909" i="5"/>
  <c r="I1909" i="5" s="1"/>
  <c r="H1905" i="5"/>
  <c r="H1903" i="5"/>
  <c r="G1901" i="5"/>
  <c r="I1901" i="5" s="1"/>
  <c r="G1898" i="5"/>
  <c r="I1898" i="5" s="1"/>
  <c r="H1894" i="5"/>
  <c r="G1892" i="5"/>
  <c r="I1892" i="5" s="1"/>
  <c r="G1891" i="5"/>
  <c r="I1891" i="5" s="1"/>
  <c r="H1888" i="5"/>
  <c r="H1887" i="5"/>
  <c r="G1886" i="5"/>
  <c r="I1886" i="5" s="1"/>
  <c r="G1885" i="5"/>
  <c r="I1885" i="5" s="1"/>
  <c r="G1884" i="5"/>
  <c r="I1884" i="5" s="1"/>
  <c r="H1881" i="5"/>
  <c r="H1880" i="5"/>
  <c r="G1879" i="5"/>
  <c r="I1879" i="5" s="1"/>
  <c r="G1878" i="5"/>
  <c r="I1878" i="5" s="1"/>
  <c r="G1877" i="5"/>
  <c r="I1877" i="5" s="1"/>
  <c r="H1874" i="5"/>
  <c r="G1872" i="5"/>
  <c r="I1872" i="5" s="1"/>
  <c r="G1871" i="5"/>
  <c r="I1871" i="5" s="1"/>
  <c r="H1866" i="5"/>
  <c r="G1864" i="5"/>
  <c r="I1864" i="5" s="1"/>
  <c r="H1861" i="5"/>
  <c r="H1860" i="5"/>
  <c r="G1852" i="5"/>
  <c r="I1852" i="5" s="1"/>
  <c r="H1850" i="5"/>
  <c r="G1850" i="5"/>
  <c r="G1849" i="5"/>
  <c r="I1849" i="5" s="1"/>
  <c r="G1848" i="5"/>
  <c r="I1848" i="5" s="1"/>
  <c r="G1847" i="5"/>
  <c r="I1847" i="5" s="1"/>
  <c r="H1846" i="5"/>
  <c r="G1832" i="5"/>
  <c r="I1832" i="5" s="1"/>
  <c r="G1831" i="5"/>
  <c r="I1831" i="5" s="1"/>
  <c r="G1830" i="5"/>
  <c r="I1830" i="5" s="1"/>
  <c r="G1818" i="5"/>
  <c r="I1818" i="5" s="1"/>
  <c r="G1816" i="5"/>
  <c r="I1816" i="5" s="1"/>
  <c r="G1815" i="5"/>
  <c r="I1815" i="5" s="1"/>
  <c r="G1814" i="5"/>
  <c r="I1814" i="5" s="1"/>
  <c r="G1808" i="5"/>
  <c r="I1808" i="5" s="1"/>
  <c r="G1807" i="5"/>
  <c r="I1807" i="5" s="1"/>
  <c r="G1806" i="5"/>
  <c r="I1806" i="5" s="1"/>
  <c r="G1805" i="5"/>
  <c r="I1805" i="5" s="1"/>
  <c r="G1791" i="5"/>
  <c r="I1791" i="5" s="1"/>
  <c r="G1790" i="5"/>
  <c r="I1790" i="5" s="1"/>
  <c r="G1789" i="5"/>
  <c r="I1789" i="5" s="1"/>
  <c r="H1780" i="5"/>
  <c r="H1777" i="5"/>
  <c r="H1775" i="5"/>
  <c r="H1773" i="5"/>
  <c r="G1769" i="5"/>
  <c r="I1769" i="5" s="1"/>
  <c r="H1768" i="5"/>
  <c r="G1768" i="5"/>
  <c r="H1767" i="5"/>
  <c r="G1766" i="5"/>
  <c r="I1766" i="5" s="1"/>
  <c r="H1764" i="5"/>
  <c r="H1762" i="5"/>
  <c r="H1756" i="5"/>
  <c r="G1754" i="5"/>
  <c r="I1754" i="5" s="1"/>
  <c r="G1753" i="5"/>
  <c r="I1753" i="5" s="1"/>
  <c r="H1752" i="5"/>
  <c r="H1751" i="5"/>
  <c r="G1751" i="5"/>
  <c r="G1750" i="5"/>
  <c r="I1750" i="5" s="1"/>
  <c r="H1747" i="5"/>
  <c r="H1741" i="5"/>
  <c r="H1739" i="5"/>
  <c r="H1738" i="5"/>
  <c r="G1738" i="5"/>
  <c r="H1736" i="5"/>
  <c r="G1734" i="5"/>
  <c r="I1734" i="5" s="1"/>
  <c r="G1733" i="5"/>
  <c r="I1733" i="5" s="1"/>
  <c r="G1732" i="5"/>
  <c r="I1732" i="5" s="1"/>
  <c r="H1729" i="5"/>
  <c r="G1727" i="5"/>
  <c r="I1727" i="5" s="1"/>
  <c r="G1726" i="5"/>
  <c r="I1726" i="5" s="1"/>
  <c r="G1725" i="5"/>
  <c r="I1725" i="5" s="1"/>
  <c r="H1724" i="5"/>
  <c r="G1724" i="5"/>
  <c r="G1723" i="5"/>
  <c r="I1723" i="5" s="1"/>
  <c r="H1716" i="5"/>
  <c r="G1716" i="5"/>
  <c r="G1714" i="5"/>
  <c r="I1714" i="5" s="1"/>
  <c r="H1710" i="5"/>
  <c r="G1708" i="5"/>
  <c r="I1708" i="5" s="1"/>
  <c r="G1707" i="5"/>
  <c r="I1707" i="5" s="1"/>
  <c r="G1706" i="5"/>
  <c r="I1706" i="5" s="1"/>
  <c r="H1705" i="5"/>
  <c r="G1705" i="5"/>
  <c r="G1704" i="5"/>
  <c r="I1704" i="5" s="1"/>
  <c r="H1701" i="5"/>
  <c r="H1699" i="5"/>
  <c r="G1698" i="5"/>
  <c r="I1698" i="5" s="1"/>
  <c r="G1696" i="5"/>
  <c r="I1696" i="5" s="1"/>
  <c r="G1695" i="5"/>
  <c r="I1695" i="5" s="1"/>
  <c r="G1694" i="5"/>
  <c r="I1694" i="5" s="1"/>
  <c r="H1693" i="5"/>
  <c r="G1693" i="5"/>
  <c r="G1692" i="5"/>
  <c r="I1692" i="5" s="1"/>
  <c r="H1689" i="5"/>
  <c r="H1687" i="5"/>
  <c r="G1686" i="5"/>
  <c r="I1686" i="5" s="1"/>
  <c r="G1685" i="5"/>
  <c r="I1685" i="5" s="1"/>
  <c r="G1684" i="5"/>
  <c r="I1684" i="5" s="1"/>
  <c r="G1683" i="5"/>
  <c r="I1683" i="5" s="1"/>
  <c r="H1682" i="5"/>
  <c r="G1682" i="5"/>
  <c r="H1677" i="5"/>
  <c r="H1675" i="5"/>
  <c r="H1674" i="5"/>
  <c r="G1674" i="5"/>
  <c r="H1670" i="5"/>
  <c r="G1668" i="5"/>
  <c r="I1668" i="5" s="1"/>
  <c r="G1667" i="5"/>
  <c r="I1667" i="5" s="1"/>
  <c r="G1666" i="5"/>
  <c r="I1666" i="5" s="1"/>
  <c r="G1665" i="5"/>
  <c r="I1665" i="5" s="1"/>
  <c r="H1661" i="5"/>
  <c r="G1659" i="5"/>
  <c r="I1659" i="5" s="1"/>
  <c r="G1658" i="5"/>
  <c r="I1658" i="5" s="1"/>
  <c r="G1657" i="5"/>
  <c r="I1657" i="5" s="1"/>
  <c r="H1654" i="5"/>
  <c r="H1652" i="5"/>
  <c r="G1651" i="5"/>
  <c r="I1651" i="5" s="1"/>
  <c r="G1649" i="5"/>
  <c r="I1649" i="5" s="1"/>
  <c r="G1648" i="5"/>
  <c r="I1648" i="5" s="1"/>
  <c r="G1647" i="5"/>
  <c r="I1647" i="5" s="1"/>
  <c r="H1643" i="5"/>
  <c r="G1641" i="5"/>
  <c r="I1641" i="5" s="1"/>
  <c r="G1640" i="5"/>
  <c r="I1640" i="5" s="1"/>
  <c r="G1639" i="5"/>
  <c r="I1639" i="5" s="1"/>
  <c r="H1637" i="5"/>
  <c r="H1635" i="5"/>
  <c r="G1633" i="5"/>
  <c r="I1633" i="5" s="1"/>
  <c r="G1632" i="5"/>
  <c r="I1632" i="5" s="1"/>
  <c r="G1630" i="5"/>
  <c r="I1630" i="5" s="1"/>
  <c r="H1627" i="5"/>
  <c r="G1625" i="5"/>
  <c r="I1625" i="5" s="1"/>
  <c r="G1624" i="5"/>
  <c r="I1624" i="5" s="1"/>
  <c r="H1621" i="5"/>
  <c r="G1619" i="5"/>
  <c r="I1619" i="5" s="1"/>
  <c r="G1618" i="5"/>
  <c r="I1618" i="5" s="1"/>
  <c r="G1617" i="5"/>
  <c r="I1617" i="5" s="1"/>
  <c r="H1614" i="5"/>
  <c r="G1612" i="5"/>
  <c r="I1612" i="5" s="1"/>
  <c r="G1611" i="5"/>
  <c r="I1611" i="5" s="1"/>
  <c r="H1607" i="5"/>
  <c r="H1602" i="5"/>
  <c r="G1600" i="5"/>
  <c r="I1600" i="5" s="1"/>
  <c r="G1599" i="5"/>
  <c r="I1599" i="5" s="1"/>
  <c r="G1598" i="5"/>
  <c r="I1598" i="5" s="1"/>
  <c r="H1594" i="5"/>
  <c r="G1592" i="5"/>
  <c r="I1592" i="5" s="1"/>
  <c r="G1590" i="5"/>
  <c r="I1590" i="5" s="1"/>
  <c r="H1585" i="5"/>
  <c r="H1572" i="5"/>
  <c r="H1556" i="5"/>
  <c r="G1554" i="5"/>
  <c r="I1554" i="5" s="1"/>
  <c r="G1553" i="5"/>
  <c r="I1553" i="5" s="1"/>
  <c r="G1546" i="5"/>
  <c r="I1546" i="5" s="1"/>
  <c r="G1544" i="5"/>
  <c r="I1544" i="5" s="1"/>
  <c r="H1539" i="5"/>
  <c r="G1537" i="5"/>
  <c r="I1537" i="5" s="1"/>
  <c r="G1536" i="5"/>
  <c r="I1536" i="5" s="1"/>
  <c r="H1532" i="5"/>
  <c r="G1529" i="5"/>
  <c r="I1529" i="5" s="1"/>
  <c r="G1528" i="5"/>
  <c r="I1528" i="5" s="1"/>
  <c r="H1523" i="5"/>
  <c r="G1521" i="5"/>
  <c r="I1521" i="5" s="1"/>
  <c r="G1520" i="5"/>
  <c r="I1520" i="5" s="1"/>
  <c r="H1515" i="5"/>
  <c r="G1513" i="5"/>
  <c r="I1513" i="5" s="1"/>
  <c r="G1512" i="5"/>
  <c r="I1512" i="5" s="1"/>
  <c r="G1507" i="5"/>
  <c r="I1507" i="5" s="1"/>
  <c r="G1504" i="5"/>
  <c r="I1504" i="5" s="1"/>
  <c r="H1503" i="5"/>
  <c r="G1503" i="5"/>
  <c r="H1502" i="5"/>
  <c r="H1501" i="5"/>
  <c r="G1496" i="5"/>
  <c r="I1496" i="5" s="1"/>
  <c r="G1493" i="5"/>
  <c r="I1493" i="5" s="1"/>
  <c r="G1492" i="5"/>
  <c r="G1485" i="5"/>
  <c r="I1485" i="5" s="1"/>
  <c r="G1483" i="5"/>
  <c r="I1483" i="5" s="1"/>
  <c r="G1482" i="5"/>
  <c r="I1482" i="5" s="1"/>
  <c r="G1481" i="5"/>
  <c r="I1466" i="5"/>
  <c r="W1452" i="5" s="1"/>
  <c r="H1463" i="5"/>
  <c r="G1461" i="5"/>
  <c r="I1461" i="5" s="1"/>
  <c r="G1454" i="5"/>
  <c r="I1454" i="5" s="1"/>
  <c r="G1449" i="5"/>
  <c r="I1449" i="5" s="1"/>
  <c r="G1447" i="5"/>
  <c r="H1441" i="5"/>
  <c r="G1441" i="5"/>
  <c r="G1440" i="5"/>
  <c r="I1440" i="5" s="1"/>
  <c r="G1438" i="5"/>
  <c r="I1438" i="5" s="1"/>
  <c r="H1437" i="5"/>
  <c r="H1436" i="5"/>
  <c r="H1434" i="5"/>
  <c r="H1432" i="5"/>
  <c r="G1428" i="5"/>
  <c r="I1428" i="5" s="1"/>
  <c r="H1425" i="5"/>
  <c r="G1425" i="5"/>
  <c r="G1421" i="5"/>
  <c r="I1421" i="5" s="1"/>
  <c r="G1419" i="5"/>
  <c r="I1419" i="5" s="1"/>
  <c r="H1418" i="5"/>
  <c r="G1418" i="5"/>
  <c r="H1417" i="5"/>
  <c r="G1405" i="5"/>
  <c r="I1405" i="5" s="1"/>
  <c r="G1402" i="5"/>
  <c r="I1402" i="5" s="1"/>
  <c r="G1399" i="5"/>
  <c r="I1399" i="5" s="1"/>
  <c r="G1394" i="5"/>
  <c r="I1394" i="5" s="1"/>
  <c r="G1392" i="5"/>
  <c r="I1392" i="5" s="1"/>
  <c r="H1391" i="5"/>
  <c r="G1391" i="5"/>
  <c r="H1390" i="5"/>
  <c r="H1387" i="5"/>
  <c r="G1385" i="5"/>
  <c r="I1385" i="5" s="1"/>
  <c r="G1384" i="5"/>
  <c r="I1384" i="5" s="1"/>
  <c r="G1383" i="5"/>
  <c r="F1383" i="5"/>
  <c r="G1382" i="5"/>
  <c r="I1382" i="5" s="1"/>
  <c r="H1381" i="5"/>
  <c r="G1381" i="5"/>
  <c r="H1378" i="5"/>
  <c r="H1376" i="5"/>
  <c r="G1375" i="5"/>
  <c r="I1375" i="5" s="1"/>
  <c r="G1374" i="5"/>
  <c r="I1374" i="5" s="1"/>
  <c r="H1373" i="5"/>
  <c r="G1373" i="5"/>
  <c r="G1372" i="5"/>
  <c r="I1372" i="5" s="1"/>
  <c r="H1369" i="5"/>
  <c r="G1366" i="5"/>
  <c r="I1366" i="5" s="1"/>
  <c r="G1365" i="5"/>
  <c r="F1365" i="5"/>
  <c r="G1364" i="5"/>
  <c r="I1364" i="5" s="1"/>
  <c r="H1363" i="5"/>
  <c r="G1363" i="5"/>
  <c r="H1361" i="5"/>
  <c r="H1359" i="5"/>
  <c r="H1355" i="5"/>
  <c r="H1353" i="5"/>
  <c r="H1348" i="5"/>
  <c r="G1346" i="5"/>
  <c r="I1346" i="5" s="1"/>
  <c r="H1345" i="5"/>
  <c r="G1345" i="5"/>
  <c r="H1344" i="5"/>
  <c r="G1344" i="5"/>
  <c r="H1343" i="5"/>
  <c r="H1342" i="5"/>
  <c r="H1335" i="5"/>
  <c r="G1334" i="5"/>
  <c r="I1334" i="5" s="1"/>
  <c r="H1333" i="5"/>
  <c r="G1333" i="5"/>
  <c r="G1332" i="5"/>
  <c r="I1332" i="5" s="1"/>
  <c r="G1330" i="5"/>
  <c r="H1329" i="5"/>
  <c r="H1326" i="5"/>
  <c r="G1323" i="5"/>
  <c r="I1323" i="5" s="1"/>
  <c r="G1322" i="5"/>
  <c r="I1322" i="5" s="1"/>
  <c r="G1321" i="5"/>
  <c r="I1321" i="5" s="1"/>
  <c r="H1320" i="5"/>
  <c r="G1320" i="5"/>
  <c r="H1319" i="5"/>
  <c r="G1319" i="5"/>
  <c r="H1318" i="5"/>
  <c r="H1317" i="5"/>
  <c r="G1317" i="5"/>
  <c r="H1316" i="5"/>
  <c r="G1314" i="5"/>
  <c r="H1313" i="5"/>
  <c r="G1308" i="5"/>
  <c r="I1308" i="5" s="1"/>
  <c r="G1306" i="5"/>
  <c r="I1306" i="5" s="1"/>
  <c r="G1305" i="5"/>
  <c r="I1305" i="5" s="1"/>
  <c r="H1304" i="5"/>
  <c r="H1303" i="5"/>
  <c r="H1302" i="5"/>
  <c r="H1301" i="5"/>
  <c r="G1301" i="5"/>
  <c r="H1300" i="5"/>
  <c r="G1298" i="5"/>
  <c r="F1293" i="5"/>
  <c r="H1292" i="5"/>
  <c r="G1292" i="5"/>
  <c r="G1290" i="5"/>
  <c r="I1290" i="5" s="1"/>
  <c r="G1289" i="5"/>
  <c r="I1289" i="5" s="1"/>
  <c r="H1288" i="5"/>
  <c r="G1286" i="5"/>
  <c r="F1281" i="5"/>
  <c r="H1280" i="5"/>
  <c r="H1276" i="5"/>
  <c r="G1274" i="5"/>
  <c r="F1269" i="5"/>
  <c r="H1268" i="5"/>
  <c r="G1268" i="5"/>
  <c r="G1266" i="5"/>
  <c r="I1266" i="5" s="1"/>
  <c r="H1264" i="5"/>
  <c r="G1262" i="5"/>
  <c r="H1260" i="5"/>
  <c r="F1259" i="5"/>
  <c r="H1258" i="5"/>
  <c r="G1258" i="5"/>
  <c r="G1257" i="5"/>
  <c r="I1257" i="5" s="1"/>
  <c r="G1256" i="5"/>
  <c r="F1256" i="5"/>
  <c r="G1255" i="5"/>
  <c r="I1255" i="5" s="1"/>
  <c r="H1254" i="5"/>
  <c r="F1253" i="5"/>
  <c r="H1250" i="5"/>
  <c r="F1248" i="5"/>
  <c r="G1247" i="5"/>
  <c r="I1247" i="5" s="1"/>
  <c r="H1245" i="5"/>
  <c r="G1245" i="5"/>
  <c r="H1244" i="5"/>
  <c r="H1233" i="5"/>
  <c r="G1233" i="5"/>
  <c r="G1231" i="5"/>
  <c r="I1231" i="5" s="1"/>
  <c r="G1230" i="5"/>
  <c r="I1230" i="5" s="1"/>
  <c r="H1229" i="5"/>
  <c r="H1226" i="5"/>
  <c r="G1223" i="5"/>
  <c r="I1223" i="5" s="1"/>
  <c r="H1221" i="5"/>
  <c r="G1221" i="5"/>
  <c r="H1220" i="5"/>
  <c r="H1217" i="5"/>
  <c r="G1215" i="5"/>
  <c r="I1215" i="5" s="1"/>
  <c r="H1213" i="5"/>
  <c r="G1213" i="5"/>
  <c r="H1212" i="5"/>
  <c r="G1210" i="5"/>
  <c r="I1210" i="5" s="1"/>
  <c r="H1208" i="5"/>
  <c r="G1204" i="5"/>
  <c r="H1203" i="5"/>
  <c r="G1203" i="5"/>
  <c r="G1202" i="5"/>
  <c r="G1195" i="5"/>
  <c r="I1195" i="5" s="1"/>
  <c r="G1193" i="5"/>
  <c r="F1193" i="5"/>
  <c r="G1191" i="5"/>
  <c r="H1190" i="5"/>
  <c r="G1190" i="5"/>
  <c r="G1189" i="5"/>
  <c r="G1180" i="5"/>
  <c r="F1180" i="5"/>
  <c r="G1178" i="5"/>
  <c r="G1177" i="5"/>
  <c r="G1176" i="5"/>
  <c r="G1167" i="5"/>
  <c r="F1167" i="5"/>
  <c r="G1165" i="5"/>
  <c r="H1164" i="5"/>
  <c r="H1161" i="5"/>
  <c r="G1157" i="5"/>
  <c r="G1156" i="5"/>
  <c r="I1156" i="5" s="1"/>
  <c r="H1155" i="5"/>
  <c r="G1149" i="5"/>
  <c r="I1149" i="5" s="1"/>
  <c r="H1146" i="5"/>
  <c r="H1142" i="5"/>
  <c r="H1140" i="5"/>
  <c r="G1140" i="5"/>
  <c r="G1135" i="5"/>
  <c r="I1135" i="5" s="1"/>
  <c r="H1132" i="5"/>
  <c r="H1131" i="5"/>
  <c r="H1115" i="5"/>
  <c r="G1113" i="5"/>
  <c r="I1113" i="5" s="1"/>
  <c r="H1110" i="5"/>
  <c r="G1110" i="5"/>
  <c r="H1109" i="5"/>
  <c r="H1102" i="5"/>
  <c r="H1101" i="5"/>
  <c r="H1099" i="5"/>
  <c r="G1099" i="5"/>
  <c r="H1095" i="5"/>
  <c r="G1095" i="5"/>
  <c r="H1092" i="5"/>
  <c r="H1089" i="5"/>
  <c r="H1087" i="5"/>
  <c r="G1087" i="5"/>
  <c r="G1085" i="5"/>
  <c r="I1085" i="5" s="1"/>
  <c r="H1084" i="5"/>
  <c r="H1080" i="5"/>
  <c r="G1078" i="5"/>
  <c r="I1078" i="5" s="1"/>
  <c r="H1075" i="5"/>
  <c r="H1070" i="5"/>
  <c r="H1068" i="5"/>
  <c r="G1068" i="5"/>
  <c r="F1067" i="5"/>
  <c r="H1055" i="5"/>
  <c r="H1052" i="5"/>
  <c r="G1050" i="5"/>
  <c r="I1050" i="5" s="1"/>
  <c r="G1049" i="5"/>
  <c r="I1049" i="5" s="1"/>
  <c r="H1048" i="5"/>
  <c r="H1044" i="5"/>
  <c r="H1041" i="5"/>
  <c r="G1041" i="5"/>
  <c r="G1039" i="5"/>
  <c r="I1039" i="5" s="1"/>
  <c r="G1038" i="5"/>
  <c r="I1038" i="5" s="1"/>
  <c r="H1037" i="5"/>
  <c r="H1030" i="5"/>
  <c r="G1030" i="5"/>
  <c r="G1028" i="5"/>
  <c r="I1028" i="5" s="1"/>
  <c r="H1027" i="5"/>
  <c r="H1020" i="5"/>
  <c r="G1020" i="5"/>
  <c r="G1018" i="5"/>
  <c r="I1018" i="5" s="1"/>
  <c r="H1017" i="5"/>
  <c r="G1015" i="5"/>
  <c r="H1012" i="5"/>
  <c r="H1009" i="5"/>
  <c r="G1009" i="5"/>
  <c r="G1007" i="5"/>
  <c r="I1007" i="5" s="1"/>
  <c r="G1006" i="5"/>
  <c r="I1006" i="5" s="1"/>
  <c r="H1005" i="5"/>
  <c r="G1003" i="5"/>
  <c r="G1002" i="5"/>
  <c r="I1002" i="5" s="1"/>
  <c r="H1001" i="5"/>
  <c r="H996" i="5"/>
  <c r="G996" i="5"/>
  <c r="G995" i="5"/>
  <c r="I995" i="5" s="1"/>
  <c r="G994" i="5"/>
  <c r="I994" i="5" s="1"/>
  <c r="G993" i="5"/>
  <c r="I993" i="5" s="1"/>
  <c r="H992" i="5"/>
  <c r="H991" i="5"/>
  <c r="G989" i="5"/>
  <c r="G988" i="5"/>
  <c r="I988" i="5" s="1"/>
  <c r="H987" i="5"/>
  <c r="H984" i="5"/>
  <c r="G981" i="5"/>
  <c r="I981" i="5" s="1"/>
  <c r="G980" i="5"/>
  <c r="I980" i="5" s="1"/>
  <c r="G979" i="5"/>
  <c r="I979" i="5" s="1"/>
  <c r="H978" i="5"/>
  <c r="G978" i="5"/>
  <c r="H977" i="5"/>
  <c r="H976" i="5"/>
  <c r="G974" i="5"/>
  <c r="H973" i="5"/>
  <c r="H970" i="5"/>
  <c r="G968" i="5"/>
  <c r="I968" i="5" s="1"/>
  <c r="G967" i="5"/>
  <c r="I967" i="5" s="1"/>
  <c r="G965" i="5"/>
  <c r="H964" i="5"/>
  <c r="H961" i="5"/>
  <c r="G959" i="5"/>
  <c r="I959" i="5" s="1"/>
  <c r="G958" i="5"/>
  <c r="I958" i="5" s="1"/>
  <c r="G956" i="5"/>
  <c r="H955" i="5"/>
  <c r="H953" i="5"/>
  <c r="H952" i="5"/>
  <c r="H950" i="5"/>
  <c r="G950" i="5"/>
  <c r="G949" i="5"/>
  <c r="I949" i="5" s="1"/>
  <c r="G946" i="5"/>
  <c r="I946" i="5" s="1"/>
  <c r="H945" i="5"/>
  <c r="H940" i="5"/>
  <c r="G940" i="5"/>
  <c r="G938" i="5"/>
  <c r="I938" i="5" s="1"/>
  <c r="G937" i="5"/>
  <c r="I937" i="5" s="1"/>
  <c r="G936" i="5"/>
  <c r="I936" i="5" s="1"/>
  <c r="H935" i="5"/>
  <c r="G933" i="5"/>
  <c r="H930" i="5"/>
  <c r="H927" i="5"/>
  <c r="G927" i="5"/>
  <c r="G925" i="5"/>
  <c r="I925" i="5" s="1"/>
  <c r="G924" i="5"/>
  <c r="I924" i="5" s="1"/>
  <c r="H923" i="5"/>
  <c r="G921" i="5"/>
  <c r="H918" i="5"/>
  <c r="G914" i="5"/>
  <c r="I914" i="5" s="1"/>
  <c r="G913" i="5"/>
  <c r="I913" i="5" s="1"/>
  <c r="H912" i="5"/>
  <c r="G910" i="5"/>
  <c r="H909" i="5"/>
  <c r="G904" i="5"/>
  <c r="I904" i="5" s="1"/>
  <c r="G903" i="5"/>
  <c r="I903" i="5" s="1"/>
  <c r="G902" i="5"/>
  <c r="I902" i="5" s="1"/>
  <c r="G901" i="5"/>
  <c r="I901" i="5" s="1"/>
  <c r="H900" i="5"/>
  <c r="G900" i="5"/>
  <c r="H899" i="5"/>
  <c r="H898" i="5"/>
  <c r="G896" i="5"/>
  <c r="H895" i="5"/>
  <c r="G890" i="5"/>
  <c r="I890" i="5" s="1"/>
  <c r="G889" i="5"/>
  <c r="I889" i="5" s="1"/>
  <c r="G888" i="5"/>
  <c r="I888" i="5" s="1"/>
  <c r="G887" i="5"/>
  <c r="I887" i="5" s="1"/>
  <c r="H886" i="5"/>
  <c r="G886" i="5"/>
  <c r="H885" i="5"/>
  <c r="H884" i="5"/>
  <c r="H882" i="5"/>
  <c r="G882" i="5"/>
  <c r="G878" i="5"/>
  <c r="I878" i="5" s="1"/>
  <c r="G876" i="5"/>
  <c r="I876" i="5" s="1"/>
  <c r="H875" i="5"/>
  <c r="G875" i="5"/>
  <c r="H874" i="5"/>
  <c r="H871" i="5"/>
  <c r="G866" i="5"/>
  <c r="I866" i="5" s="1"/>
  <c r="G864" i="5"/>
  <c r="H863" i="5"/>
  <c r="G853" i="5"/>
  <c r="I853" i="5" s="1"/>
  <c r="G851" i="5"/>
  <c r="I851" i="5" s="1"/>
  <c r="H850" i="5"/>
  <c r="G843" i="5"/>
  <c r="I843" i="5" s="1"/>
  <c r="H841" i="5"/>
  <c r="G841" i="5"/>
  <c r="G840" i="5"/>
  <c r="I840" i="5" s="1"/>
  <c r="H839" i="5"/>
  <c r="G837" i="5"/>
  <c r="G836" i="5"/>
  <c r="G826" i="5"/>
  <c r="F826" i="5"/>
  <c r="G824" i="5"/>
  <c r="G823" i="5"/>
  <c r="G813" i="5"/>
  <c r="F813" i="5"/>
  <c r="G810" i="5"/>
  <c r="G800" i="5"/>
  <c r="F800" i="5"/>
  <c r="G798" i="5"/>
  <c r="H797" i="5"/>
  <c r="H796" i="5"/>
  <c r="G792" i="5"/>
  <c r="I792" i="5" s="1"/>
  <c r="G790" i="5"/>
  <c r="I790" i="5" s="1"/>
  <c r="H789" i="5"/>
  <c r="G789" i="5"/>
  <c r="H788" i="5"/>
  <c r="H787" i="5"/>
  <c r="G785" i="5"/>
  <c r="H783" i="5"/>
  <c r="G779" i="5"/>
  <c r="I779" i="5" s="1"/>
  <c r="H775" i="5"/>
  <c r="G775" i="5"/>
  <c r="H774" i="5"/>
  <c r="G772" i="5"/>
  <c r="G767" i="5"/>
  <c r="I767" i="5" s="1"/>
  <c r="G765" i="5"/>
  <c r="I765" i="5" s="1"/>
  <c r="G764" i="5"/>
  <c r="I764" i="5" s="1"/>
  <c r="H763" i="5"/>
  <c r="G763" i="5"/>
  <c r="H762" i="5"/>
  <c r="H761" i="5"/>
  <c r="G759" i="5"/>
  <c r="G754" i="5"/>
  <c r="I754" i="5" s="1"/>
  <c r="G753" i="5"/>
  <c r="I753" i="5" s="1"/>
  <c r="G752" i="5"/>
  <c r="I752" i="5" s="1"/>
  <c r="H751" i="5"/>
  <c r="G751" i="5"/>
  <c r="H750" i="5"/>
  <c r="H749" i="5"/>
  <c r="G747" i="5"/>
  <c r="G742" i="5"/>
  <c r="I742" i="5" s="1"/>
  <c r="G740" i="5"/>
  <c r="I740" i="5" s="1"/>
  <c r="G739" i="5"/>
  <c r="I739" i="5" s="1"/>
  <c r="H738" i="5"/>
  <c r="G738" i="5"/>
  <c r="H737" i="5"/>
  <c r="H736" i="5"/>
  <c r="G724" i="5"/>
  <c r="G719" i="5"/>
  <c r="I719" i="5" s="1"/>
  <c r="G717" i="5"/>
  <c r="I717" i="5" s="1"/>
  <c r="H716" i="5"/>
  <c r="G716" i="5"/>
  <c r="H715" i="5"/>
  <c r="G710" i="5"/>
  <c r="I710" i="5" s="1"/>
  <c r="G707" i="5"/>
  <c r="I707" i="5" s="1"/>
  <c r="H706" i="5"/>
  <c r="G706" i="5"/>
  <c r="H705" i="5"/>
  <c r="H704" i="5"/>
  <c r="H699" i="5"/>
  <c r="G699" i="5"/>
  <c r="G697" i="5"/>
  <c r="I697" i="5" s="1"/>
  <c r="G696" i="5"/>
  <c r="I696" i="5" s="1"/>
  <c r="H695" i="5"/>
  <c r="H690" i="5"/>
  <c r="G690" i="5"/>
  <c r="G688" i="5"/>
  <c r="I688" i="5" s="1"/>
  <c r="G687" i="5"/>
  <c r="I687" i="5" s="1"/>
  <c r="H686" i="5"/>
  <c r="H681" i="5"/>
  <c r="G681" i="5"/>
  <c r="G679" i="5"/>
  <c r="I679" i="5" s="1"/>
  <c r="G678" i="5"/>
  <c r="I678" i="5" s="1"/>
  <c r="H677" i="5"/>
  <c r="G671" i="5"/>
  <c r="I671" i="5" s="1"/>
  <c r="H670" i="5"/>
  <c r="G670" i="5"/>
  <c r="G669" i="5"/>
  <c r="I669" i="5" s="1"/>
  <c r="H668" i="5"/>
  <c r="H663" i="5"/>
  <c r="G663" i="5"/>
  <c r="G662" i="5"/>
  <c r="I662" i="5" s="1"/>
  <c r="G660" i="5"/>
  <c r="I660" i="5" s="1"/>
  <c r="G658" i="5"/>
  <c r="I658" i="5" s="1"/>
  <c r="F655" i="5"/>
  <c r="G652" i="5"/>
  <c r="I652" i="5" s="1"/>
  <c r="H651" i="5"/>
  <c r="G643" i="5"/>
  <c r="I643" i="5" s="1"/>
  <c r="H642" i="5"/>
  <c r="G642" i="5"/>
  <c r="H641" i="5"/>
  <c r="H634" i="5"/>
  <c r="G633" i="5"/>
  <c r="I633" i="5" s="1"/>
  <c r="G632" i="5"/>
  <c r="I632" i="5" s="1"/>
  <c r="H631" i="5"/>
  <c r="G631" i="5"/>
  <c r="G630" i="5"/>
  <c r="F630" i="5"/>
  <c r="H623" i="5"/>
  <c r="G622" i="5"/>
  <c r="I622" i="5" s="1"/>
  <c r="G621" i="5"/>
  <c r="I621" i="5" s="1"/>
  <c r="H620" i="5"/>
  <c r="G620" i="5"/>
  <c r="G619" i="5"/>
  <c r="F619" i="5"/>
  <c r="G611" i="5"/>
  <c r="I611" i="5" s="1"/>
  <c r="G602" i="5"/>
  <c r="I602" i="5" s="1"/>
  <c r="G601" i="5"/>
  <c r="I601" i="5" s="1"/>
  <c r="H600" i="5"/>
  <c r="G600" i="5"/>
  <c r="G599" i="5"/>
  <c r="I599" i="5" s="1"/>
  <c r="G1415" i="5"/>
  <c r="I1415" i="5" s="1"/>
  <c r="H1412" i="5"/>
  <c r="G1411" i="5"/>
  <c r="I1411" i="5" s="1"/>
  <c r="G1410" i="5"/>
  <c r="I1410" i="5" s="1"/>
  <c r="G1409" i="5"/>
  <c r="I1409" i="5" s="1"/>
  <c r="I582" i="5"/>
  <c r="G577" i="5"/>
  <c r="I577" i="5" s="1"/>
  <c r="I576" i="5"/>
  <c r="G572" i="5"/>
  <c r="I572" i="5" s="1"/>
  <c r="G566" i="5"/>
  <c r="I566" i="5" s="1"/>
  <c r="G565" i="5"/>
  <c r="I565" i="5" s="1"/>
  <c r="G564" i="5"/>
  <c r="I564" i="5" s="1"/>
  <c r="G557" i="5"/>
  <c r="I557" i="5" s="1"/>
  <c r="G556" i="5"/>
  <c r="I556" i="5" s="1"/>
  <c r="G555" i="5"/>
  <c r="I555" i="5" s="1"/>
  <c r="G539" i="5"/>
  <c r="I539" i="5" s="1"/>
  <c r="G538" i="5"/>
  <c r="I538" i="5" s="1"/>
  <c r="G537" i="5"/>
  <c r="I537" i="5" s="1"/>
  <c r="H519" i="5"/>
  <c r="H508" i="5"/>
  <c r="H506" i="5"/>
  <c r="G506" i="5"/>
  <c r="G499" i="5"/>
  <c r="I499" i="5" s="1"/>
  <c r="H496" i="5"/>
  <c r="G489" i="5"/>
  <c r="G484" i="5"/>
  <c r="H483" i="5"/>
  <c r="H480" i="5"/>
  <c r="H478" i="5"/>
  <c r="H473" i="5"/>
  <c r="H471" i="5"/>
  <c r="H464" i="5"/>
  <c r="G464" i="5"/>
  <c r="H463" i="5"/>
  <c r="G463" i="5"/>
  <c r="H459" i="5"/>
  <c r="H458" i="5"/>
  <c r="G458" i="5"/>
  <c r="H454" i="5"/>
  <c r="H453" i="5"/>
  <c r="G451" i="5"/>
  <c r="H447" i="5"/>
  <c r="G443" i="5"/>
  <c r="I443" i="5" s="1"/>
  <c r="G442" i="5"/>
  <c r="I442" i="5" s="1"/>
  <c r="G441" i="5"/>
  <c r="I441" i="5" s="1"/>
  <c r="G438" i="5"/>
  <c r="I438" i="5" s="1"/>
  <c r="G437" i="5"/>
  <c r="I437" i="5" s="1"/>
  <c r="H435" i="5"/>
  <c r="G434" i="5"/>
  <c r="I434" i="5" s="1"/>
  <c r="H430" i="5"/>
  <c r="H427" i="5"/>
  <c r="G425" i="5"/>
  <c r="F425" i="5"/>
  <c r="H422" i="5"/>
  <c r="G422" i="5"/>
  <c r="G421" i="5"/>
  <c r="I421" i="5" s="1"/>
  <c r="H420" i="5"/>
  <c r="G420" i="5"/>
  <c r="G416" i="5"/>
  <c r="H415" i="5"/>
  <c r="H414" i="5"/>
  <c r="H408" i="5"/>
  <c r="G406" i="5"/>
  <c r="I406" i="5" s="1"/>
  <c r="G395" i="5"/>
  <c r="H394" i="5"/>
  <c r="H391" i="5"/>
  <c r="G389" i="5"/>
  <c r="I389" i="5" s="1"/>
  <c r="G388" i="5"/>
  <c r="I388" i="5" s="1"/>
  <c r="G387" i="5"/>
  <c r="I387" i="5" s="1"/>
  <c r="G384" i="5"/>
  <c r="I384" i="5" s="1"/>
  <c r="G383" i="5"/>
  <c r="I383" i="5" s="1"/>
  <c r="H380" i="5"/>
  <c r="G378" i="5"/>
  <c r="I378" i="5" s="1"/>
  <c r="G377" i="5"/>
  <c r="I377" i="5" s="1"/>
  <c r="G369" i="5"/>
  <c r="I369" i="5" s="1"/>
  <c r="G368" i="5"/>
  <c r="I368" i="5" s="1"/>
  <c r="G367" i="5"/>
  <c r="I367" i="5" s="1"/>
  <c r="G363" i="5"/>
  <c r="I363" i="5" s="1"/>
  <c r="G362" i="5"/>
  <c r="G357" i="5"/>
  <c r="I357" i="5" s="1"/>
  <c r="G356" i="5"/>
  <c r="I356" i="5" s="1"/>
  <c r="H353" i="5"/>
  <c r="G350" i="5"/>
  <c r="I350" i="5" s="1"/>
  <c r="G349" i="5"/>
  <c r="I349" i="5" s="1"/>
  <c r="H348" i="5"/>
  <c r="H347" i="5"/>
  <c r="G346" i="5"/>
  <c r="G339" i="5"/>
  <c r="G335" i="5"/>
  <c r="H332" i="5"/>
  <c r="G325" i="5"/>
  <c r="H324" i="5"/>
  <c r="G324" i="5"/>
  <c r="H323" i="5"/>
  <c r="G323" i="5"/>
  <c r="H322" i="5"/>
  <c r="H320" i="5"/>
  <c r="G317" i="5"/>
  <c r="H316" i="5"/>
  <c r="G316" i="5"/>
  <c r="H315" i="5"/>
  <c r="G315" i="5"/>
  <c r="G311" i="5"/>
  <c r="I311" i="5" s="1"/>
  <c r="G309" i="5"/>
  <c r="I309" i="5" s="1"/>
  <c r="G308" i="5"/>
  <c r="G307" i="5"/>
  <c r="H304" i="5"/>
  <c r="G301" i="5"/>
  <c r="G300" i="5"/>
  <c r="H297" i="5"/>
  <c r="G294" i="5"/>
  <c r="I294" i="5" s="1"/>
  <c r="G292" i="5"/>
  <c r="G291" i="5"/>
  <c r="G290" i="5"/>
  <c r="G286" i="5"/>
  <c r="H285" i="5"/>
  <c r="G281" i="5"/>
  <c r="I281" i="5" s="1"/>
  <c r="G279" i="5"/>
  <c r="G274" i="5"/>
  <c r="I274" i="5" s="1"/>
  <c r="G272" i="5"/>
  <c r="H271" i="5"/>
  <c r="G267" i="5"/>
  <c r="I267" i="5" s="1"/>
  <c r="G241" i="5"/>
  <c r="H240" i="5"/>
  <c r="H239" i="5"/>
  <c r="H236" i="5"/>
  <c r="G234" i="5"/>
  <c r="I234" i="5" s="1"/>
  <c r="G233" i="5"/>
  <c r="I233" i="5" s="1"/>
  <c r="H226" i="5"/>
  <c r="G226" i="5"/>
  <c r="H224" i="5"/>
  <c r="H223" i="5"/>
  <c r="H222" i="5"/>
  <c r="G217" i="5"/>
  <c r="H213" i="5"/>
  <c r="H212" i="5"/>
  <c r="H183" i="5"/>
  <c r="G183" i="5"/>
  <c r="H176" i="5"/>
  <c r="G176" i="5"/>
  <c r="G171" i="5"/>
  <c r="G149" i="5"/>
  <c r="H142" i="5"/>
  <c r="G142" i="5"/>
  <c r="G135" i="5"/>
  <c r="H112" i="5"/>
  <c r="H82" i="5"/>
  <c r="H75" i="5"/>
  <c r="G71" i="5"/>
  <c r="I71" i="5" s="1"/>
  <c r="G70" i="5"/>
  <c r="I70" i="5" s="1"/>
  <c r="G69" i="5"/>
  <c r="I69" i="5" s="1"/>
  <c r="G67" i="5"/>
  <c r="I67" i="5" s="1"/>
  <c r="G66" i="5"/>
  <c r="I66" i="5" s="1"/>
  <c r="H27" i="5"/>
  <c r="G27" i="5"/>
  <c r="G26" i="5"/>
  <c r="I26" i="5" s="1"/>
  <c r="H25" i="5"/>
  <c r="H24" i="5"/>
  <c r="G24" i="5"/>
  <c r="H19" i="5"/>
  <c r="G3316" i="5"/>
  <c r="I3316" i="5" s="1"/>
  <c r="G3323" i="5"/>
  <c r="I3323" i="5" s="1"/>
  <c r="G3116" i="5"/>
  <c r="I3116" i="5" s="1"/>
  <c r="G3182" i="5"/>
  <c r="I3182" i="5" s="1"/>
  <c r="G2612" i="5"/>
  <c r="I2612" i="5" s="1"/>
  <c r="G1899" i="5"/>
  <c r="I1899" i="5" s="1"/>
  <c r="G1697" i="5"/>
  <c r="I1697" i="5" s="1"/>
  <c r="G1650" i="5"/>
  <c r="I1650" i="5" s="1"/>
  <c r="G1631" i="5"/>
  <c r="I1631" i="5" s="1"/>
  <c r="G3217" i="5"/>
  <c r="I3217" i="5" s="1"/>
  <c r="G3140" i="5"/>
  <c r="I3140" i="5" s="1"/>
  <c r="G4001" i="5"/>
  <c r="I4001" i="5" s="1"/>
  <c r="G2915" i="5"/>
  <c r="I2915" i="5" s="1"/>
  <c r="G1545" i="5"/>
  <c r="I1545" i="5" s="1"/>
  <c r="G3521" i="5"/>
  <c r="I3521" i="5" s="1"/>
  <c r="G2974" i="5"/>
  <c r="G3339" i="5"/>
  <c r="I3339" i="5" s="1"/>
  <c r="G3330" i="5"/>
  <c r="I3330" i="5" s="1"/>
  <c r="G4401" i="5"/>
  <c r="I4401" i="5" s="1"/>
  <c r="G4394" i="5"/>
  <c r="I4394" i="5" s="1"/>
  <c r="G4336" i="5"/>
  <c r="I4336" i="5" s="1"/>
  <c r="G4328" i="5"/>
  <c r="I4328" i="5" s="1"/>
  <c r="G4320" i="5"/>
  <c r="I4320" i="5" s="1"/>
  <c r="G4181" i="5"/>
  <c r="I4181" i="5" s="1"/>
  <c r="G1194" i="5"/>
  <c r="I1194" i="5" s="1"/>
  <c r="G1181" i="5"/>
  <c r="I1181" i="5" s="1"/>
  <c r="G1168" i="5"/>
  <c r="I1168" i="5" s="1"/>
  <c r="G827" i="5"/>
  <c r="I827" i="5" s="1"/>
  <c r="G814" i="5"/>
  <c r="I814" i="5" s="1"/>
  <c r="G801" i="5"/>
  <c r="I801" i="5" s="1"/>
  <c r="G3158" i="5"/>
  <c r="I3158" i="5" s="1"/>
  <c r="G3119" i="5"/>
  <c r="I3119" i="5" s="1"/>
  <c r="G3340" i="5"/>
  <c r="I3340" i="5" s="1"/>
  <c r="G3324" i="5"/>
  <c r="I3324" i="5" s="1"/>
  <c r="G2962" i="5"/>
  <c r="G2678" i="5"/>
  <c r="I2678" i="5" s="1"/>
  <c r="G2666" i="5"/>
  <c r="I2666" i="5" s="1"/>
  <c r="G3664" i="5"/>
  <c r="I3664" i="5" s="1"/>
  <c r="G2629" i="5"/>
  <c r="I2629" i="5" s="1"/>
  <c r="G2927" i="5"/>
  <c r="I2927" i="5" s="1"/>
  <c r="G2920" i="5"/>
  <c r="I2920" i="5" s="1"/>
  <c r="G2687" i="5"/>
  <c r="I2687" i="5" s="1"/>
  <c r="I3855" i="5"/>
  <c r="G459" i="5"/>
  <c r="G3125" i="5"/>
  <c r="I3125" i="5" s="1"/>
  <c r="G3354" i="5"/>
  <c r="I3354" i="5" s="1"/>
  <c r="G2950" i="5"/>
  <c r="I2950" i="5" s="1"/>
  <c r="G2956" i="5"/>
  <c r="G2822" i="5"/>
  <c r="I2822" i="5" s="1"/>
  <c r="G2451" i="5"/>
  <c r="I2451" i="5" s="1"/>
  <c r="G3317" i="5"/>
  <c r="I3317" i="5" s="1"/>
  <c r="G4064" i="5"/>
  <c r="I4064" i="5" s="1"/>
  <c r="G2821" i="5"/>
  <c r="I2821" i="5" s="1"/>
  <c r="G1908" i="5"/>
  <c r="I1908" i="5" s="1"/>
  <c r="G1915" i="5"/>
  <c r="I1915" i="5" s="1"/>
  <c r="G1929" i="5"/>
  <c r="I1929" i="5" s="1"/>
  <c r="G1900" i="5"/>
  <c r="I1900" i="5" s="1"/>
  <c r="G1922" i="5"/>
  <c r="I1922" i="5" s="1"/>
  <c r="G2447" i="5"/>
  <c r="I2447" i="5" s="1"/>
  <c r="G3833" i="5"/>
  <c r="I3833" i="5" s="1"/>
  <c r="G3956" i="5"/>
  <c r="I3956" i="5" s="1"/>
  <c r="G4049" i="5"/>
  <c r="I4049" i="5" s="1"/>
  <c r="D2944" i="5"/>
  <c r="C62" i="6" l="1"/>
  <c r="D62" i="6" s="1"/>
  <c r="E62" i="6" s="1"/>
  <c r="C71" i="6"/>
  <c r="D71" i="6" s="1"/>
  <c r="E71" i="6" s="1"/>
  <c r="C72" i="6"/>
  <c r="D72" i="6" s="1"/>
  <c r="E72" i="6" s="1"/>
  <c r="C60" i="6"/>
  <c r="D60" i="6" s="1"/>
  <c r="E60" i="6" s="1"/>
  <c r="C61" i="6"/>
  <c r="D61" i="6" s="1"/>
  <c r="E61" i="6" s="1"/>
  <c r="I2962" i="5"/>
  <c r="I2956" i="5"/>
  <c r="I2974" i="5"/>
  <c r="I2980" i="5"/>
  <c r="I2968" i="5"/>
  <c r="I2944" i="5"/>
  <c r="I3034" i="5"/>
  <c r="I3465" i="5"/>
  <c r="I3417" i="5"/>
  <c r="I3079" i="5"/>
  <c r="I4897" i="5"/>
  <c r="I3402" i="5"/>
  <c r="I3084" i="5"/>
  <c r="I3281" i="5"/>
  <c r="I3308" i="5"/>
  <c r="I3069" i="5"/>
  <c r="I3089" i="5"/>
  <c r="I3440" i="5"/>
  <c r="I3026" i="5"/>
  <c r="I3290" i="5"/>
  <c r="I3449" i="5"/>
  <c r="I3074" i="5"/>
  <c r="I3094" i="5"/>
  <c r="I3388" i="5"/>
  <c r="G4348" i="5"/>
  <c r="C52" i="6"/>
  <c r="D52" i="6" s="1"/>
  <c r="E52" i="6" s="1"/>
  <c r="C70" i="6"/>
  <c r="D70" i="6" s="1"/>
  <c r="E70" i="6" s="1"/>
  <c r="E5351" i="5"/>
  <c r="E5350" i="5"/>
  <c r="I3968" i="5"/>
  <c r="G5393" i="5"/>
  <c r="I835" i="5"/>
  <c r="G3458" i="5"/>
  <c r="I362" i="5"/>
  <c r="I346" i="5"/>
  <c r="G939" i="5"/>
  <c r="I939" i="5" s="1"/>
  <c r="G1151" i="5"/>
  <c r="I1151" i="5" s="1"/>
  <c r="G1253" i="5"/>
  <c r="I1253" i="5" s="1"/>
  <c r="G3495" i="5"/>
  <c r="I3495" i="5" s="1"/>
  <c r="G3788" i="5"/>
  <c r="I3788" i="5" s="1"/>
  <c r="G3814" i="5"/>
  <c r="I3814" i="5" s="1"/>
  <c r="G3957" i="5"/>
  <c r="I3957" i="5" s="1"/>
  <c r="G3969" i="5"/>
  <c r="I3969" i="5" s="1"/>
  <c r="G4763" i="5"/>
  <c r="I4763" i="5" s="1"/>
  <c r="G3719" i="5"/>
  <c r="I3719" i="5" s="1"/>
  <c r="G3739" i="5"/>
  <c r="I3739" i="5" s="1"/>
  <c r="G3776" i="5"/>
  <c r="I3776" i="5" s="1"/>
  <c r="G4466" i="5"/>
  <c r="I4466" i="5" s="1"/>
  <c r="G189" i="5"/>
  <c r="I189" i="5" s="1"/>
  <c r="G2173" i="5"/>
  <c r="I2173" i="5" s="1"/>
  <c r="G2529" i="5"/>
  <c r="I2529" i="5" s="1"/>
  <c r="G2490" i="5"/>
  <c r="I2490" i="5" s="1"/>
  <c r="G3471" i="5"/>
  <c r="I3471" i="5" s="1"/>
  <c r="G3472" i="5" s="1"/>
  <c r="G2165" i="5"/>
  <c r="I2165" i="5" s="1"/>
  <c r="G2179" i="5"/>
  <c r="I2179" i="5" s="1"/>
  <c r="G2630" i="5"/>
  <c r="I2630" i="5" s="1"/>
  <c r="G2767" i="5"/>
  <c r="I2767" i="5" s="1"/>
  <c r="G1855" i="5"/>
  <c r="I1855" i="5" s="1"/>
  <c r="G4522" i="5"/>
  <c r="I4522" i="5" s="1"/>
  <c r="G2824" i="5"/>
  <c r="I2824" i="5" s="1"/>
  <c r="G2813" i="5"/>
  <c r="I2813" i="5" s="1"/>
  <c r="G2756" i="5"/>
  <c r="I2756" i="5" s="1"/>
  <c r="G1817" i="5"/>
  <c r="G1833" i="5" s="1"/>
  <c r="G4101" i="5"/>
  <c r="I4101" i="5" s="1"/>
  <c r="G3270" i="5"/>
  <c r="I3270" i="5" s="1"/>
  <c r="G3228" i="5"/>
  <c r="I3228" i="5" s="1"/>
  <c r="G3151" i="5"/>
  <c r="I3151" i="5" s="1"/>
  <c r="G3144" i="5"/>
  <c r="I3144" i="5" s="1"/>
  <c r="G3244" i="5"/>
  <c r="I3244" i="5" s="1"/>
  <c r="G3175" i="5"/>
  <c r="I3175" i="5" s="1"/>
  <c r="G3342" i="5"/>
  <c r="I3342" i="5" s="1"/>
  <c r="G3335" i="5"/>
  <c r="I3335" i="5" s="1"/>
  <c r="G3326" i="5"/>
  <c r="I3326" i="5" s="1"/>
  <c r="G3319" i="5"/>
  <c r="I3319" i="5" s="1"/>
  <c r="G3220" i="5"/>
  <c r="I3220" i="5" s="1"/>
  <c r="G3212" i="5"/>
  <c r="I3212" i="5" s="1"/>
  <c r="G3196" i="5"/>
  <c r="I3196" i="5" s="1"/>
  <c r="G3162" i="5"/>
  <c r="I3162" i="5" s="1"/>
  <c r="G3135" i="5"/>
  <c r="I3135" i="5" s="1"/>
  <c r="G3203" i="5"/>
  <c r="I3203" i="5" s="1"/>
  <c r="G4212" i="5"/>
  <c r="I4212" i="5" s="1"/>
  <c r="G4194" i="5"/>
  <c r="I4194" i="5" s="1"/>
  <c r="G414" i="5"/>
  <c r="I414" i="5" s="1"/>
  <c r="G306" i="5"/>
  <c r="I306" i="5" s="1"/>
  <c r="G322" i="5"/>
  <c r="I322" i="5" s="1"/>
  <c r="G1980" i="5"/>
  <c r="I1980" i="5" s="1"/>
  <c r="G4220" i="5"/>
  <c r="I4220" i="5" s="1"/>
  <c r="G5028" i="5"/>
  <c r="I5028" i="5" s="1"/>
  <c r="G2351" i="5"/>
  <c r="I2351" i="5" s="1"/>
  <c r="G4954" i="5"/>
  <c r="I4954" i="5" s="1"/>
  <c r="G4988" i="5"/>
  <c r="I4988" i="5" s="1"/>
  <c r="G4989" i="5"/>
  <c r="I4989" i="5" s="1"/>
  <c r="I763" i="5"/>
  <c r="I3478" i="5"/>
  <c r="G3479" i="5" s="1"/>
  <c r="G4360" i="5"/>
  <c r="I4494" i="5"/>
  <c r="G2808" i="5"/>
  <c r="I2808" i="5" s="1"/>
  <c r="I4620" i="5"/>
  <c r="I1052" i="5"/>
  <c r="I1437" i="5"/>
  <c r="I272" i="5"/>
  <c r="I822" i="5"/>
  <c r="I974" i="5"/>
  <c r="I4508" i="5"/>
  <c r="I2775" i="5"/>
  <c r="I3237" i="5"/>
  <c r="I4534" i="5"/>
  <c r="I798" i="5"/>
  <c r="I921" i="5"/>
  <c r="I279" i="5"/>
  <c r="I1233" i="5"/>
  <c r="I1298" i="5"/>
  <c r="I418" i="5"/>
  <c r="G417" i="5" s="1"/>
  <c r="I1268" i="5"/>
  <c r="I1304" i="5"/>
  <c r="I1320" i="5"/>
  <c r="I1425" i="5"/>
  <c r="I2838" i="5"/>
  <c r="I2840" i="5"/>
  <c r="I1447" i="5"/>
  <c r="I4459" i="5"/>
  <c r="I1861" i="5"/>
  <c r="I1752" i="5"/>
  <c r="I747" i="5"/>
  <c r="I1675" i="5"/>
  <c r="I461" i="5"/>
  <c r="I630" i="5"/>
  <c r="I670" i="5"/>
  <c r="I940" i="5"/>
  <c r="I1850" i="5"/>
  <c r="I2536" i="5"/>
  <c r="I1204" i="5"/>
  <c r="I1987" i="5"/>
  <c r="I772" i="5"/>
  <c r="I4390" i="5"/>
  <c r="I4471" i="5"/>
  <c r="I978" i="5"/>
  <c r="I811" i="5"/>
  <c r="I933" i="5"/>
  <c r="I1314" i="5"/>
  <c r="I1120" i="5"/>
  <c r="I333" i="5"/>
  <c r="I716" i="5"/>
  <c r="I4450" i="5"/>
  <c r="I323" i="5"/>
  <c r="I450" i="5"/>
  <c r="I1319" i="5"/>
  <c r="I1503" i="5"/>
  <c r="I3168" i="5"/>
  <c r="I3187" i="5"/>
  <c r="I965" i="5"/>
  <c r="I4108" i="5"/>
  <c r="I241" i="5"/>
  <c r="I286" i="5"/>
  <c r="I416" i="5"/>
  <c r="I810" i="5"/>
  <c r="I826" i="5"/>
  <c r="I1167" i="5"/>
  <c r="I1674" i="5"/>
  <c r="I1716" i="5"/>
  <c r="I2477" i="5"/>
  <c r="I2918" i="5"/>
  <c r="I1274" i="5"/>
  <c r="I4500" i="5"/>
  <c r="I337" i="5"/>
  <c r="G336" i="5" s="1"/>
  <c r="I1119" i="5"/>
  <c r="I1705" i="5"/>
  <c r="I213" i="5"/>
  <c r="I425" i="5"/>
  <c r="I458" i="5"/>
  <c r="I800" i="5"/>
  <c r="I841" i="5"/>
  <c r="I886" i="5"/>
  <c r="I927" i="5"/>
  <c r="I989" i="5"/>
  <c r="I1020" i="5"/>
  <c r="I1189" i="5"/>
  <c r="I2817" i="5"/>
  <c r="I2879" i="5"/>
  <c r="I4214" i="5"/>
  <c r="I4228" i="5"/>
  <c r="I4274" i="5"/>
  <c r="I4375" i="5"/>
  <c r="I4377" i="5"/>
  <c r="I4518" i="5"/>
  <c r="I4216" i="5"/>
  <c r="I4547" i="5"/>
  <c r="G4354" i="5"/>
  <c r="I882" i="5"/>
  <c r="I900" i="5"/>
  <c r="I2905" i="5"/>
  <c r="I4218" i="5"/>
  <c r="I4243" i="5"/>
  <c r="I809" i="5"/>
  <c r="I824" i="5"/>
  <c r="I27" i="5"/>
  <c r="I1140" i="5"/>
  <c r="I1768" i="5"/>
  <c r="I837" i="5"/>
  <c r="I1124" i="5"/>
  <c r="I456" i="5"/>
  <c r="I4553" i="5"/>
  <c r="I823" i="5"/>
  <c r="I1159" i="5"/>
  <c r="I149" i="5"/>
  <c r="I308" i="5"/>
  <c r="I484" i="5"/>
  <c r="I724" i="5"/>
  <c r="I1099" i="5"/>
  <c r="I1067" i="5"/>
  <c r="I415" i="5"/>
  <c r="I1015" i="5"/>
  <c r="I1068" i="5"/>
  <c r="I1191" i="5"/>
  <c r="I1213" i="5"/>
  <c r="I1286" i="5"/>
  <c r="I1301" i="5"/>
  <c r="I1418" i="5"/>
  <c r="I1751" i="5"/>
  <c r="I2152" i="5"/>
  <c r="I2244" i="5"/>
  <c r="I2763" i="5"/>
  <c r="I4395" i="5"/>
  <c r="I317" i="5"/>
  <c r="I896" i="5"/>
  <c r="I1003" i="5"/>
  <c r="I4501" i="5"/>
  <c r="I1828" i="5"/>
  <c r="C63" i="6"/>
  <c r="D63" i="6" s="1"/>
  <c r="E63" i="6" s="1"/>
  <c r="I4811" i="5"/>
  <c r="I791" i="5"/>
  <c r="I300" i="5"/>
  <c r="I325" i="5"/>
  <c r="I454" i="5"/>
  <c r="I463" i="5"/>
  <c r="I706" i="5"/>
  <c r="I759" i="5"/>
  <c r="I785" i="5"/>
  <c r="I875" i="5"/>
  <c r="I910" i="5"/>
  <c r="I1110" i="5"/>
  <c r="I1165" i="5"/>
  <c r="I1176" i="5"/>
  <c r="I1190" i="5"/>
  <c r="I1193" i="5"/>
  <c r="I1203" i="5"/>
  <c r="I1221" i="5"/>
  <c r="I1258" i="5"/>
  <c r="I1262" i="5"/>
  <c r="I1280" i="5"/>
  <c r="I1303" i="5"/>
  <c r="I1333" i="5"/>
  <c r="I1344" i="5"/>
  <c r="I1381" i="5"/>
  <c r="I1383" i="5"/>
  <c r="I1391" i="5"/>
  <c r="I4123" i="5"/>
  <c r="I4434" i="5"/>
  <c r="I4509" i="5"/>
  <c r="I1157" i="5"/>
  <c r="I4206" i="5"/>
  <c r="I2170" i="5"/>
  <c r="C55" i="6"/>
  <c r="D55" i="6" s="1"/>
  <c r="E55" i="6" s="1"/>
  <c r="I4838" i="5"/>
  <c r="I872" i="5"/>
  <c r="I1844" i="5"/>
  <c r="I4891" i="5"/>
  <c r="G4892" i="5" s="1"/>
  <c r="I183" i="5"/>
  <c r="I292" i="5"/>
  <c r="I315" i="5"/>
  <c r="I324" i="5"/>
  <c r="I339" i="5"/>
  <c r="G338" i="5" s="1"/>
  <c r="I395" i="5"/>
  <c r="I420" i="5"/>
  <c r="I619" i="5"/>
  <c r="I663" i="5"/>
  <c r="I681" i="5"/>
  <c r="I690" i="5"/>
  <c r="I751" i="5"/>
  <c r="I996" i="5"/>
  <c r="I1009" i="5"/>
  <c r="I1041" i="5"/>
  <c r="I1095" i="5"/>
  <c r="I1256" i="5"/>
  <c r="I1292" i="5"/>
  <c r="I1330" i="5"/>
  <c r="I1373" i="5"/>
  <c r="I1682" i="5"/>
  <c r="I1724" i="5"/>
  <c r="I1739" i="5"/>
  <c r="I1777" i="5"/>
  <c r="I2474" i="5"/>
  <c r="I2569" i="5"/>
  <c r="I2577" i="5"/>
  <c r="I4122" i="5"/>
  <c r="I4124" i="5"/>
  <c r="I4213" i="5"/>
  <c r="I4376" i="5"/>
  <c r="I4506" i="5"/>
  <c r="I4624" i="5"/>
  <c r="I4777" i="5"/>
  <c r="I864" i="5"/>
  <c r="G4316" i="5"/>
  <c r="I451" i="5"/>
  <c r="I956" i="5"/>
  <c r="I394" i="5"/>
  <c r="G4324" i="5"/>
  <c r="I171" i="5"/>
  <c r="I217" i="5"/>
  <c r="I291" i="5"/>
  <c r="I453" i="5"/>
  <c r="I464" i="5"/>
  <c r="I506" i="5"/>
  <c r="I620" i="5"/>
  <c r="I631" i="5"/>
  <c r="I642" i="5"/>
  <c r="I813" i="5"/>
  <c r="I836" i="5"/>
  <c r="I1441" i="5"/>
  <c r="I1738" i="5"/>
  <c r="I1999" i="5"/>
  <c r="I2011" i="5"/>
  <c r="I2095" i="5"/>
  <c r="I2153" i="5"/>
  <c r="I2243" i="5"/>
  <c r="I2581" i="5"/>
  <c r="I2633" i="5"/>
  <c r="I2778" i="5"/>
  <c r="I2823" i="5"/>
  <c r="I2828" i="5"/>
  <c r="I2839" i="5"/>
  <c r="I2845" i="5"/>
  <c r="I2878" i="5"/>
  <c r="I2942" i="5"/>
  <c r="I4182" i="5"/>
  <c r="I4731" i="5"/>
  <c r="I4788" i="5"/>
  <c r="I4825" i="5"/>
  <c r="G4405" i="5"/>
  <c r="G4332" i="5"/>
  <c r="I775" i="5"/>
  <c r="I1030" i="5"/>
  <c r="C67" i="6"/>
  <c r="D67" i="6" s="1"/>
  <c r="E67" i="6" s="1"/>
  <c r="E29" i="4" s="1"/>
  <c r="G5285" i="5" s="1"/>
  <c r="I5285" i="5" s="1"/>
  <c r="C68" i="6"/>
  <c r="D68" i="6" s="1"/>
  <c r="E68" i="6" s="1"/>
  <c r="G730" i="5" s="1"/>
  <c r="I730" i="5" s="1"/>
  <c r="I1178" i="5"/>
  <c r="I4566" i="5"/>
  <c r="I738" i="5"/>
  <c r="I789" i="5"/>
  <c r="C69" i="6"/>
  <c r="D69" i="6" s="1"/>
  <c r="E69" i="6" s="1"/>
  <c r="E15" i="4" s="1"/>
  <c r="I24" i="5"/>
  <c r="I135" i="5"/>
  <c r="I142" i="5"/>
  <c r="I176" i="5"/>
  <c r="I290" i="5"/>
  <c r="I307" i="5"/>
  <c r="I316" i="5"/>
  <c r="I335" i="5"/>
  <c r="G334" i="5" s="1"/>
  <c r="G4387" i="5" s="1"/>
  <c r="I600" i="5"/>
  <c r="I1180" i="5"/>
  <c r="I1202" i="5"/>
  <c r="I1481" i="5"/>
  <c r="I1492" i="5"/>
  <c r="I1693" i="5"/>
  <c r="I2099" i="5"/>
  <c r="I4773" i="5"/>
  <c r="I4841" i="5"/>
  <c r="I4840" i="5"/>
  <c r="I1950" i="5"/>
  <c r="I4543" i="5"/>
  <c r="I4722" i="5"/>
  <c r="I4493" i="5"/>
  <c r="I4858" i="5"/>
  <c r="P28" i="6"/>
  <c r="O31" i="6" s="1"/>
  <c r="O33" i="6" s="1"/>
  <c r="C49" i="6"/>
  <c r="D49" i="6" s="1"/>
  <c r="E49" i="6" s="1"/>
  <c r="E11" i="4" s="1"/>
  <c r="C32" i="6"/>
  <c r="D32" i="6" s="1"/>
  <c r="E32" i="6" s="1"/>
  <c r="E5" i="4" s="1"/>
  <c r="C51" i="6"/>
  <c r="D51" i="6" s="1"/>
  <c r="E51" i="6" s="1"/>
  <c r="E22" i="4" s="1"/>
  <c r="C30" i="6"/>
  <c r="D30" i="6" s="1"/>
  <c r="E30" i="6" s="1"/>
  <c r="G732" i="5" s="1"/>
  <c r="I732" i="5" s="1"/>
  <c r="G733" i="5" s="1"/>
  <c r="C56" i="6"/>
  <c r="D56" i="6" s="1"/>
  <c r="E56" i="6" s="1"/>
  <c r="C57" i="6"/>
  <c r="D57" i="6" s="1"/>
  <c r="E57" i="6" s="1"/>
  <c r="C58" i="6"/>
  <c r="D58" i="6" s="1"/>
  <c r="E58" i="6" s="1"/>
  <c r="C50" i="6"/>
  <c r="D50" i="6" s="1"/>
  <c r="E50" i="6" s="1"/>
  <c r="C54" i="6"/>
  <c r="D54" i="6" s="1"/>
  <c r="E54" i="6" s="1"/>
  <c r="C59" i="6"/>
  <c r="D59" i="6" s="1"/>
  <c r="E59" i="6" s="1"/>
  <c r="C53" i="6"/>
  <c r="D53" i="6" s="1"/>
  <c r="E53" i="6" s="1"/>
  <c r="I699" i="5"/>
  <c r="I1363" i="5"/>
  <c r="I1365" i="5"/>
  <c r="C65" i="6"/>
  <c r="D65" i="6" s="1"/>
  <c r="E65" i="6" s="1"/>
  <c r="I226" i="5"/>
  <c r="I422" i="5"/>
  <c r="I459" i="5"/>
  <c r="I489" i="5"/>
  <c r="I1087" i="5"/>
  <c r="I1317" i="5"/>
  <c r="I1955" i="5"/>
  <c r="B33" i="6"/>
  <c r="I4791" i="5"/>
  <c r="I4819" i="5"/>
  <c r="I4852" i="5"/>
  <c r="I4771" i="5"/>
  <c r="I950" i="5"/>
  <c r="I1177" i="5"/>
  <c r="I1345" i="5"/>
  <c r="G4340" i="5"/>
  <c r="I301" i="5"/>
  <c r="I1245" i="5"/>
  <c r="C48" i="6"/>
  <c r="D48" i="6" s="1"/>
  <c r="E48" i="6" s="1"/>
  <c r="C66" i="6"/>
  <c r="D66" i="6" s="1"/>
  <c r="E66" i="6" s="1"/>
  <c r="G731" i="5" s="1"/>
  <c r="I731" i="5" s="1"/>
  <c r="C64" i="6"/>
  <c r="D64" i="6" s="1"/>
  <c r="E64" i="6" s="1"/>
  <c r="G729" i="5" s="1"/>
  <c r="I729" i="5" s="1"/>
  <c r="B31" i="6"/>
  <c r="G725" i="5" l="1"/>
  <c r="G5536" i="5"/>
  <c r="I5536" i="5" s="1"/>
  <c r="G5535" i="5" s="1"/>
  <c r="G4672" i="5"/>
  <c r="I4672" i="5" s="1"/>
  <c r="G235" i="5"/>
  <c r="G246" i="5"/>
  <c r="I246" i="5" s="1"/>
  <c r="I3458" i="5"/>
  <c r="I4340" i="5"/>
  <c r="I3479" i="5"/>
  <c r="I5393" i="5"/>
  <c r="I4316" i="5"/>
  <c r="I4348" i="5"/>
  <c r="I4360" i="5"/>
  <c r="I4332" i="5"/>
  <c r="I4354" i="5"/>
  <c r="I3472" i="5"/>
  <c r="I4405" i="5"/>
  <c r="I4324" i="5"/>
  <c r="I4892" i="5"/>
  <c r="G2834" i="5"/>
  <c r="I1833" i="5"/>
  <c r="E28" i="4"/>
  <c r="G491" i="5" s="1"/>
  <c r="I491" i="5" s="1"/>
  <c r="G490" i="5" s="1"/>
  <c r="E7" i="4"/>
  <c r="G2843" i="5" s="1"/>
  <c r="I2843" i="5" s="1"/>
  <c r="G412" i="5"/>
  <c r="G228" i="5"/>
  <c r="E6" i="4"/>
  <c r="G4874" i="5" s="1"/>
  <c r="I4874" i="5" s="1"/>
  <c r="E47" i="6"/>
  <c r="E13" i="4" s="1"/>
  <c r="G5394" i="5"/>
  <c r="I5394" i="5" s="1"/>
  <c r="G5395" i="5" s="1"/>
  <c r="G5321" i="5"/>
  <c r="I5321" i="5" s="1"/>
  <c r="G5335" i="5"/>
  <c r="I5335" i="5" s="1"/>
  <c r="G5344" i="5"/>
  <c r="I5344" i="5" s="1"/>
  <c r="G5312" i="5"/>
  <c r="I5312" i="5" s="1"/>
  <c r="E46" i="6"/>
  <c r="E26" i="4" s="1"/>
  <c r="G5366" i="5"/>
  <c r="G578" i="5"/>
  <c r="G5385" i="5"/>
  <c r="I5385" i="5" s="1"/>
  <c r="G5381" i="5"/>
  <c r="G5090" i="5"/>
  <c r="I5090" i="5" s="1"/>
  <c r="G5084" i="5"/>
  <c r="I5084" i="5" s="1"/>
  <c r="G5080" i="5"/>
  <c r="I5080" i="5" s="1"/>
  <c r="G1471" i="5"/>
  <c r="G4559" i="5"/>
  <c r="G1456" i="5"/>
  <c r="G1462" i="5"/>
  <c r="G1062" i="5"/>
  <c r="G1431" i="5"/>
  <c r="G567" i="5"/>
  <c r="G549" i="5"/>
  <c r="G558" i="5"/>
  <c r="G4942" i="5"/>
  <c r="G540" i="5"/>
  <c r="G2835" i="5"/>
  <c r="I1817" i="5"/>
  <c r="G4371" i="5"/>
  <c r="G2875" i="5"/>
  <c r="G507" i="5"/>
  <c r="I507" i="5" s="1"/>
  <c r="G391" i="5"/>
  <c r="G4128" i="5"/>
  <c r="G3910" i="5"/>
  <c r="I3910" i="5" s="1"/>
  <c r="G3921" i="5"/>
  <c r="I3921" i="5" s="1"/>
  <c r="G5011" i="5"/>
  <c r="I5011" i="5" s="1"/>
  <c r="G4996" i="5"/>
  <c r="I4996" i="5" s="1"/>
  <c r="G4818" i="5"/>
  <c r="I4818" i="5" s="1"/>
  <c r="G4492" i="5"/>
  <c r="I4492" i="5" s="1"/>
  <c r="G4628" i="5"/>
  <c r="I4628" i="5" s="1"/>
  <c r="G4458" i="5"/>
  <c r="I4458" i="5" s="1"/>
  <c r="G1446" i="5"/>
  <c r="I1446" i="5" s="1"/>
  <c r="G1355" i="5"/>
  <c r="I1355" i="5" s="1"/>
  <c r="G1329" i="5"/>
  <c r="I1329" i="5" s="1"/>
  <c r="G1201" i="5"/>
  <c r="I1201" i="5" s="1"/>
  <c r="G1188" i="5"/>
  <c r="I1188" i="5" s="1"/>
  <c r="G1164" i="5"/>
  <c r="I1164" i="5" s="1"/>
  <c r="G1001" i="5"/>
  <c r="I1001" i="5" s="1"/>
  <c r="G964" i="5"/>
  <c r="I964" i="5" s="1"/>
  <c r="G895" i="5"/>
  <c r="I895" i="5" s="1"/>
  <c r="G863" i="5"/>
  <c r="I863" i="5" s="1"/>
  <c r="G808" i="5"/>
  <c r="I808" i="5" s="1"/>
  <c r="G651" i="5"/>
  <c r="I651" i="5" s="1"/>
  <c r="G4507" i="5"/>
  <c r="I4507" i="5" s="1"/>
  <c r="G4552" i="5"/>
  <c r="I4552" i="5" s="1"/>
  <c r="G871" i="5"/>
  <c r="I871" i="5" s="1"/>
  <c r="G4787" i="5"/>
  <c r="I4787" i="5" s="1"/>
  <c r="G4470" i="5"/>
  <c r="I4470" i="5" s="1"/>
  <c r="G1361" i="5"/>
  <c r="I1361" i="5" s="1"/>
  <c r="G1313" i="5"/>
  <c r="I1313" i="5" s="1"/>
  <c r="G1155" i="5"/>
  <c r="I1155" i="5" s="1"/>
  <c r="G987" i="5"/>
  <c r="I987" i="5" s="1"/>
  <c r="G834" i="5"/>
  <c r="I834" i="5" s="1"/>
  <c r="G797" i="5"/>
  <c r="I797" i="5" s="1"/>
  <c r="G784" i="5"/>
  <c r="I784" i="5" s="1"/>
  <c r="G758" i="5"/>
  <c r="I758" i="5" s="1"/>
  <c r="G746" i="5"/>
  <c r="I746" i="5" s="1"/>
  <c r="G723" i="5"/>
  <c r="I723" i="5" s="1"/>
  <c r="G4839" i="5"/>
  <c r="I4839" i="5" s="1"/>
  <c r="G4801" i="5"/>
  <c r="I4801" i="5" s="1"/>
  <c r="G4205" i="5"/>
  <c r="I4205" i="5" s="1"/>
  <c r="G4772" i="5"/>
  <c r="I4772" i="5" s="1"/>
  <c r="G4499" i="5"/>
  <c r="I4499" i="5" s="1"/>
  <c r="G973" i="5"/>
  <c r="I973" i="5" s="1"/>
  <c r="G821" i="5"/>
  <c r="I821" i="5" s="1"/>
  <c r="G4916" i="5"/>
  <c r="I4916" i="5" s="1"/>
  <c r="G955" i="5"/>
  <c r="I955" i="5" s="1"/>
  <c r="G909" i="5"/>
  <c r="I909" i="5" s="1"/>
  <c r="G1175" i="5"/>
  <c r="I1175" i="5" s="1"/>
  <c r="G771" i="5"/>
  <c r="I771" i="5" s="1"/>
  <c r="G4596" i="5"/>
  <c r="G257" i="5"/>
  <c r="I257" i="5" s="1"/>
  <c r="G265" i="5"/>
  <c r="I265" i="5" s="1"/>
  <c r="G4904" i="5"/>
  <c r="I4904" i="5" s="1"/>
  <c r="G271" i="5"/>
  <c r="I271" i="5" s="1"/>
  <c r="G4619" i="5"/>
  <c r="I4619" i="5" s="1"/>
  <c r="G4564" i="5"/>
  <c r="I4564" i="5" s="1"/>
  <c r="G1741" i="5"/>
  <c r="I1741" i="5" s="1"/>
  <c r="G1131" i="5"/>
  <c r="I1131" i="5" s="1"/>
  <c r="G1846" i="5"/>
  <c r="I1846" i="5" s="1"/>
  <c r="G1767" i="5"/>
  <c r="I1767" i="5" s="1"/>
  <c r="G1276" i="5"/>
  <c r="I1276" i="5" s="1"/>
  <c r="G1220" i="5"/>
  <c r="I1220" i="5" s="1"/>
  <c r="G1070" i="5"/>
  <c r="I1070" i="5" s="1"/>
  <c r="G1037" i="5"/>
  <c r="I1037" i="5" s="1"/>
  <c r="G1017" i="5"/>
  <c r="I1017" i="5" s="1"/>
  <c r="G1005" i="5"/>
  <c r="I1005" i="5" s="1"/>
  <c r="G912" i="5"/>
  <c r="I912" i="5" s="1"/>
  <c r="G774" i="5"/>
  <c r="I774" i="5" s="1"/>
  <c r="G686" i="5"/>
  <c r="I686" i="5" s="1"/>
  <c r="G603" i="5"/>
  <c r="I603" i="5" s="1"/>
  <c r="G68" i="5"/>
  <c r="I68" i="5" s="1"/>
  <c r="G4720" i="5"/>
  <c r="I4720" i="5" s="1"/>
  <c r="G1118" i="5"/>
  <c r="I1118" i="5" s="1"/>
  <c r="G4884" i="5"/>
  <c r="I4884" i="5" s="1"/>
  <c r="G1756" i="5"/>
  <c r="I1756" i="5" s="1"/>
  <c r="G1212" i="5"/>
  <c r="I1212" i="5" s="1"/>
  <c r="G4381" i="5"/>
  <c r="I4381" i="5" s="1"/>
  <c r="G1998" i="5"/>
  <c r="I1998" i="5" s="1"/>
  <c r="G1417" i="5"/>
  <c r="I1417" i="5" s="1"/>
  <c r="G1335" i="5"/>
  <c r="I1335" i="5" s="1"/>
  <c r="G1092" i="5"/>
  <c r="I1092" i="5" s="1"/>
  <c r="G1048" i="5"/>
  <c r="I1048" i="5" s="1"/>
  <c r="G991" i="5"/>
  <c r="I991" i="5" s="1"/>
  <c r="G898" i="5"/>
  <c r="I898" i="5" s="1"/>
  <c r="G839" i="5"/>
  <c r="I839" i="5" s="1"/>
  <c r="G668" i="5"/>
  <c r="I668" i="5" s="1"/>
  <c r="G661" i="5"/>
  <c r="I661" i="5" s="1"/>
  <c r="G641" i="5"/>
  <c r="I641" i="5" s="1"/>
  <c r="G4575" i="5"/>
  <c r="I4575" i="5" s="1"/>
  <c r="G4448" i="5"/>
  <c r="I4448" i="5" s="1"/>
  <c r="G4809" i="5"/>
  <c r="I4809" i="5" s="1"/>
  <c r="G4584" i="5"/>
  <c r="G4043" i="5"/>
  <c r="I4043" i="5" s="1"/>
  <c r="G1501" i="5"/>
  <c r="I1501" i="5" s="1"/>
  <c r="G1390" i="5"/>
  <c r="I1390" i="5" s="1"/>
  <c r="G1254" i="5"/>
  <c r="I1254" i="5" s="1"/>
  <c r="G1229" i="5"/>
  <c r="I1229" i="5" s="1"/>
  <c r="G1142" i="5"/>
  <c r="I1142" i="5" s="1"/>
  <c r="G749" i="5"/>
  <c r="I749" i="5" s="1"/>
  <c r="G704" i="5"/>
  <c r="I704" i="5" s="1"/>
  <c r="G385" i="5"/>
  <c r="I385" i="5" s="1"/>
  <c r="G1780" i="5"/>
  <c r="I1780" i="5" s="1"/>
  <c r="G1342" i="5"/>
  <c r="I1342" i="5" s="1"/>
  <c r="G1244" i="5"/>
  <c r="I1244" i="5" s="1"/>
  <c r="G849" i="5"/>
  <c r="I849" i="5" s="1"/>
  <c r="G787" i="5"/>
  <c r="I787" i="5" s="1"/>
  <c r="G715" i="5"/>
  <c r="I715" i="5" s="1"/>
  <c r="G1479" i="5"/>
  <c r="I1479" i="5" s="1"/>
  <c r="G1109" i="5"/>
  <c r="I1109" i="5" s="1"/>
  <c r="G884" i="5"/>
  <c r="I884" i="5" s="1"/>
  <c r="G874" i="5"/>
  <c r="I874" i="5" s="1"/>
  <c r="G439" i="5"/>
  <c r="I439" i="5" s="1"/>
  <c r="G347" i="5"/>
  <c r="G1264" i="5"/>
  <c r="I1264" i="5" s="1"/>
  <c r="G976" i="5"/>
  <c r="I976" i="5" s="1"/>
  <c r="G1490" i="5"/>
  <c r="I1490" i="5" s="1"/>
  <c r="G634" i="5"/>
  <c r="I634" i="5" s="1"/>
  <c r="G623" i="5"/>
  <c r="I623" i="5" s="1"/>
  <c r="G1316" i="5"/>
  <c r="I1316" i="5" s="1"/>
  <c r="G1300" i="5"/>
  <c r="I1300" i="5" s="1"/>
  <c r="G1288" i="5"/>
  <c r="I1288" i="5" s="1"/>
  <c r="G1101" i="5"/>
  <c r="I1101" i="5" s="1"/>
  <c r="G1084" i="5"/>
  <c r="I1084" i="5" s="1"/>
  <c r="G1027" i="5"/>
  <c r="I1027" i="5" s="1"/>
  <c r="G761" i="5"/>
  <c r="I761" i="5" s="1"/>
  <c r="G736" i="5"/>
  <c r="I736" i="5" s="1"/>
  <c r="G1376" i="5"/>
  <c r="I1376" i="5" s="1"/>
  <c r="G945" i="5"/>
  <c r="I945" i="5" s="1"/>
  <c r="G935" i="5"/>
  <c r="I935" i="5" s="1"/>
  <c r="G923" i="5"/>
  <c r="I923" i="5" s="1"/>
  <c r="G695" i="5"/>
  <c r="I695" i="5" s="1"/>
  <c r="G677" i="5"/>
  <c r="I677" i="5" s="1"/>
  <c r="G473" i="5"/>
  <c r="I473" i="5" s="1"/>
  <c r="G783" i="5"/>
  <c r="I783" i="5" s="1"/>
  <c r="G497" i="5"/>
  <c r="I497" i="5" s="1"/>
  <c r="G480" i="5"/>
  <c r="I480" i="5" s="1"/>
  <c r="G796" i="5"/>
  <c r="I796" i="5" s="1"/>
  <c r="G2164" i="5"/>
  <c r="I2164" i="5" s="1"/>
  <c r="I1834" i="5"/>
  <c r="G4999" i="5"/>
  <c r="I4999" i="5" s="1"/>
  <c r="G4984" i="5"/>
  <c r="I4984" i="5" s="1"/>
  <c r="G4449" i="5"/>
  <c r="I4449" i="5" s="1"/>
  <c r="G4382" i="5"/>
  <c r="I4382" i="5" s="1"/>
  <c r="G1502" i="5"/>
  <c r="I1502" i="5" s="1"/>
  <c r="G1491" i="5"/>
  <c r="I1491" i="5" s="1"/>
  <c r="G1102" i="5"/>
  <c r="I1102" i="5" s="1"/>
  <c r="G885" i="5"/>
  <c r="I885" i="5" s="1"/>
  <c r="G850" i="5"/>
  <c r="I850" i="5" s="1"/>
  <c r="G348" i="5"/>
  <c r="G4887" i="5"/>
  <c r="I4887" i="5" s="1"/>
  <c r="G4776" i="5"/>
  <c r="I4776" i="5" s="1"/>
  <c r="G4585" i="5"/>
  <c r="I4585" i="5" s="1"/>
  <c r="G1480" i="5"/>
  <c r="I1480" i="5" s="1"/>
  <c r="G1343" i="5"/>
  <c r="I1343" i="5" s="1"/>
  <c r="G977" i="5"/>
  <c r="I977" i="5" s="1"/>
  <c r="G788" i="5"/>
  <c r="I788" i="5" s="1"/>
  <c r="G762" i="5"/>
  <c r="I762" i="5" s="1"/>
  <c r="G750" i="5"/>
  <c r="I750" i="5" s="1"/>
  <c r="G737" i="5"/>
  <c r="I737" i="5" s="1"/>
  <c r="G705" i="5"/>
  <c r="I705" i="5" s="1"/>
  <c r="G386" i="5"/>
  <c r="I386" i="5" s="1"/>
  <c r="G4790" i="5"/>
  <c r="I4790" i="5" s="1"/>
  <c r="G4542" i="5"/>
  <c r="I4542" i="5" s="1"/>
  <c r="G4044" i="5"/>
  <c r="I4044" i="5" s="1"/>
  <c r="G2567" i="5"/>
  <c r="I2567" i="5" s="1"/>
  <c r="G992" i="5"/>
  <c r="I992" i="5" s="1"/>
  <c r="G1436" i="5"/>
  <c r="I1436" i="5" s="1"/>
  <c r="G4810" i="5"/>
  <c r="I4810" i="5" s="1"/>
  <c r="G2586" i="5"/>
  <c r="I2586" i="5" s="1"/>
  <c r="G2557" i="5"/>
  <c r="I2557" i="5" s="1"/>
  <c r="G899" i="5"/>
  <c r="I899" i="5" s="1"/>
  <c r="G25" i="5"/>
  <c r="I25" i="5" s="1"/>
  <c r="G4907" i="5"/>
  <c r="I4907" i="5" s="1"/>
  <c r="G1302" i="5"/>
  <c r="I1302" i="5" s="1"/>
  <c r="G2255" i="5"/>
  <c r="I2255" i="5" s="1"/>
  <c r="G1318" i="5"/>
  <c r="I1318" i="5" s="1"/>
  <c r="G1408" i="5"/>
  <c r="I1408" i="5" s="1"/>
  <c r="G440" i="5"/>
  <c r="I440" i="5" s="1"/>
  <c r="G4565" i="5"/>
  <c r="I4565" i="5" s="1"/>
  <c r="G1132" i="5"/>
  <c r="I1132" i="5" s="1"/>
  <c r="G4941" i="5"/>
  <c r="I4941" i="5" s="1"/>
  <c r="G4555" i="5"/>
  <c r="I4555" i="5" s="1"/>
  <c r="G545" i="5"/>
  <c r="I545" i="5" s="1"/>
  <c r="G1968" i="5"/>
  <c r="I1968" i="5" s="1"/>
  <c r="G1664" i="5"/>
  <c r="I1664" i="5" s="1"/>
  <c r="G1646" i="5"/>
  <c r="I1646" i="5" s="1"/>
  <c r="G1610" i="5"/>
  <c r="I1610" i="5" s="1"/>
  <c r="I575" i="5"/>
  <c r="G1469" i="5"/>
  <c r="I1469" i="5" s="1"/>
  <c r="G2134" i="5"/>
  <c r="I2134" i="5" s="1"/>
  <c r="G2058" i="5"/>
  <c r="I2058" i="5" s="1"/>
  <c r="G1691" i="5"/>
  <c r="I1691" i="5" s="1"/>
  <c r="G1656" i="5"/>
  <c r="I1656" i="5" s="1"/>
  <c r="G1453" i="5"/>
  <c r="I1453" i="5" s="1"/>
  <c r="G536" i="5"/>
  <c r="I536" i="5" s="1"/>
  <c r="G1058" i="5"/>
  <c r="I1058" i="5" s="1"/>
  <c r="G563" i="5"/>
  <c r="I563" i="5" s="1"/>
  <c r="G1680" i="5"/>
  <c r="I1680" i="5" s="1"/>
  <c r="G1870" i="5"/>
  <c r="I1870" i="5" s="1"/>
  <c r="G1703" i="5"/>
  <c r="I1703" i="5" s="1"/>
  <c r="G232" i="5"/>
  <c r="I232" i="5" s="1"/>
  <c r="G1427" i="5"/>
  <c r="I1427" i="5" s="1"/>
  <c r="G554" i="5"/>
  <c r="I554" i="5" s="1"/>
  <c r="G1914" i="5"/>
  <c r="I1914" i="5" s="1"/>
  <c r="G1959" i="5"/>
  <c r="I1959" i="5" s="1"/>
  <c r="G1907" i="5"/>
  <c r="I1907" i="5" s="1"/>
  <c r="G1722" i="5"/>
  <c r="I1722" i="5" s="1"/>
  <c r="G1713" i="5"/>
  <c r="I1713" i="5" s="1"/>
  <c r="G1460" i="5"/>
  <c r="I1460" i="5" s="1"/>
  <c r="G28" i="5"/>
  <c r="I28" i="5" s="1"/>
  <c r="I2604" i="5"/>
  <c r="G4562" i="5"/>
  <c r="I4562" i="5" s="1"/>
  <c r="G1065" i="5"/>
  <c r="I1065" i="5" s="1"/>
  <c r="G561" i="5"/>
  <c r="I561" i="5" s="1"/>
  <c r="G239" i="5"/>
  <c r="I239" i="5" s="1"/>
  <c r="G570" i="5"/>
  <c r="I570" i="5" s="1"/>
  <c r="G1434" i="5"/>
  <c r="I1434" i="5" s="1"/>
  <c r="G552" i="5"/>
  <c r="I552" i="5" s="1"/>
  <c r="G543" i="5"/>
  <c r="I543" i="5" s="1"/>
  <c r="G2491" i="5"/>
  <c r="I2491" i="5" s="1"/>
  <c r="G4066" i="5"/>
  <c r="I4066" i="5" s="1"/>
  <c r="G1993" i="5"/>
  <c r="I1993" i="5" s="1"/>
  <c r="G1902" i="5"/>
  <c r="I1902" i="5" s="1"/>
  <c r="G1601" i="5"/>
  <c r="I1601" i="5" s="1"/>
  <c r="G1642" i="5"/>
  <c r="I1642" i="5" s="1"/>
  <c r="G1626" i="5"/>
  <c r="I1626" i="5" s="1"/>
  <c r="G2530" i="5"/>
  <c r="I2530" i="5" s="1"/>
  <c r="G1938" i="5"/>
  <c r="I1938" i="5" s="1"/>
  <c r="G1931" i="5"/>
  <c r="I1931" i="5" s="1"/>
  <c r="G1924" i="5"/>
  <c r="I1924" i="5" s="1"/>
  <c r="G1917" i="5"/>
  <c r="I1917" i="5" s="1"/>
  <c r="G1910" i="5"/>
  <c r="I1910" i="5" s="1"/>
  <c r="G1873" i="5"/>
  <c r="I1873" i="5" s="1"/>
  <c r="G1945" i="5"/>
  <c r="I1945" i="5" s="1"/>
  <c r="G1634" i="5"/>
  <c r="I1634" i="5" s="1"/>
  <c r="G1593" i="5"/>
  <c r="I1593" i="5" s="1"/>
  <c r="G1620" i="5"/>
  <c r="I1620" i="5" s="1"/>
  <c r="G4918" i="5"/>
  <c r="I4918" i="5" s="1"/>
  <c r="G4785" i="5"/>
  <c r="I4785" i="5" s="1"/>
  <c r="G1414" i="5"/>
  <c r="I1414" i="5" s="1"/>
  <c r="G5010" i="5"/>
  <c r="I5010" i="5" s="1"/>
  <c r="G4995" i="5"/>
  <c r="I4995" i="5" s="1"/>
  <c r="G4799" i="5"/>
  <c r="I4799" i="5" s="1"/>
  <c r="G4551" i="5"/>
  <c r="I4551" i="5" s="1"/>
  <c r="G1445" i="5"/>
  <c r="I1445" i="5" s="1"/>
  <c r="G3942" i="5"/>
  <c r="I3942" i="5" s="1"/>
  <c r="G4003" i="5"/>
  <c r="I4003" i="5" s="1"/>
  <c r="G3934" i="5"/>
  <c r="I3934" i="5" s="1"/>
  <c r="G3891" i="5"/>
  <c r="I3891" i="5" s="1"/>
  <c r="G3882" i="5"/>
  <c r="I3882" i="5" s="1"/>
  <c r="G2116" i="5"/>
  <c r="I2116" i="5" s="1"/>
  <c r="G2913" i="5"/>
  <c r="I2913" i="5" s="1"/>
  <c r="G4957" i="5"/>
  <c r="I4957" i="5" s="1"/>
  <c r="G4132" i="5"/>
  <c r="I4132" i="5" s="1"/>
  <c r="G4089" i="5"/>
  <c r="I4089" i="5" s="1"/>
  <c r="G285" i="5"/>
  <c r="I285" i="5" s="1"/>
  <c r="G1888" i="5"/>
  <c r="I1888" i="5" s="1"/>
  <c r="G75" i="5"/>
  <c r="I75" i="5" s="1"/>
  <c r="G1881" i="5"/>
  <c r="I1881" i="5" s="1"/>
  <c r="G278" i="5"/>
  <c r="I278" i="5" s="1"/>
  <c r="G240" i="5"/>
  <c r="I240" i="5" s="1"/>
  <c r="G1689" i="5"/>
  <c r="I1689" i="5" s="1"/>
  <c r="G1775" i="5"/>
  <c r="I1775" i="5" s="1"/>
  <c r="G1654" i="5"/>
  <c r="I1654" i="5" s="1"/>
  <c r="G1905" i="5"/>
  <c r="I1905" i="5" s="1"/>
  <c r="G2533" i="5"/>
  <c r="I2533" i="5" s="1"/>
  <c r="G1701" i="5"/>
  <c r="I1701" i="5" s="1"/>
  <c r="G1764" i="5"/>
  <c r="I1764" i="5" s="1"/>
  <c r="G1637" i="5"/>
  <c r="I1637" i="5" s="1"/>
  <c r="G65" i="5"/>
  <c r="I65" i="5" s="1"/>
  <c r="G4279" i="5"/>
  <c r="I4279" i="5" s="1"/>
  <c r="G2585" i="5"/>
  <c r="I2585" i="5" s="1"/>
  <c r="G2910" i="5"/>
  <c r="G411" i="5"/>
  <c r="G312" i="5"/>
  <c r="G222" i="5"/>
  <c r="G297" i="5"/>
  <c r="G304" i="5"/>
  <c r="G211" i="5"/>
  <c r="G320" i="5"/>
  <c r="G215" i="5"/>
  <c r="G447" i="5"/>
  <c r="G4118" i="5"/>
  <c r="G288" i="5"/>
  <c r="G4271" i="5"/>
  <c r="G482" i="5"/>
  <c r="G4210" i="5"/>
  <c r="G390" i="5"/>
  <c r="G446" i="5"/>
  <c r="E38" i="6"/>
  <c r="E41" i="6"/>
  <c r="E21" i="4" s="1"/>
  <c r="E45" i="6"/>
  <c r="G2599" i="5"/>
  <c r="I2599" i="5" s="1"/>
  <c r="G2598" i="5" s="1"/>
  <c r="E40" i="6"/>
  <c r="G2445" i="5"/>
  <c r="I2445" i="5" s="1"/>
  <c r="G2444" i="5" s="1"/>
  <c r="E34" i="6"/>
  <c r="E36" i="6"/>
  <c r="G247" i="5" s="1"/>
  <c r="I247" i="5" s="1"/>
  <c r="E37" i="6"/>
  <c r="E17" i="4" s="1"/>
  <c r="E39" i="6"/>
  <c r="E19" i="4" s="1"/>
  <c r="G426" i="5"/>
  <c r="G351" i="5"/>
  <c r="G4209" i="5"/>
  <c r="G374" i="5"/>
  <c r="G298" i="5"/>
  <c r="G486" i="5"/>
  <c r="G358" i="5"/>
  <c r="G341" i="5"/>
  <c r="E42" i="6"/>
  <c r="E23" i="4" s="1"/>
  <c r="G4117" i="5"/>
  <c r="G4127" i="5"/>
  <c r="G2874" i="5"/>
  <c r="E43" i="6"/>
  <c r="C33" i="6"/>
  <c r="D33" i="6" s="1"/>
  <c r="E33" i="6" s="1"/>
  <c r="G3838" i="5"/>
  <c r="I3838" i="5" s="1"/>
  <c r="G3839" i="5" s="1"/>
  <c r="G3731" i="5"/>
  <c r="I3731" i="5" s="1"/>
  <c r="G3732" i="5" s="1"/>
  <c r="G3743" i="5"/>
  <c r="I3743" i="5" s="1"/>
  <c r="G3744" i="5" s="1"/>
  <c r="G3897" i="5"/>
  <c r="I3897" i="5" s="1"/>
  <c r="G3990" i="5"/>
  <c r="I3990" i="5" s="1"/>
  <c r="G3988" i="5" s="1"/>
  <c r="G3894" i="5"/>
  <c r="I3894" i="5" s="1"/>
  <c r="G3925" i="5"/>
  <c r="I3925" i="5" s="1"/>
  <c r="G3995" i="5"/>
  <c r="I3995" i="5" s="1"/>
  <c r="G3991" i="5" s="1"/>
  <c r="G3858" i="5"/>
  <c r="I3858" i="5" s="1"/>
  <c r="G3721" i="5"/>
  <c r="I3721" i="5" s="1"/>
  <c r="G3716" i="5" s="1"/>
  <c r="G3961" i="5"/>
  <c r="I3961" i="5" s="1"/>
  <c r="G3962" i="5" s="1"/>
  <c r="G3780" i="5"/>
  <c r="I3780" i="5" s="1"/>
  <c r="G3781" i="5" s="1"/>
  <c r="G3873" i="5"/>
  <c r="I3873" i="5" s="1"/>
  <c r="G3818" i="5"/>
  <c r="I3818" i="5" s="1"/>
  <c r="G3819" i="5" s="1"/>
  <c r="G3901" i="5"/>
  <c r="I3901" i="5" s="1"/>
  <c r="G3899" i="5" s="1"/>
  <c r="G3999" i="5"/>
  <c r="I3999" i="5" s="1"/>
  <c r="G3996" i="5" s="1"/>
  <c r="G3972" i="5"/>
  <c r="I3972" i="5" s="1"/>
  <c r="G3978" i="5"/>
  <c r="I3978" i="5" s="1"/>
  <c r="G3768" i="5"/>
  <c r="I3768" i="5" s="1"/>
  <c r="G3769" i="5" s="1"/>
  <c r="G3904" i="5"/>
  <c r="I3904" i="5" s="1"/>
  <c r="G3902" i="5" s="1"/>
  <c r="G3851" i="5"/>
  <c r="I3851" i="5" s="1"/>
  <c r="G3852" i="5" s="1"/>
  <c r="G3914" i="5"/>
  <c r="I3914" i="5" s="1"/>
  <c r="G3986" i="5"/>
  <c r="I3986" i="5" s="1"/>
  <c r="G3826" i="5"/>
  <c r="I3826" i="5" s="1"/>
  <c r="G3827" i="5" s="1"/>
  <c r="G3807" i="5"/>
  <c r="I3807" i="5" s="1"/>
  <c r="G3808" i="5" s="1"/>
  <c r="G3947" i="5"/>
  <c r="I3947" i="5" s="1"/>
  <c r="G3945" i="5" s="1"/>
  <c r="G3756" i="5"/>
  <c r="I3756" i="5" s="1"/>
  <c r="G3757" i="5" s="1"/>
  <c r="G3792" i="5"/>
  <c r="I3792" i="5" s="1"/>
  <c r="G3793" i="5" s="1"/>
  <c r="G3865" i="5"/>
  <c r="I3865" i="5" s="1"/>
  <c r="G3950" i="5"/>
  <c r="I3950" i="5" s="1"/>
  <c r="G3948" i="5" s="1"/>
  <c r="C31" i="6"/>
  <c r="D31" i="6" s="1"/>
  <c r="E31" i="6" s="1"/>
  <c r="E8" i="4" s="1"/>
  <c r="G4758" i="5"/>
  <c r="I4758" i="5" s="1"/>
  <c r="G2454" i="5"/>
  <c r="I2454" i="5" s="1"/>
  <c r="G2371" i="5"/>
  <c r="I2371" i="5" s="1"/>
  <c r="G3197" i="5"/>
  <c r="I3197" i="5" s="1"/>
  <c r="G2389" i="5"/>
  <c r="I2389" i="5" s="1"/>
  <c r="G3130" i="5"/>
  <c r="I3130" i="5" s="1"/>
  <c r="G3127" i="5" s="1"/>
  <c r="G4850" i="5"/>
  <c r="I4850" i="5" s="1"/>
  <c r="G4847" i="5" s="1"/>
  <c r="G3272" i="5"/>
  <c r="I3272" i="5" s="1"/>
  <c r="G3188" i="5"/>
  <c r="I3188" i="5" s="1"/>
  <c r="G2420" i="5"/>
  <c r="I2420" i="5" s="1"/>
  <c r="G3145" i="5"/>
  <c r="I3145" i="5" s="1"/>
  <c r="G2865" i="5"/>
  <c r="I2865" i="5" s="1"/>
  <c r="G2596" i="5"/>
  <c r="I2596" i="5" s="1"/>
  <c r="G3371" i="5"/>
  <c r="I3371" i="5" s="1"/>
  <c r="G2998" i="5"/>
  <c r="I2998" i="5" s="1"/>
  <c r="G2407" i="5"/>
  <c r="I2407" i="5" s="1"/>
  <c r="G3378" i="5"/>
  <c r="I3378" i="5" s="1"/>
  <c r="G2382" i="5"/>
  <c r="I2382" i="5" s="1"/>
  <c r="G3510" i="5"/>
  <c r="I3510" i="5" s="1"/>
  <c r="G3508" i="5" s="1"/>
  <c r="G3038" i="5"/>
  <c r="I3038" i="5" s="1"/>
  <c r="G3039" i="5" s="1"/>
  <c r="G2361" i="5"/>
  <c r="I2361" i="5" s="1"/>
  <c r="G3359" i="5"/>
  <c r="I3359" i="5" s="1"/>
  <c r="G4227" i="5"/>
  <c r="I4227" i="5" s="1"/>
  <c r="G4226" i="5" s="1"/>
  <c r="G3277" i="5"/>
  <c r="I3277" i="5" s="1"/>
  <c r="G3367" i="5"/>
  <c r="I3367" i="5" s="1"/>
  <c r="G3516" i="5"/>
  <c r="I3516" i="5" s="1"/>
  <c r="G3514" i="5" s="1"/>
  <c r="G3054" i="5"/>
  <c r="I3054" i="5" s="1"/>
  <c r="G3055" i="5" s="1"/>
  <c r="G2414" i="5"/>
  <c r="I2414" i="5" s="1"/>
  <c r="G2797" i="5"/>
  <c r="I2797" i="5" s="1"/>
  <c r="G2798" i="5" s="1"/>
  <c r="G2465" i="5"/>
  <c r="I2465" i="5" s="1"/>
  <c r="G3513" i="5"/>
  <c r="I3513" i="5" s="1"/>
  <c r="G3511" i="5" s="1"/>
  <c r="G3363" i="5"/>
  <c r="I3363" i="5" s="1"/>
  <c r="G2356" i="5"/>
  <c r="I2356" i="5" s="1"/>
  <c r="G4765" i="5"/>
  <c r="I4765" i="5" s="1"/>
  <c r="G532" i="5"/>
  <c r="I532" i="5" s="1"/>
  <c r="G2366" i="5"/>
  <c r="I2366" i="5" s="1"/>
  <c r="G3238" i="5"/>
  <c r="I3238" i="5" s="1"/>
  <c r="G61" i="5"/>
  <c r="I61" i="5" s="1"/>
  <c r="G2056" i="5"/>
  <c r="I2056" i="5" s="1"/>
  <c r="G2054" i="5" s="1"/>
  <c r="G3062" i="5"/>
  <c r="I3062" i="5" s="1"/>
  <c r="G3063" i="5" s="1"/>
  <c r="G3179" i="5"/>
  <c r="I3179" i="5" s="1"/>
  <c r="G3030" i="5"/>
  <c r="I3030" i="5" s="1"/>
  <c r="G3031" i="5" s="1"/>
  <c r="G3206" i="5"/>
  <c r="I3206" i="5" s="1"/>
  <c r="G3022" i="5"/>
  <c r="I3022" i="5" s="1"/>
  <c r="G3023" i="5" s="1"/>
  <c r="G3153" i="5"/>
  <c r="I3153" i="5" s="1"/>
  <c r="G2991" i="5"/>
  <c r="I2991" i="5" s="1"/>
  <c r="G3336" i="5"/>
  <c r="I3336" i="5" s="1"/>
  <c r="G3137" i="5"/>
  <c r="I3137" i="5" s="1"/>
  <c r="G3066" i="5"/>
  <c r="I3066" i="5" s="1"/>
  <c r="G3064" i="5" s="1"/>
  <c r="G3005" i="5"/>
  <c r="I3005" i="5" s="1"/>
  <c r="G2378" i="5"/>
  <c r="I2378" i="5" s="1"/>
  <c r="G3351" i="5"/>
  <c r="I3351" i="5" s="1"/>
  <c r="G3355" i="5"/>
  <c r="I3355" i="5" s="1"/>
  <c r="G2870" i="5"/>
  <c r="I2870" i="5" s="1"/>
  <c r="G3214" i="5"/>
  <c r="I3214" i="5" s="1"/>
  <c r="G3675" i="5"/>
  <c r="I3675" i="5" s="1"/>
  <c r="G3671" i="5" s="1"/>
  <c r="G4433" i="5"/>
  <c r="I4433" i="5" s="1"/>
  <c r="G4432" i="5" s="1"/>
  <c r="G2802" i="5"/>
  <c r="I2802" i="5" s="1"/>
  <c r="G2799" i="5" s="1"/>
  <c r="G2860" i="5"/>
  <c r="I2860" i="5" s="1"/>
  <c r="G2395" i="5"/>
  <c r="I2395" i="5" s="1"/>
  <c r="G4308" i="5"/>
  <c r="I4308" i="5" s="1"/>
  <c r="G2448" i="5"/>
  <c r="I2448" i="5" s="1"/>
  <c r="G3046" i="5"/>
  <c r="I3046" i="5" s="1"/>
  <c r="G3047" i="5" s="1"/>
  <c r="G2471" i="5"/>
  <c r="I2471" i="5" s="1"/>
  <c r="G3519" i="5"/>
  <c r="I3519" i="5" s="1"/>
  <c r="G3517" i="5" s="1"/>
  <c r="G3384" i="5"/>
  <c r="I3384" i="5" s="1"/>
  <c r="G2582" i="5" l="1"/>
  <c r="I2582" i="5" s="1"/>
  <c r="G332" i="5"/>
  <c r="I332" i="5" s="1"/>
  <c r="G331" i="5" s="1"/>
  <c r="G4221" i="5"/>
  <c r="I4221" i="5" s="1"/>
  <c r="G4367" i="5"/>
  <c r="I4367" i="5" s="1"/>
  <c r="G95" i="5"/>
  <c r="I95" i="5" s="1"/>
  <c r="G212" i="5"/>
  <c r="I212" i="5" s="1"/>
  <c r="G4358" i="5"/>
  <c r="I4358" i="5" s="1"/>
  <c r="G4359" i="5" s="1"/>
  <c r="G370" i="5"/>
  <c r="I370" i="5" s="1"/>
  <c r="G371" i="5" s="1"/>
  <c r="G4440" i="5"/>
  <c r="I4440" i="5" s="1"/>
  <c r="G4442" i="5" s="1"/>
  <c r="G104" i="5"/>
  <c r="I104" i="5" s="1"/>
  <c r="G106" i="5" s="1"/>
  <c r="G2916" i="5"/>
  <c r="I2916" i="5" s="1"/>
  <c r="G2917" i="5" s="1"/>
  <c r="G496" i="5"/>
  <c r="I496" i="5" s="1"/>
  <c r="G495" i="5" s="1"/>
  <c r="G2442" i="5"/>
  <c r="I2442" i="5" s="1"/>
  <c r="G4461" i="5"/>
  <c r="I4461" i="5" s="1"/>
  <c r="G4463" i="5" s="1"/>
  <c r="G3796" i="5"/>
  <c r="I3796" i="5" s="1"/>
  <c r="G3794" i="5" s="1"/>
  <c r="G483" i="5"/>
  <c r="I483" i="5" s="1"/>
  <c r="G224" i="5"/>
  <c r="I224" i="5" s="1"/>
  <c r="G4299" i="5"/>
  <c r="I4299" i="5" s="1"/>
  <c r="G4300" i="5" s="1"/>
  <c r="G4396" i="5"/>
  <c r="I4396" i="5" s="1"/>
  <c r="G4397" i="5" s="1"/>
  <c r="G4346" i="5"/>
  <c r="I4346" i="5" s="1"/>
  <c r="G435" i="5"/>
  <c r="I435" i="5" s="1"/>
  <c r="G433" i="5" s="1"/>
  <c r="G4366" i="5"/>
  <c r="I4366" i="5" s="1"/>
  <c r="G4365" i="5"/>
  <c r="I4365" i="5" s="1"/>
  <c r="G511" i="5"/>
  <c r="I511" i="5" s="1"/>
  <c r="G512" i="5" s="1"/>
  <c r="G427" i="5"/>
  <c r="I427" i="5" s="1"/>
  <c r="G7" i="5"/>
  <c r="I7" i="5" s="1"/>
  <c r="G9" i="5" s="1"/>
  <c r="G500" i="5"/>
  <c r="I500" i="5" s="1"/>
  <c r="G501" i="5" s="1"/>
  <c r="G289" i="5"/>
  <c r="I289" i="5" s="1"/>
  <c r="G4403" i="5"/>
  <c r="I4403" i="5" s="1"/>
  <c r="G4404" i="5" s="1"/>
  <c r="G4193" i="5"/>
  <c r="I4193" i="5" s="1"/>
  <c r="G4192" i="5" s="1"/>
  <c r="G11" i="5"/>
  <c r="I11" i="5" s="1"/>
  <c r="G12" i="5" s="1"/>
  <c r="G4322" i="5"/>
  <c r="I4322" i="5" s="1"/>
  <c r="G4323" i="5" s="1"/>
  <c r="G380" i="5"/>
  <c r="I380" i="5" s="1"/>
  <c r="G381" i="5" s="1"/>
  <c r="G4372" i="5"/>
  <c r="I4372" i="5" s="1"/>
  <c r="G4374" i="5" s="1"/>
  <c r="G4338" i="5"/>
  <c r="I4338" i="5" s="1"/>
  <c r="G4339" i="5" s="1"/>
  <c r="G515" i="5"/>
  <c r="I515" i="5" s="1"/>
  <c r="G517" i="5" s="1"/>
  <c r="G299" i="5"/>
  <c r="I299" i="5" s="1"/>
  <c r="G4330" i="5"/>
  <c r="I4330" i="5" s="1"/>
  <c r="G4331" i="5" s="1"/>
  <c r="G364" i="5"/>
  <c r="I364" i="5" s="1"/>
  <c r="G365" i="5" s="1"/>
  <c r="G4368" i="5"/>
  <c r="I4368" i="5" s="1"/>
  <c r="G2216" i="5"/>
  <c r="I2216" i="5" s="1"/>
  <c r="G2217" i="5" s="1"/>
  <c r="G413" i="5"/>
  <c r="I413" i="5" s="1"/>
  <c r="G4873" i="5"/>
  <c r="I4873" i="5" s="1"/>
  <c r="G4871" i="5" s="1"/>
  <c r="G423" i="5"/>
  <c r="I423" i="5" s="1"/>
  <c r="G419" i="5" s="1"/>
  <c r="G352" i="5" s="1"/>
  <c r="G487" i="5"/>
  <c r="I487" i="5" s="1"/>
  <c r="G4866" i="5"/>
  <c r="I4866" i="5" s="1"/>
  <c r="G4864" i="5" s="1"/>
  <c r="G4183" i="5"/>
  <c r="I4183" i="5" s="1"/>
  <c r="G4184" i="5" s="1"/>
  <c r="G216" i="5"/>
  <c r="I216" i="5" s="1"/>
  <c r="G4880" i="5"/>
  <c r="I4880" i="5" s="1"/>
  <c r="G4882" i="5" s="1"/>
  <c r="G4314" i="5"/>
  <c r="I4314" i="5" s="1"/>
  <c r="G4315" i="5" s="1"/>
  <c r="G4473" i="5"/>
  <c r="I4473" i="5" s="1"/>
  <c r="G4475" i="5" s="1"/>
  <c r="G4982" i="5"/>
  <c r="I4982" i="5" s="1"/>
  <c r="G4981" i="5" s="1"/>
  <c r="I4981" i="5" s="1"/>
  <c r="G4979" i="5" s="1"/>
  <c r="G2207" i="5"/>
  <c r="I2207" i="5" s="1"/>
  <c r="G2209" i="5" s="1"/>
  <c r="G4444" i="5"/>
  <c r="I4444" i="5" s="1"/>
  <c r="G4445" i="5" s="1"/>
  <c r="G4352" i="5"/>
  <c r="I4352" i="5" s="1"/>
  <c r="G4353" i="5" s="1"/>
  <c r="G2940" i="5"/>
  <c r="I2940" i="5" s="1"/>
  <c r="G2941" i="5" s="1"/>
  <c r="G4230" i="5"/>
  <c r="I4230" i="5" s="1"/>
  <c r="G4232" i="5" s="1"/>
  <c r="G494" i="5"/>
  <c r="I494" i="5" s="1"/>
  <c r="G493" i="5" s="1"/>
  <c r="G2212" i="5"/>
  <c r="I2212" i="5" s="1"/>
  <c r="G2213" i="5" s="1"/>
  <c r="G508" i="5"/>
  <c r="I508" i="5" s="1"/>
  <c r="G509" i="5" s="1"/>
  <c r="G4881" i="5"/>
  <c r="I4881" i="5" s="1"/>
  <c r="E18" i="4"/>
  <c r="G5030" i="5" s="1"/>
  <c r="I5030" i="5" s="1"/>
  <c r="G5018" i="5" s="1"/>
  <c r="G5198" i="5"/>
  <c r="I5198" i="5" s="1"/>
  <c r="G4296" i="5"/>
  <c r="I4296" i="5" s="1"/>
  <c r="G4297" i="5" s="1"/>
  <c r="G100" i="5"/>
  <c r="I100" i="5" s="1"/>
  <c r="G102" i="5" s="1"/>
  <c r="G408" i="5"/>
  <c r="I408" i="5" s="1"/>
  <c r="G4478" i="5"/>
  <c r="I4478" i="5" s="1"/>
  <c r="G4480" i="5" s="1"/>
  <c r="G4717" i="5"/>
  <c r="I4717" i="5" s="1"/>
  <c r="G4718" i="5" s="1"/>
  <c r="I4718" i="5" s="1"/>
  <c r="G4702" i="5"/>
  <c r="I4702" i="5" s="1"/>
  <c r="G4703" i="5" s="1"/>
  <c r="I4703" i="5" s="1"/>
  <c r="G5327" i="5"/>
  <c r="G5300" i="5"/>
  <c r="I5300" i="5" s="1"/>
  <c r="G5045" i="5"/>
  <c r="I5045" i="5" s="1"/>
  <c r="G249" i="5"/>
  <c r="I249" i="5" s="1"/>
  <c r="G248" i="5"/>
  <c r="I248" i="5" s="1"/>
  <c r="I3732" i="5"/>
  <c r="I3827" i="5"/>
  <c r="I2798" i="5"/>
  <c r="I3819" i="5"/>
  <c r="I5395" i="5"/>
  <c r="G5391" i="5" s="1"/>
  <c r="I3063" i="5"/>
  <c r="I3839" i="5"/>
  <c r="I3047" i="5"/>
  <c r="I3023" i="5"/>
  <c r="I3039" i="5"/>
  <c r="I3852" i="5"/>
  <c r="I3808" i="5"/>
  <c r="I3055" i="5"/>
  <c r="I3793" i="5"/>
  <c r="I3781" i="5"/>
  <c r="I3031" i="5"/>
  <c r="I3757" i="5"/>
  <c r="I3769" i="5"/>
  <c r="I3962" i="5"/>
  <c r="I3744" i="5"/>
  <c r="I2875" i="5"/>
  <c r="I1062" i="5"/>
  <c r="I4387" i="5"/>
  <c r="I426" i="5"/>
  <c r="I412" i="5"/>
  <c r="I4118" i="5"/>
  <c r="I4371" i="5"/>
  <c r="I312" i="5"/>
  <c r="I298" i="5"/>
  <c r="I446" i="5"/>
  <c r="I215" i="5"/>
  <c r="I411" i="5"/>
  <c r="I2835" i="5"/>
  <c r="I2874" i="5"/>
  <c r="I374" i="5"/>
  <c r="I390" i="5"/>
  <c r="I320" i="5"/>
  <c r="I235" i="5"/>
  <c r="I540" i="5"/>
  <c r="I1456" i="5"/>
  <c r="I351" i="5"/>
  <c r="I549" i="5"/>
  <c r="I341" i="5"/>
  <c r="I297" i="5"/>
  <c r="I2910" i="5"/>
  <c r="I4128" i="5"/>
  <c r="I4942" i="5"/>
  <c r="I4559" i="5"/>
  <c r="I5366" i="5"/>
  <c r="G5364" i="5" s="1"/>
  <c r="I4271" i="5"/>
  <c r="G4273" i="5" s="1"/>
  <c r="I288" i="5"/>
  <c r="I567" i="5"/>
  <c r="I358" i="5"/>
  <c r="I222" i="5"/>
  <c r="I1431" i="5"/>
  <c r="I486" i="5"/>
  <c r="I447" i="5"/>
  <c r="I4127" i="5"/>
  <c r="I4210" i="5"/>
  <c r="I211" i="5"/>
  <c r="I4117" i="5"/>
  <c r="I4209" i="5"/>
  <c r="I482" i="5"/>
  <c r="I304" i="5"/>
  <c r="I391" i="5"/>
  <c r="I558" i="5"/>
  <c r="I1471" i="5"/>
  <c r="I2834" i="5"/>
  <c r="G4867" i="5"/>
  <c r="I4867" i="5" s="1"/>
  <c r="E20" i="4"/>
  <c r="G1887" i="5" s="1"/>
  <c r="I1887" i="5" s="1"/>
  <c r="G1889" i="5" s="1"/>
  <c r="E24" i="4"/>
  <c r="G5472" i="5" s="1"/>
  <c r="I5472" i="5" s="1"/>
  <c r="G5473" i="5" s="1"/>
  <c r="E27" i="4"/>
  <c r="G5154" i="5" s="1"/>
  <c r="I5154" i="5" s="1"/>
  <c r="E16" i="4"/>
  <c r="G4560" i="5" s="1"/>
  <c r="I4560" i="5" s="1"/>
  <c r="G4561" i="5" s="1"/>
  <c r="G229" i="5"/>
  <c r="I229" i="5" s="1"/>
  <c r="G4345" i="5"/>
  <c r="I4345" i="5" s="1"/>
  <c r="E9" i="4"/>
  <c r="E25" i="4"/>
  <c r="G5420" i="5" s="1"/>
  <c r="I5420" i="5" s="1"/>
  <c r="G4292" i="5"/>
  <c r="I4292" i="5" s="1"/>
  <c r="G4293" i="5" s="1"/>
  <c r="I4584" i="5"/>
  <c r="I4596" i="5"/>
  <c r="I347" i="5"/>
  <c r="G5519" i="5"/>
  <c r="I5519" i="5" s="1"/>
  <c r="G5469" i="5"/>
  <c r="I5469" i="5" s="1"/>
  <c r="G5470" i="5" s="1"/>
  <c r="G5463" i="5"/>
  <c r="I5463" i="5" s="1"/>
  <c r="G5464" i="5" s="1"/>
  <c r="G5460" i="5"/>
  <c r="I5460" i="5" s="1"/>
  <c r="G5461" i="5" s="1"/>
  <c r="G5466" i="5"/>
  <c r="I5466" i="5" s="1"/>
  <c r="G5467" i="5" s="1"/>
  <c r="G2578" i="5"/>
  <c r="I2578" i="5" s="1"/>
  <c r="G2579" i="5" s="1"/>
  <c r="G5456" i="5"/>
  <c r="I5456" i="5" s="1"/>
  <c r="G5237" i="5"/>
  <c r="I5237" i="5" s="1"/>
  <c r="G5239" i="5" s="1"/>
  <c r="G5061" i="5"/>
  <c r="G5135" i="5"/>
  <c r="G5155" i="5"/>
  <c r="I5155" i="5" s="1"/>
  <c r="G892" i="5"/>
  <c r="I892" i="5" s="1"/>
  <c r="G894" i="5" s="1"/>
  <c r="G4235" i="5"/>
  <c r="I4235" i="5" s="1"/>
  <c r="G4237" i="5" s="1"/>
  <c r="G5386" i="5"/>
  <c r="G5383" i="5"/>
  <c r="G29" i="5"/>
  <c r="I29" i="5" s="1"/>
  <c r="G22" i="5" s="1"/>
  <c r="G5081" i="5"/>
  <c r="G5086" i="5"/>
  <c r="G5085" i="5"/>
  <c r="G5092" i="5"/>
  <c r="G5091" i="5"/>
  <c r="I348" i="5"/>
  <c r="I578" i="5"/>
  <c r="G2876" i="5"/>
  <c r="I2876" i="5" s="1"/>
  <c r="G2877" i="5" s="1"/>
  <c r="G188" i="5"/>
  <c r="I188" i="5" s="1"/>
  <c r="G187" i="5" s="1"/>
  <c r="G4287" i="5"/>
  <c r="I4287" i="5" s="1"/>
  <c r="G4289" i="5" s="1"/>
  <c r="G204" i="5"/>
  <c r="I204" i="5" s="1"/>
  <c r="G209" i="5" s="1"/>
  <c r="G665" i="5"/>
  <c r="I665" i="5" s="1"/>
  <c r="G666" i="5" s="1"/>
  <c r="G4751" i="5"/>
  <c r="I4751" i="5" s="1"/>
  <c r="G4752" i="5" s="1"/>
  <c r="G3943" i="5"/>
  <c r="I3943" i="5" s="1"/>
  <c r="G3944" i="5" s="1"/>
  <c r="G4456" i="5"/>
  <c r="I4456" i="5" s="1"/>
  <c r="G4457" i="5" s="1"/>
  <c r="G73" i="5"/>
  <c r="I73" i="5" s="1"/>
  <c r="G74" i="5" s="1"/>
  <c r="G4853" i="5"/>
  <c r="I4853" i="5" s="1"/>
  <c r="G4855" i="5" s="1"/>
  <c r="G2476" i="5"/>
  <c r="I2476" i="5" s="1"/>
  <c r="G2478" i="5" s="1"/>
  <c r="G43" i="5"/>
  <c r="I43" i="5" s="1"/>
  <c r="G45" i="5" s="1"/>
  <c r="G4134" i="5"/>
  <c r="I4134" i="5" s="1"/>
  <c r="G4136" i="5" s="1"/>
  <c r="G31" i="5"/>
  <c r="I31" i="5" s="1"/>
  <c r="G32" i="5" s="1"/>
  <c r="G39" i="5"/>
  <c r="I39" i="5" s="1"/>
  <c r="G41" i="5" s="1"/>
  <c r="G1162" i="5"/>
  <c r="I1162" i="5" s="1"/>
  <c r="G1163" i="5" s="1"/>
  <c r="G1326" i="5"/>
  <c r="I1326" i="5" s="1"/>
  <c r="G1328" i="5" s="1"/>
  <c r="G4436" i="5"/>
  <c r="I4436" i="5" s="1"/>
  <c r="G4438" i="5" s="1"/>
  <c r="G4007" i="5"/>
  <c r="I4007" i="5" s="1"/>
  <c r="G4008" i="5" s="1"/>
  <c r="G4196" i="5"/>
  <c r="I4196" i="5" s="1"/>
  <c r="G4197" i="5" s="1"/>
  <c r="G503" i="5"/>
  <c r="I503" i="5" s="1"/>
  <c r="G504" i="5" s="1"/>
  <c r="G4302" i="5"/>
  <c r="I4302" i="5" s="1"/>
  <c r="G4303" i="5" s="1"/>
  <c r="G35" i="5"/>
  <c r="I35" i="5" s="1"/>
  <c r="G36" i="5" s="1"/>
  <c r="G906" i="5"/>
  <c r="I906" i="5" s="1"/>
  <c r="G907" i="5" s="1"/>
  <c r="G47" i="5"/>
  <c r="I47" i="5" s="1"/>
  <c r="G48" i="5" s="1"/>
  <c r="G4272" i="5"/>
  <c r="I4272" i="5" s="1"/>
  <c r="G430" i="5"/>
  <c r="G342" i="5"/>
  <c r="I342" i="5" s="1"/>
  <c r="G4138" i="5"/>
  <c r="I4138" i="5" s="1"/>
  <c r="G4140" i="5" s="1"/>
  <c r="G51" i="5"/>
  <c r="I51" i="5" s="1"/>
  <c r="G55" i="5" s="1"/>
  <c r="G984" i="5"/>
  <c r="I984" i="5" s="1"/>
  <c r="G985" i="5" s="1"/>
  <c r="G1310" i="5"/>
  <c r="I1310" i="5" s="1"/>
  <c r="G1311" i="5" s="1"/>
  <c r="G1412" i="5"/>
  <c r="I1412" i="5" s="1"/>
  <c r="G1413" i="5" s="1"/>
  <c r="G4120" i="5"/>
  <c r="I4120" i="5" s="1"/>
  <c r="G4121" i="5" s="1"/>
  <c r="G4130" i="5"/>
  <c r="I4130" i="5" s="1"/>
  <c r="G4131" i="5" s="1"/>
  <c r="G2836" i="5"/>
  <c r="I2836" i="5" s="1"/>
  <c r="G2837" i="5" s="1"/>
  <c r="G4239" i="5"/>
  <c r="I4239" i="5" s="1"/>
  <c r="G4241" i="5" s="1"/>
  <c r="G3890" i="5"/>
  <c r="I3890" i="5" s="1"/>
  <c r="G3892" i="5" s="1"/>
  <c r="G2861" i="5"/>
  <c r="G3337" i="5"/>
  <c r="G4766" i="5"/>
  <c r="G3360" i="5"/>
  <c r="G3154" i="5"/>
  <c r="G3239" i="5"/>
  <c r="G2357" i="5"/>
  <c r="G3368" i="5"/>
  <c r="G2362" i="5"/>
  <c r="G2597" i="5"/>
  <c r="G2390" i="5"/>
  <c r="G4759" i="5"/>
  <c r="G2472" i="5"/>
  <c r="G2396" i="5"/>
  <c r="G3352" i="5"/>
  <c r="G3138" i="5"/>
  <c r="G2367" i="5"/>
  <c r="G3364" i="5"/>
  <c r="G2415" i="5"/>
  <c r="G3278" i="5"/>
  <c r="G2408" i="5"/>
  <c r="G2866" i="5"/>
  <c r="G3273" i="5"/>
  <c r="G3198" i="5"/>
  <c r="G2583" i="5"/>
  <c r="G428" i="5"/>
  <c r="G2443" i="5"/>
  <c r="G3987" i="5"/>
  <c r="G3926" i="5"/>
  <c r="G2379" i="5"/>
  <c r="G533" i="5"/>
  <c r="G534" i="5"/>
  <c r="G2999" i="5"/>
  <c r="G3146" i="5"/>
  <c r="G2372" i="5"/>
  <c r="G4222" i="5"/>
  <c r="G2844" i="5"/>
  <c r="G3915" i="5"/>
  <c r="G3979" i="5"/>
  <c r="G3895" i="5"/>
  <c r="G2449" i="5"/>
  <c r="G3006" i="5"/>
  <c r="G63" i="5"/>
  <c r="G62" i="5"/>
  <c r="G2466" i="5"/>
  <c r="G3372" i="5"/>
  <c r="G2455" i="5"/>
  <c r="G3866" i="5"/>
  <c r="G3973" i="5"/>
  <c r="G3874" i="5"/>
  <c r="G3859" i="5"/>
  <c r="G3215" i="5"/>
  <c r="G3207" i="5"/>
  <c r="G3385" i="5"/>
  <c r="G2871" i="5"/>
  <c r="G2992" i="5"/>
  <c r="G2383" i="5"/>
  <c r="G2421" i="5"/>
  <c r="G3356" i="5"/>
  <c r="G3180" i="5"/>
  <c r="G3379" i="5"/>
  <c r="G3189" i="5"/>
  <c r="E44" i="6"/>
  <c r="E12" i="4" s="1"/>
  <c r="E35" i="6"/>
  <c r="G5286" i="5" s="1"/>
  <c r="I5286" i="5" s="1"/>
  <c r="G296" i="5"/>
  <c r="G445" i="5"/>
  <c r="G373" i="5"/>
  <c r="G261" i="5"/>
  <c r="G8" i="5"/>
  <c r="G96" i="5"/>
  <c r="G97" i="5"/>
  <c r="G98" i="5"/>
  <c r="G3898" i="5"/>
  <c r="G481" i="5" l="1"/>
  <c r="G287" i="5"/>
  <c r="G105" i="5"/>
  <c r="I105" i="5" s="1"/>
  <c r="G210" i="5"/>
  <c r="G295" i="5" s="1"/>
  <c r="G4441" i="5"/>
  <c r="G4347" i="5"/>
  <c r="I4347" i="5" s="1"/>
  <c r="G4341" i="5" s="1"/>
  <c r="G4369" i="5"/>
  <c r="G513" i="5"/>
  <c r="I513" i="5" s="1"/>
  <c r="G13" i="5"/>
  <c r="I13" i="5" s="1"/>
  <c r="G516" i="5"/>
  <c r="I516" i="5" s="1"/>
  <c r="G4462" i="5"/>
  <c r="I4462" i="5" s="1"/>
  <c r="G4373" i="5"/>
  <c r="I4373" i="5" s="1"/>
  <c r="G5266" i="5"/>
  <c r="I5266" i="5" s="1"/>
  <c r="G5270" i="5" s="1"/>
  <c r="G4603" i="5"/>
  <c r="I4603" i="5" s="1"/>
  <c r="G4446" i="5"/>
  <c r="I4446" i="5" s="1"/>
  <c r="G101" i="5"/>
  <c r="I101" i="5" s="1"/>
  <c r="G4868" i="5"/>
  <c r="I4868" i="5" s="1"/>
  <c r="G4231" i="5"/>
  <c r="I4231" i="5" s="1"/>
  <c r="G4865" i="5"/>
  <c r="I4865" i="5" s="1"/>
  <c r="G2208" i="5"/>
  <c r="I2208" i="5" s="1"/>
  <c r="G4875" i="5"/>
  <c r="I4875" i="5" s="1"/>
  <c r="G4476" i="5"/>
  <c r="I4476" i="5" s="1"/>
  <c r="G485" i="5"/>
  <c r="G4474" i="5"/>
  <c r="I4474" i="5" s="1"/>
  <c r="G4872" i="5"/>
  <c r="I4872" i="5" s="1"/>
  <c r="G5302" i="5"/>
  <c r="I5302" i="5" s="1"/>
  <c r="G5301" i="5"/>
  <c r="I5301" i="5" s="1"/>
  <c r="G214" i="5"/>
  <c r="G5046" i="5"/>
  <c r="I5046" i="5" s="1"/>
  <c r="G5043" i="5" s="1"/>
  <c r="G4479" i="5"/>
  <c r="I4479" i="5" s="1"/>
  <c r="G4878" i="5"/>
  <c r="I4878" i="5" s="1"/>
  <c r="G4879" i="5"/>
  <c r="I4879" i="5" s="1"/>
  <c r="G5288" i="5"/>
  <c r="I5288" i="5" s="1"/>
  <c r="G5287" i="5"/>
  <c r="I5287" i="5" s="1"/>
  <c r="G4481" i="5"/>
  <c r="I4481" i="5" s="1"/>
  <c r="G4233" i="5"/>
  <c r="I4233" i="5" s="1"/>
  <c r="G5199" i="5"/>
  <c r="I5199" i="5" s="1"/>
  <c r="G5191" i="5" s="1"/>
  <c r="G242" i="5"/>
  <c r="G819" i="5"/>
  <c r="I819" i="5" s="1"/>
  <c r="G820" i="5" s="1"/>
  <c r="I820" i="5" s="1"/>
  <c r="G3327" i="5"/>
  <c r="I3327" i="5" s="1"/>
  <c r="G3328" i="5" s="1"/>
  <c r="I3328" i="5" s="1"/>
  <c r="G3322" i="5" s="1"/>
  <c r="G4931" i="5"/>
  <c r="I4931" i="5" s="1"/>
  <c r="G4933" i="5" s="1"/>
  <c r="I4933" i="5" s="1"/>
  <c r="G3665" i="5"/>
  <c r="I3665" i="5" s="1"/>
  <c r="G3666" i="5" s="1"/>
  <c r="I3666" i="5" s="1"/>
  <c r="G3663" i="5" s="1"/>
  <c r="G4626" i="5"/>
  <c r="I4626" i="5" s="1"/>
  <c r="G4627" i="5" s="1"/>
  <c r="I4627" i="5" s="1"/>
  <c r="G3714" i="5"/>
  <c r="I3714" i="5" s="1"/>
  <c r="G3715" i="5" s="1"/>
  <c r="I3715" i="5" s="1"/>
  <c r="G918" i="5"/>
  <c r="I918" i="5" s="1"/>
  <c r="G919" i="5" s="1"/>
  <c r="I919" i="5" s="1"/>
  <c r="G1023" i="5"/>
  <c r="I1023" i="5" s="1"/>
  <c r="G1025" i="5" s="1"/>
  <c r="I1025" i="5" s="1"/>
  <c r="G3533" i="5"/>
  <c r="I3533" i="5" s="1"/>
  <c r="G3534" i="5" s="1"/>
  <c r="I3534" i="5" s="1"/>
  <c r="G3684" i="5"/>
  <c r="I3684" i="5" s="1"/>
  <c r="G3685" i="5" s="1"/>
  <c r="I3685" i="5" s="1"/>
  <c r="G2772" i="5"/>
  <c r="I2772" i="5" s="1"/>
  <c r="G4176" i="5"/>
  <c r="I4176" i="5" s="1"/>
  <c r="G4177" i="5" s="1"/>
  <c r="I4177" i="5" s="1"/>
  <c r="G4171" i="5" s="1"/>
  <c r="G3560" i="5"/>
  <c r="I3560" i="5" s="1"/>
  <c r="G3561" i="5" s="1"/>
  <c r="I3561" i="5" s="1"/>
  <c r="G3634" i="5"/>
  <c r="I3634" i="5" s="1"/>
  <c r="G3635" i="5" s="1"/>
  <c r="I3859" i="5"/>
  <c r="G3853" i="5" s="1"/>
  <c r="I2379" i="5"/>
  <c r="G2373" i="5" s="1"/>
  <c r="I2357" i="5"/>
  <c r="G2354" i="5" s="1"/>
  <c r="I4237" i="5"/>
  <c r="I3379" i="5"/>
  <c r="G3373" i="5" s="1"/>
  <c r="I3207" i="5"/>
  <c r="G3199" i="5" s="1"/>
  <c r="I4297" i="5"/>
  <c r="G4294" i="5" s="1"/>
  <c r="I2449" i="5"/>
  <c r="G2446" i="5" s="1"/>
  <c r="I2844" i="5"/>
  <c r="I2583" i="5"/>
  <c r="G2580" i="5" s="1"/>
  <c r="I2367" i="5"/>
  <c r="G2363" i="5" s="1"/>
  <c r="I2362" i="5"/>
  <c r="G2358" i="5" s="1"/>
  <c r="I2861" i="5"/>
  <c r="G2858" i="5" s="1"/>
  <c r="I4457" i="5"/>
  <c r="I5239" i="5"/>
  <c r="I4561" i="5"/>
  <c r="G4554" i="5" s="1"/>
  <c r="I4445" i="5"/>
  <c r="I3180" i="5"/>
  <c r="G3172" i="5" s="1"/>
  <c r="I3215" i="5"/>
  <c r="G3208" i="5" s="1"/>
  <c r="I2209" i="5"/>
  <c r="I4331" i="5"/>
  <c r="G4325" i="5" s="1"/>
  <c r="I3895" i="5"/>
  <c r="G3893" i="5" s="1"/>
  <c r="I4442" i="5"/>
  <c r="I2443" i="5"/>
  <c r="G2440" i="5" s="1"/>
  <c r="I4374" i="5"/>
  <c r="I3198" i="5"/>
  <c r="G3190" i="5" s="1"/>
  <c r="I3138" i="5"/>
  <c r="G3131" i="5" s="1"/>
  <c r="I3368" i="5"/>
  <c r="G3365" i="5" s="1"/>
  <c r="I3892" i="5"/>
  <c r="G3884" i="5" s="1"/>
  <c r="I3944" i="5"/>
  <c r="G3936" i="5" s="1"/>
  <c r="I5091" i="5"/>
  <c r="I3356" i="5"/>
  <c r="G3353" i="5" s="1"/>
  <c r="I3979" i="5"/>
  <c r="G3974" i="5" s="1"/>
  <c r="I3273" i="5"/>
  <c r="G3266" i="5" s="1"/>
  <c r="I4752" i="5"/>
  <c r="G4750" i="5" s="1"/>
  <c r="I2579" i="5"/>
  <c r="G2575" i="5" s="1"/>
  <c r="I5473" i="5"/>
  <c r="G5471" i="5" s="1"/>
  <c r="I4463" i="5"/>
  <c r="I3915" i="5"/>
  <c r="G3905" i="5" s="1"/>
  <c r="I3926" i="5"/>
  <c r="G3916" i="5" s="1"/>
  <c r="I2396" i="5"/>
  <c r="G2391" i="5" s="1"/>
  <c r="I4140" i="5"/>
  <c r="I5085" i="5"/>
  <c r="I5467" i="5"/>
  <c r="G5465" i="5" s="1"/>
  <c r="I4293" i="5"/>
  <c r="G4290" i="5" s="1"/>
  <c r="I2383" i="5"/>
  <c r="G2380" i="5" s="1"/>
  <c r="I3973" i="5"/>
  <c r="G3963" i="5" s="1"/>
  <c r="I2466" i="5"/>
  <c r="G2461" i="5" s="1"/>
  <c r="I4222" i="5"/>
  <c r="G4217" i="5" s="1"/>
  <c r="I3987" i="5"/>
  <c r="G3980" i="5" s="1"/>
  <c r="I4480" i="5"/>
  <c r="I4475" i="5"/>
  <c r="I2408" i="5"/>
  <c r="G2403" i="5" s="1"/>
  <c r="I2472" i="5"/>
  <c r="G2467" i="5" s="1"/>
  <c r="I3154" i="5"/>
  <c r="G3147" i="5" s="1"/>
  <c r="I4131" i="5"/>
  <c r="I4197" i="5"/>
  <c r="I2877" i="5"/>
  <c r="G2872" i="5" s="1"/>
  <c r="I5086" i="5"/>
  <c r="I5461" i="5"/>
  <c r="G5459" i="5" s="1"/>
  <c r="I4441" i="5"/>
  <c r="I3352" i="5"/>
  <c r="G3349" i="5" s="1"/>
  <c r="I4303" i="5"/>
  <c r="I5092" i="5"/>
  <c r="I4864" i="5"/>
  <c r="I3874" i="5"/>
  <c r="G3867" i="5" s="1"/>
  <c r="I4184" i="5"/>
  <c r="G4178" i="5" s="1"/>
  <c r="I2837" i="5"/>
  <c r="G2832" i="5" s="1"/>
  <c r="I3866" i="5"/>
  <c r="G3860" i="5" s="1"/>
  <c r="I4339" i="5"/>
  <c r="G4333" i="5" s="1"/>
  <c r="I4353" i="5"/>
  <c r="G4349" i="5" s="1"/>
  <c r="I4404" i="5"/>
  <c r="G4398" i="5" s="1"/>
  <c r="I4759" i="5"/>
  <c r="I3360" i="5"/>
  <c r="G3357" i="5" s="1"/>
  <c r="I4008" i="5"/>
  <c r="G4005" i="5" s="1"/>
  <c r="I4289" i="5"/>
  <c r="I5464" i="5"/>
  <c r="G5462" i="5" s="1"/>
  <c r="I4882" i="5"/>
  <c r="I3146" i="5"/>
  <c r="G3139" i="5" s="1"/>
  <c r="I2217" i="5"/>
  <c r="I2390" i="5"/>
  <c r="G2384" i="5" s="1"/>
  <c r="I4855" i="5"/>
  <c r="I5081" i="5"/>
  <c r="I2455" i="5"/>
  <c r="G2450" i="5" s="1"/>
  <c r="I4241" i="5"/>
  <c r="I3898" i="5"/>
  <c r="G3896" i="5" s="1"/>
  <c r="I2421" i="5"/>
  <c r="G2416" i="5" s="1"/>
  <c r="I3372" i="5"/>
  <c r="G3369" i="5" s="1"/>
  <c r="I2941" i="5"/>
  <c r="G2938" i="5" s="1"/>
  <c r="I2866" i="5"/>
  <c r="I3239" i="5"/>
  <c r="G3232" i="5" s="1"/>
  <c r="I4136" i="5"/>
  <c r="I2992" i="5"/>
  <c r="I2372" i="5"/>
  <c r="G2368" i="5" s="1"/>
  <c r="I3278" i="5"/>
  <c r="G3274" i="5" s="1"/>
  <c r="I4121" i="5"/>
  <c r="I2478" i="5"/>
  <c r="G2473" i="5" s="1"/>
  <c r="I2213" i="5"/>
  <c r="I2871" i="5"/>
  <c r="G2867" i="5" s="1"/>
  <c r="I2917" i="5"/>
  <c r="G2914" i="5" s="1"/>
  <c r="I4871" i="5"/>
  <c r="I2415" i="5"/>
  <c r="G2409" i="5" s="1"/>
  <c r="I4766" i="5"/>
  <c r="I4438" i="5"/>
  <c r="I5470" i="5"/>
  <c r="G5468" i="5" s="1"/>
  <c r="I4323" i="5"/>
  <c r="G4317" i="5" s="1"/>
  <c r="I3189" i="5"/>
  <c r="G3181" i="5" s="1"/>
  <c r="I3385" i="5"/>
  <c r="G3380" i="5" s="1"/>
  <c r="I4300" i="5"/>
  <c r="G4298" i="5" s="1"/>
  <c r="I4397" i="5"/>
  <c r="G4391" i="5" s="1"/>
  <c r="I3006" i="5"/>
  <c r="I4369" i="5"/>
  <c r="I4232" i="5"/>
  <c r="I2999" i="5"/>
  <c r="I4359" i="5"/>
  <c r="G4355" i="5" s="1"/>
  <c r="I4315" i="5"/>
  <c r="G4309" i="5" s="1"/>
  <c r="I3364" i="5"/>
  <c r="G3361" i="5" s="1"/>
  <c r="I2597" i="5"/>
  <c r="G2592" i="5" s="1"/>
  <c r="I3337" i="5"/>
  <c r="G3329" i="5" s="1"/>
  <c r="G409" i="5"/>
  <c r="I102" i="5"/>
  <c r="I45" i="5"/>
  <c r="I62" i="5"/>
  <c r="I74" i="5"/>
  <c r="I98" i="5"/>
  <c r="I1889" i="5"/>
  <c r="G1883" i="5" s="1"/>
  <c r="I501" i="5"/>
  <c r="G498" i="5" s="1"/>
  <c r="I209" i="5"/>
  <c r="I8" i="5"/>
  <c r="I187" i="5"/>
  <c r="I9" i="5"/>
  <c r="I48" i="5"/>
  <c r="I894" i="5"/>
  <c r="I261" i="5"/>
  <c r="I534" i="5"/>
  <c r="I1163" i="5"/>
  <c r="I97" i="5"/>
  <c r="I373" i="5"/>
  <c r="G372" i="5" s="1"/>
  <c r="I533" i="5"/>
  <c r="I985" i="5"/>
  <c r="I36" i="5"/>
  <c r="I41" i="5"/>
  <c r="I4273" i="5"/>
  <c r="G4270" i="5" s="1"/>
  <c r="I512" i="5"/>
  <c r="I365" i="5"/>
  <c r="G361" i="5" s="1"/>
  <c r="I12" i="5"/>
  <c r="I371" i="5"/>
  <c r="G366" i="5" s="1"/>
  <c r="I1413" i="5"/>
  <c r="G1407" i="5" s="1"/>
  <c r="G1161" i="5" s="1"/>
  <c r="I1311" i="5"/>
  <c r="I428" i="5"/>
  <c r="G424" i="5" s="1"/>
  <c r="I32" i="5"/>
  <c r="I352" i="5"/>
  <c r="I63" i="5"/>
  <c r="I381" i="5"/>
  <c r="G376" i="5" s="1"/>
  <c r="I1328" i="5"/>
  <c r="I509" i="5"/>
  <c r="G505" i="5" s="1"/>
  <c r="I907" i="5"/>
  <c r="I96" i="5"/>
  <c r="I445" i="5"/>
  <c r="I517" i="5"/>
  <c r="I55" i="5"/>
  <c r="I106" i="5"/>
  <c r="I296" i="5"/>
  <c r="I504" i="5"/>
  <c r="G502" i="5" s="1"/>
  <c r="I666" i="5"/>
  <c r="G3320" i="5"/>
  <c r="I3320" i="5" s="1"/>
  <c r="G3321" i="5" s="1"/>
  <c r="G1250" i="5"/>
  <c r="I1250" i="5" s="1"/>
  <c r="G1251" i="5" s="1"/>
  <c r="G806" i="5"/>
  <c r="I806" i="5" s="1"/>
  <c r="G807" i="5" s="1"/>
  <c r="G1353" i="5"/>
  <c r="I1353" i="5" s="1"/>
  <c r="G1354" i="5" s="1"/>
  <c r="G3661" i="5"/>
  <c r="I3661" i="5" s="1"/>
  <c r="G3662" i="5" s="1"/>
  <c r="G3548" i="5"/>
  <c r="I3548" i="5" s="1"/>
  <c r="G3549" i="5" s="1"/>
  <c r="G3629" i="5"/>
  <c r="I3629" i="5" s="1"/>
  <c r="G3630" i="5" s="1"/>
  <c r="G4783" i="5"/>
  <c r="I4783" i="5" s="1"/>
  <c r="G4784" i="5" s="1"/>
  <c r="G4549" i="5"/>
  <c r="I4549" i="5" s="1"/>
  <c r="G4550" i="5" s="1"/>
  <c r="G832" i="5"/>
  <c r="I832" i="5" s="1"/>
  <c r="G833" i="5" s="1"/>
  <c r="G541" i="5"/>
  <c r="I541" i="5" s="1"/>
  <c r="G542" i="5" s="1"/>
  <c r="G1432" i="5"/>
  <c r="I1432" i="5" s="1"/>
  <c r="G1433" i="5" s="1"/>
  <c r="G4002" i="5"/>
  <c r="I4002" i="5" s="1"/>
  <c r="G4004" i="5" s="1"/>
  <c r="G559" i="5"/>
  <c r="I559" i="5" s="1"/>
  <c r="G560" i="5" s="1"/>
  <c r="G3933" i="5"/>
  <c r="I3933" i="5" s="1"/>
  <c r="G3935" i="5" s="1"/>
  <c r="G3881" i="5"/>
  <c r="I3881" i="5" s="1"/>
  <c r="G3883" i="5" s="1"/>
  <c r="G4797" i="5"/>
  <c r="I4797" i="5" s="1"/>
  <c r="G4798" i="5" s="1"/>
  <c r="G869" i="5"/>
  <c r="I869" i="5" s="1"/>
  <c r="G870" i="5" s="1"/>
  <c r="G313" i="5"/>
  <c r="I313" i="5" s="1"/>
  <c r="G314" i="5" s="1"/>
  <c r="G132" i="5"/>
  <c r="I132" i="5" s="1"/>
  <c r="G134" i="5" s="1"/>
  <c r="G4893" i="5"/>
  <c r="I4893" i="5" s="1"/>
  <c r="G4894" i="5" s="1"/>
  <c r="G1472" i="5"/>
  <c r="I1472" i="5" s="1"/>
  <c r="G1473" i="5" s="1"/>
  <c r="G4962" i="5"/>
  <c r="I4962" i="5" s="1"/>
  <c r="G4961" i="5" s="1"/>
  <c r="G4388" i="5"/>
  <c r="I4388" i="5" s="1"/>
  <c r="G4389" i="5" s="1"/>
  <c r="G5008" i="5"/>
  <c r="I5008" i="5" s="1"/>
  <c r="G5009" i="5" s="1"/>
  <c r="G4993" i="5"/>
  <c r="I4993" i="5" s="1"/>
  <c r="G4994" i="5" s="1"/>
  <c r="G794" i="5"/>
  <c r="I794" i="5" s="1"/>
  <c r="G795" i="5" s="1"/>
  <c r="G744" i="5"/>
  <c r="I744" i="5" s="1"/>
  <c r="G745" i="5" s="1"/>
  <c r="G4187" i="5"/>
  <c r="I4187" i="5" s="1"/>
  <c r="G4188" i="5" s="1"/>
  <c r="G1063" i="5"/>
  <c r="I1063" i="5" s="1"/>
  <c r="G1064" i="5" s="1"/>
  <c r="G262" i="5"/>
  <c r="I262" i="5" s="1"/>
  <c r="G264" i="5" s="1"/>
  <c r="G4950" i="5"/>
  <c r="I4950" i="5" s="1"/>
  <c r="G4951" i="5" s="1"/>
  <c r="G465" i="5"/>
  <c r="I465" i="5" s="1"/>
  <c r="G466" i="5" s="1"/>
  <c r="G568" i="5"/>
  <c r="I568" i="5" s="1"/>
  <c r="G569" i="5" s="1"/>
  <c r="G4497" i="5"/>
  <c r="I4497" i="5" s="1"/>
  <c r="G4498" i="5" s="1"/>
  <c r="G236" i="5"/>
  <c r="I236" i="5" s="1"/>
  <c r="G238" i="5" s="1"/>
  <c r="G392" i="5"/>
  <c r="I392" i="5" s="1"/>
  <c r="G393" i="5" s="1"/>
  <c r="G1173" i="5"/>
  <c r="I1173" i="5" s="1"/>
  <c r="G1174" i="5" s="1"/>
  <c r="G4414" i="5"/>
  <c r="I4414" i="5" s="1"/>
  <c r="G4415" i="5" s="1"/>
  <c r="G1443" i="5"/>
  <c r="I1443" i="5" s="1"/>
  <c r="G1444" i="5" s="1"/>
  <c r="G448" i="5"/>
  <c r="I448" i="5" s="1"/>
  <c r="G449" i="5" s="1"/>
  <c r="G550" i="5"/>
  <c r="I550" i="5" s="1"/>
  <c r="G551" i="5" s="1"/>
  <c r="G5073" i="5"/>
  <c r="I5073" i="5" s="1"/>
  <c r="G1451" i="5"/>
  <c r="I1451" i="5" s="1"/>
  <c r="G3572" i="5"/>
  <c r="I3572" i="5" s="1"/>
  <c r="G3574" i="5" s="1"/>
  <c r="G1153" i="5"/>
  <c r="I1153" i="5" s="1"/>
  <c r="G1154" i="5" s="1"/>
  <c r="G3689" i="5"/>
  <c r="I3689" i="5" s="1"/>
  <c r="G3690" i="5" s="1"/>
  <c r="G3657" i="5"/>
  <c r="I3657" i="5" s="1"/>
  <c r="G3658" i="5" s="1"/>
  <c r="G998" i="5"/>
  <c r="I998" i="5" s="1"/>
  <c r="G1000" i="5" s="1"/>
  <c r="G3699" i="5"/>
  <c r="I3699" i="5" s="1"/>
  <c r="G3700" i="5" s="1"/>
  <c r="G1359" i="5"/>
  <c r="I1359" i="5" s="1"/>
  <c r="G1360" i="5" s="1"/>
  <c r="G2157" i="5"/>
  <c r="I2157" i="5" s="1"/>
  <c r="G2158" i="5" s="1"/>
  <c r="G3543" i="5"/>
  <c r="I3543" i="5" s="1"/>
  <c r="G3544" i="5" s="1"/>
  <c r="G1880" i="5"/>
  <c r="I1880" i="5" s="1"/>
  <c r="G1882" i="5" s="1"/>
  <c r="G3624" i="5"/>
  <c r="I3624" i="5" s="1"/>
  <c r="G3625" i="5" s="1"/>
  <c r="G4224" i="5"/>
  <c r="I4224" i="5" s="1"/>
  <c r="G4225" i="5" s="1"/>
  <c r="G3669" i="5"/>
  <c r="I3669" i="5" s="1"/>
  <c r="G3670" i="5" s="1"/>
  <c r="G519" i="5"/>
  <c r="I519" i="5" s="1"/>
  <c r="G521" i="5" s="1"/>
  <c r="G3528" i="5"/>
  <c r="I3528" i="5" s="1"/>
  <c r="G3529" i="5" s="1"/>
  <c r="G1271" i="5"/>
  <c r="I1271" i="5" s="1"/>
  <c r="G1273" i="5" s="1"/>
  <c r="G3694" i="5"/>
  <c r="I3694" i="5" s="1"/>
  <c r="G3695" i="5" s="1"/>
  <c r="G1080" i="5"/>
  <c r="I1080" i="5" s="1"/>
  <c r="G1081" i="5" s="1"/>
  <c r="G930" i="5"/>
  <c r="I930" i="5" s="1"/>
  <c r="G931" i="5" s="1"/>
  <c r="G4970" i="5"/>
  <c r="I4970" i="5" s="1"/>
  <c r="G4971" i="5" s="1"/>
  <c r="G1283" i="5"/>
  <c r="I1283" i="5" s="1"/>
  <c r="G1285" i="5" s="1"/>
  <c r="G3343" i="5"/>
  <c r="I3343" i="5" s="1"/>
  <c r="G3344" i="5" s="1"/>
  <c r="G3653" i="5"/>
  <c r="I3653" i="5" s="1"/>
  <c r="G3654" i="5" s="1"/>
  <c r="G683" i="5"/>
  <c r="I683" i="5" s="1"/>
  <c r="G684" i="5" s="1"/>
  <c r="G4977" i="5"/>
  <c r="I4977" i="5" s="1"/>
  <c r="G4972" i="5" s="1"/>
  <c r="G3649" i="5"/>
  <c r="I3649" i="5" s="1"/>
  <c r="G3650" i="5" s="1"/>
  <c r="G4928" i="5"/>
  <c r="I4928" i="5" s="1"/>
  <c r="G4926" i="5" s="1"/>
  <c r="G1044" i="5"/>
  <c r="I1044" i="5" s="1"/>
  <c r="G1045" i="5" s="1"/>
  <c r="G3709" i="5"/>
  <c r="I3709" i="5" s="1"/>
  <c r="G3710" i="5" s="1"/>
  <c r="G4411" i="5"/>
  <c r="I4411" i="5" s="1"/>
  <c r="G4412" i="5" s="1"/>
  <c r="G3679" i="5"/>
  <c r="I3679" i="5" s="1"/>
  <c r="G3680" i="5" s="1"/>
  <c r="G152" i="5"/>
  <c r="I152" i="5" s="1"/>
  <c r="G153" i="5" s="1"/>
  <c r="G1106" i="5"/>
  <c r="I1106" i="5" s="1"/>
  <c r="G1107" i="5" s="1"/>
  <c r="G353" i="5"/>
  <c r="I353" i="5" s="1"/>
  <c r="G354" i="5" s="1"/>
  <c r="G4738" i="5"/>
  <c r="I4738" i="5" s="1"/>
  <c r="G4740" i="5" s="1"/>
  <c r="G4644" i="5"/>
  <c r="I4644" i="5" s="1"/>
  <c r="G4645" i="5" s="1"/>
  <c r="G126" i="5"/>
  <c r="I126" i="5" s="1"/>
  <c r="G128" i="5" s="1"/>
  <c r="G2779" i="5"/>
  <c r="I2779" i="5" s="1"/>
  <c r="G2780" i="5" s="1"/>
  <c r="G523" i="5"/>
  <c r="I523" i="5" s="1"/>
  <c r="G524" i="5" s="1"/>
  <c r="G4504" i="5"/>
  <c r="I4504" i="5" s="1"/>
  <c r="G4505" i="5" s="1"/>
  <c r="G1841" i="5"/>
  <c r="I1841" i="5" s="1"/>
  <c r="G1842" i="5" s="1"/>
  <c r="G3596" i="5"/>
  <c r="I3596" i="5" s="1"/>
  <c r="G3597" i="5" s="1"/>
  <c r="G1208" i="5"/>
  <c r="I1208" i="5" s="1"/>
  <c r="G1209" i="5" s="1"/>
  <c r="G254" i="5"/>
  <c r="I254" i="5" s="1"/>
  <c r="G256" i="5" s="1"/>
  <c r="G180" i="5"/>
  <c r="I180" i="5" s="1"/>
  <c r="G181" i="5" s="1"/>
  <c r="G156" i="5"/>
  <c r="I156" i="5" s="1"/>
  <c r="G157" i="5" s="1"/>
  <c r="G1487" i="5"/>
  <c r="I1487" i="5" s="1"/>
  <c r="G1488" i="5" s="1"/>
  <c r="G4943" i="5"/>
  <c r="I4943" i="5" s="1"/>
  <c r="G4937" i="5" s="1"/>
  <c r="G19" i="5"/>
  <c r="I19" i="5" s="1"/>
  <c r="G20" i="5" s="1"/>
  <c r="G953" i="5"/>
  <c r="I953" i="5" s="1"/>
  <c r="G954" i="5" s="1"/>
  <c r="G4593" i="5"/>
  <c r="I4593" i="5" s="1"/>
  <c r="G4595" i="5" s="1"/>
  <c r="G4572" i="5"/>
  <c r="I4572" i="5" s="1"/>
  <c r="G4573" i="5" s="1"/>
  <c r="G4769" i="5"/>
  <c r="I4769" i="5" s="1"/>
  <c r="G4770" i="5" s="1"/>
  <c r="G756" i="5"/>
  <c r="I756" i="5" s="1"/>
  <c r="G757" i="5" s="1"/>
  <c r="G4490" i="5"/>
  <c r="I4490" i="5" s="1"/>
  <c r="G4491" i="5" s="1"/>
  <c r="G4087" i="5"/>
  <c r="I4087" i="5" s="1"/>
  <c r="G4088" i="5" s="1"/>
  <c r="G120" i="5"/>
  <c r="I120" i="5" s="1"/>
  <c r="G121" i="5" s="1"/>
  <c r="G4902" i="5"/>
  <c r="I4902" i="5" s="1"/>
  <c r="G4905" i="5" s="1"/>
  <c r="G4816" i="5"/>
  <c r="I4816" i="5" s="1"/>
  <c r="G4817" i="5" s="1"/>
  <c r="G116" i="5"/>
  <c r="I116" i="5" s="1"/>
  <c r="G118" i="5" s="1"/>
  <c r="G3608" i="5"/>
  <c r="I3608" i="5" s="1"/>
  <c r="G3610" i="5" s="1"/>
  <c r="G305" i="5"/>
  <c r="I305" i="5" s="1"/>
  <c r="G302" i="5" s="1"/>
  <c r="G168" i="5"/>
  <c r="I168" i="5" s="1"/>
  <c r="G169" i="5" s="1"/>
  <c r="G4589" i="5"/>
  <c r="I4589" i="5" s="1"/>
  <c r="G4590" i="5" s="1"/>
  <c r="G173" i="5"/>
  <c r="I173" i="5" s="1"/>
  <c r="G175" i="5" s="1"/>
  <c r="G1423" i="5"/>
  <c r="I1423" i="5" s="1"/>
  <c r="G1424" i="5" s="1"/>
  <c r="G4687" i="5"/>
  <c r="I4687" i="5" s="1"/>
  <c r="G4688" i="5" s="1"/>
  <c r="G3590" i="5"/>
  <c r="I3590" i="5" s="1"/>
  <c r="G3592" i="5" s="1"/>
  <c r="G275" i="5"/>
  <c r="I275" i="5" s="1"/>
  <c r="G277" i="5" s="1"/>
  <c r="G15" i="5"/>
  <c r="I15" i="5" s="1"/>
  <c r="G17" i="5" s="1"/>
  <c r="G861" i="5"/>
  <c r="I861" i="5" s="1"/>
  <c r="G862" i="5" s="1"/>
  <c r="G2911" i="5"/>
  <c r="I2911" i="5" s="1"/>
  <c r="G2912" i="5" s="1"/>
  <c r="G769" i="5"/>
  <c r="I769" i="5" s="1"/>
  <c r="G770" i="5" s="1"/>
  <c r="G4599" i="5"/>
  <c r="I4599" i="5" s="1"/>
  <c r="G4600" i="5" s="1"/>
  <c r="G4860" i="5"/>
  <c r="I4860" i="5" s="1"/>
  <c r="G4861" i="5" s="1"/>
  <c r="G282" i="5"/>
  <c r="I282" i="5" s="1"/>
  <c r="G284" i="5" s="1"/>
  <c r="G692" i="5"/>
  <c r="I692" i="5" s="1"/>
  <c r="G693" i="5" s="1"/>
  <c r="G112" i="5"/>
  <c r="I112" i="5" s="1"/>
  <c r="G114" i="5" s="1"/>
  <c r="G1260" i="5"/>
  <c r="I1260" i="5" s="1"/>
  <c r="G1261" i="5" s="1"/>
  <c r="G528" i="5"/>
  <c r="I528" i="5" s="1"/>
  <c r="G529" i="5" s="1"/>
  <c r="G3639" i="5"/>
  <c r="I3639" i="5" s="1"/>
  <c r="G3640" i="5" s="1"/>
  <c r="G1509" i="5"/>
  <c r="I1509" i="5" s="1"/>
  <c r="G1510" i="5" s="1"/>
  <c r="G145" i="5"/>
  <c r="I145" i="5" s="1"/>
  <c r="G147" i="5" s="1"/>
  <c r="G1794" i="5"/>
  <c r="I1794" i="5" s="1"/>
  <c r="G1795" i="5" s="1"/>
  <c r="G1986" i="5"/>
  <c r="I1986" i="5" s="1"/>
  <c r="G1988" i="5" s="1"/>
  <c r="G87" i="5"/>
  <c r="I87" i="5" s="1"/>
  <c r="G88" i="5" s="1"/>
  <c r="G1498" i="5"/>
  <c r="I1498" i="5" s="1"/>
  <c r="G1499" i="5" s="1"/>
  <c r="G971" i="5"/>
  <c r="I971" i="5" s="1"/>
  <c r="G972" i="5" s="1"/>
  <c r="G712" i="5"/>
  <c r="I712" i="5" s="1"/>
  <c r="G713" i="5" s="1"/>
  <c r="G1476" i="5"/>
  <c r="I1476" i="5" s="1"/>
  <c r="G1477" i="5" s="1"/>
  <c r="G4203" i="5"/>
  <c r="I4203" i="5" s="1"/>
  <c r="G4204" i="5" s="1"/>
  <c r="G880" i="5"/>
  <c r="I880" i="5" s="1"/>
  <c r="G881" i="5" s="1"/>
  <c r="G328" i="5"/>
  <c r="I328" i="5" s="1"/>
  <c r="G329" i="5" s="1"/>
  <c r="G3566" i="5"/>
  <c r="I3566" i="5" s="1"/>
  <c r="G3568" i="5" s="1"/>
  <c r="G4096" i="5"/>
  <c r="I4096" i="5" s="1"/>
  <c r="G4097" i="5" s="1"/>
  <c r="G82" i="5"/>
  <c r="I82" i="5" s="1"/>
  <c r="G85" i="5" s="1"/>
  <c r="G198" i="5"/>
  <c r="I198" i="5" s="1"/>
  <c r="G200" i="5" s="1"/>
  <c r="G4249" i="5"/>
  <c r="I4249" i="5" s="1"/>
  <c r="G4250" i="5" s="1"/>
  <c r="G4072" i="5"/>
  <c r="I4072" i="5" s="1"/>
  <c r="G4073" i="5" s="1"/>
  <c r="G1859" i="5"/>
  <c r="I1859" i="5" s="1"/>
  <c r="G1862" i="5" s="1"/>
  <c r="G942" i="5"/>
  <c r="I942" i="5" s="1"/>
  <c r="G943" i="5" s="1"/>
  <c r="G91" i="5"/>
  <c r="I91" i="5" s="1"/>
  <c r="G92" i="5" s="1"/>
  <c r="G656" i="5"/>
  <c r="I656" i="5" s="1"/>
  <c r="G657" i="5" s="1"/>
  <c r="G4211" i="5"/>
  <c r="I4211" i="5" s="1"/>
  <c r="G4215" i="5" s="1"/>
  <c r="G3602" i="5"/>
  <c r="I3602" i="5" s="1"/>
  <c r="G3604" i="5" s="1"/>
  <c r="G268" i="5"/>
  <c r="I268" i="5" s="1"/>
  <c r="G269" i="5" s="1"/>
  <c r="G721" i="5"/>
  <c r="I721" i="5" s="1"/>
  <c r="G722" i="5" s="1"/>
  <c r="G4920" i="5"/>
  <c r="I4920" i="5" s="1"/>
  <c r="G4917" i="5" s="1"/>
  <c r="G4537" i="5"/>
  <c r="I4537" i="5" s="1"/>
  <c r="G4540" i="5" s="1"/>
  <c r="G1457" i="5"/>
  <c r="I1457" i="5" s="1"/>
  <c r="G1458" i="5" s="1"/>
  <c r="G192" i="5"/>
  <c r="I192" i="5" s="1"/>
  <c r="G196" i="5" s="1"/>
  <c r="G5416" i="5"/>
  <c r="I5416" i="5" s="1"/>
  <c r="G5417" i="5" s="1"/>
  <c r="G4747" i="5"/>
  <c r="I4747" i="5" s="1"/>
  <c r="G4749" i="5" s="1"/>
  <c r="G1097" i="5"/>
  <c r="I1097" i="5" s="1"/>
  <c r="G1098" i="5" s="1"/>
  <c r="G4190" i="5"/>
  <c r="I4190" i="5" s="1"/>
  <c r="G4191" i="5" s="1"/>
  <c r="G1825" i="5"/>
  <c r="I1825" i="5" s="1"/>
  <c r="G1827" i="5" s="1"/>
  <c r="G4078" i="5"/>
  <c r="I4078" i="5" s="1"/>
  <c r="G4079" i="5" s="1"/>
  <c r="G2168" i="5"/>
  <c r="I2168" i="5" s="1"/>
  <c r="G2169" i="5" s="1"/>
  <c r="G4744" i="5"/>
  <c r="I4744" i="5" s="1"/>
  <c r="G4745" i="5" s="1"/>
  <c r="G1146" i="5"/>
  <c r="I1146" i="5" s="1"/>
  <c r="G1147" i="5" s="1"/>
  <c r="G359" i="5"/>
  <c r="I359" i="5" s="1"/>
  <c r="G360" i="5" s="1"/>
  <c r="G1128" i="5"/>
  <c r="I1128" i="5" s="1"/>
  <c r="G1129" i="5" s="1"/>
  <c r="G4468" i="5"/>
  <c r="I4468" i="5" s="1"/>
  <c r="G4469" i="5" s="1"/>
  <c r="G3584" i="5"/>
  <c r="I3584" i="5" s="1"/>
  <c r="G3585" i="5" s="1"/>
  <c r="G77" i="5"/>
  <c r="I77" i="5" s="1"/>
  <c r="G79" i="5" s="1"/>
  <c r="G1811" i="5"/>
  <c r="I1811" i="5" s="1"/>
  <c r="G1812" i="5" s="1"/>
  <c r="G781" i="5"/>
  <c r="I781" i="5" s="1"/>
  <c r="G782" i="5" s="1"/>
  <c r="G4898" i="5"/>
  <c r="I4898" i="5" s="1"/>
  <c r="G4899" i="5" s="1"/>
  <c r="G478" i="5"/>
  <c r="I478" i="5" s="1"/>
  <c r="G479" i="5" s="1"/>
  <c r="G1463" i="5"/>
  <c r="I1463" i="5" s="1"/>
  <c r="G1464" i="5" s="1"/>
  <c r="G4532" i="5"/>
  <c r="I4532" i="5" s="1"/>
  <c r="G4535" i="5" s="1"/>
  <c r="G138" i="5"/>
  <c r="I138" i="5" s="1"/>
  <c r="G143" i="5" s="1"/>
  <c r="G3578" i="5"/>
  <c r="I3578" i="5" s="1"/>
  <c r="G3579" i="5" s="1"/>
  <c r="G962" i="5"/>
  <c r="I962" i="5" s="1"/>
  <c r="G963" i="5" s="1"/>
  <c r="G471" i="5"/>
  <c r="I471" i="5" s="1"/>
  <c r="G472" i="5" s="1"/>
  <c r="G321" i="5"/>
  <c r="I321" i="5" s="1"/>
  <c r="G318" i="5" s="1"/>
  <c r="G2245" i="5"/>
  <c r="I2245" i="5" s="1"/>
  <c r="G2247" i="5" s="1"/>
  <c r="G162" i="5"/>
  <c r="I162" i="5" s="1"/>
  <c r="G164" i="5" s="1"/>
  <c r="G4836" i="5"/>
  <c r="I4836" i="5" s="1"/>
  <c r="G4837" i="5" s="1"/>
  <c r="G649" i="5"/>
  <c r="I649" i="5" s="1"/>
  <c r="G650" i="5" s="1"/>
  <c r="G579" i="5"/>
  <c r="I579" i="5" s="1"/>
  <c r="G580" i="5" s="1"/>
  <c r="G5052" i="5"/>
  <c r="I5052" i="5" s="1"/>
  <c r="G5054" i="5" s="1"/>
  <c r="G1199" i="5"/>
  <c r="I1199" i="5" s="1"/>
  <c r="G1200" i="5" s="1"/>
  <c r="G5422" i="5"/>
  <c r="G5421" i="5"/>
  <c r="E10" i="4"/>
  <c r="G5525" i="5" s="1"/>
  <c r="I5525" i="5" s="1"/>
  <c r="G5528" i="5" s="1"/>
  <c r="I5528" i="5" s="1"/>
  <c r="G1186" i="5"/>
  <c r="I1186" i="5" s="1"/>
  <c r="G1187" i="5" s="1"/>
  <c r="G1012" i="5"/>
  <c r="I1012" i="5" s="1"/>
  <c r="G1013" i="5" s="1"/>
  <c r="G3538" i="5"/>
  <c r="I3538" i="5" s="1"/>
  <c r="G3539" i="5" s="1"/>
  <c r="G3704" i="5"/>
  <c r="I3704" i="5" s="1"/>
  <c r="G3554" i="5"/>
  <c r="I3554" i="5" s="1"/>
  <c r="G5401" i="5"/>
  <c r="I5401" i="5" s="1"/>
  <c r="G5396" i="5" s="1"/>
  <c r="G4033" i="5"/>
  <c r="I4033" i="5" s="1"/>
  <c r="G4034" i="5" s="1"/>
  <c r="G2115" i="5"/>
  <c r="I2115" i="5" s="1"/>
  <c r="G2117" i="5" s="1"/>
  <c r="G1055" i="5"/>
  <c r="I1055" i="5" s="1"/>
  <c r="G1056" i="5" s="1"/>
  <c r="G3523" i="5"/>
  <c r="I3523" i="5" s="1"/>
  <c r="G3524" i="5" s="1"/>
  <c r="G1295" i="5"/>
  <c r="I1295" i="5" s="1"/>
  <c r="G1296" i="5" s="1"/>
  <c r="I430" i="5"/>
  <c r="G431" i="5" s="1"/>
  <c r="I228" i="5"/>
  <c r="G227" i="5" s="1"/>
  <c r="G5513" i="5"/>
  <c r="I5513" i="5" s="1"/>
  <c r="G5516" i="5" s="1"/>
  <c r="G5522" i="5"/>
  <c r="G5521" i="5"/>
  <c r="G5498" i="5"/>
  <c r="I5498" i="5" s="1"/>
  <c r="G5505" i="5"/>
  <c r="I5505" i="5" s="1"/>
  <c r="G5491" i="5"/>
  <c r="I5491" i="5" s="1"/>
  <c r="G5238" i="5"/>
  <c r="G4236" i="5"/>
  <c r="G5453" i="5"/>
  <c r="I5453" i="5" s="1"/>
  <c r="G5449" i="5"/>
  <c r="I5449" i="5" s="1"/>
  <c r="G5457" i="5"/>
  <c r="G5458" i="5"/>
  <c r="G5041" i="5"/>
  <c r="I5041" i="5" s="1"/>
  <c r="G5042" i="5" s="1"/>
  <c r="I5042" i="5" s="1"/>
  <c r="G5444" i="5"/>
  <c r="I5444" i="5" s="1"/>
  <c r="G5434" i="5"/>
  <c r="I5434" i="5" s="1"/>
  <c r="G5430" i="5"/>
  <c r="I5430" i="5" s="1"/>
  <c r="G5438" i="5"/>
  <c r="I5438" i="5" s="1"/>
  <c r="G5426" i="5"/>
  <c r="I5426" i="5" s="1"/>
  <c r="G5427" i="5" s="1"/>
  <c r="G5156" i="5"/>
  <c r="G5389" i="5"/>
  <c r="I5389" i="5" s="1"/>
  <c r="G5390" i="5" s="1"/>
  <c r="G5360" i="5"/>
  <c r="I5360" i="5" s="1"/>
  <c r="G893" i="5"/>
  <c r="G5373" i="5"/>
  <c r="I5373" i="5" s="1"/>
  <c r="G5374" i="5" s="1"/>
  <c r="G5377" i="5"/>
  <c r="I5377" i="5" s="1"/>
  <c r="G5218" i="5"/>
  <c r="I5218" i="5" s="1"/>
  <c r="G5255" i="5"/>
  <c r="I5255" i="5" s="1"/>
  <c r="G5248" i="5"/>
  <c r="I5248" i="5" s="1"/>
  <c r="G5228" i="5"/>
  <c r="I5228" i="5" s="1"/>
  <c r="G5274" i="5"/>
  <c r="I5274" i="5" s="1"/>
  <c r="G5280" i="5"/>
  <c r="I5280" i="5" s="1"/>
  <c r="G5212" i="5"/>
  <c r="I5212" i="5" s="1"/>
  <c r="G5207" i="5"/>
  <c r="I5207" i="5" s="1"/>
  <c r="G5203" i="5"/>
  <c r="I5203" i="5" s="1"/>
  <c r="G5167" i="5"/>
  <c r="I5167" i="5" s="1"/>
  <c r="G5144" i="5"/>
  <c r="I5144" i="5" s="1"/>
  <c r="G5116" i="5"/>
  <c r="I5116" i="5" s="1"/>
  <c r="G5101" i="5"/>
  <c r="I5101" i="5" s="1"/>
  <c r="G5096" i="5"/>
  <c r="I5096" i="5" s="1"/>
  <c r="G5180" i="5"/>
  <c r="I5180" i="5" s="1"/>
  <c r="I5135" i="5"/>
  <c r="G5130" i="5"/>
  <c r="I5130" i="5" s="1"/>
  <c r="G5126" i="5"/>
  <c r="I5126" i="5" s="1"/>
  <c r="G5121" i="5"/>
  <c r="I5121" i="5" s="1"/>
  <c r="G5112" i="5"/>
  <c r="I5112" i="5" s="1"/>
  <c r="G5172" i="5"/>
  <c r="I5172" i="5" s="1"/>
  <c r="G5174" i="5" s="1"/>
  <c r="G5189" i="5"/>
  <c r="I5189" i="5" s="1"/>
  <c r="G5190" i="5" s="1"/>
  <c r="G5160" i="5"/>
  <c r="I5160" i="5" s="1"/>
  <c r="G5147" i="5"/>
  <c r="I5147" i="5" s="1"/>
  <c r="G5139" i="5"/>
  <c r="I5139" i="5" s="1"/>
  <c r="G5107" i="5"/>
  <c r="I5107" i="5" s="1"/>
  <c r="G5066" i="5"/>
  <c r="I5066" i="5" s="1"/>
  <c r="G2317" i="5"/>
  <c r="I2317" i="5" s="1"/>
  <c r="G3014" i="5"/>
  <c r="I3014" i="5" s="1"/>
  <c r="G3015" i="5" s="1"/>
  <c r="G1975" i="5"/>
  <c r="I1975" i="5" s="1"/>
  <c r="G1976" i="5" s="1"/>
  <c r="G4284" i="5"/>
  <c r="I4284" i="5" s="1"/>
  <c r="G4285" i="5" s="1"/>
  <c r="G3246" i="5"/>
  <c r="I3246" i="5" s="1"/>
  <c r="G3247" i="5" s="1"/>
  <c r="G3080" i="5"/>
  <c r="I3080" i="5" s="1"/>
  <c r="G3081" i="5" s="1"/>
  <c r="G1621" i="5"/>
  <c r="I1621" i="5" s="1"/>
  <c r="G1622" i="5" s="1"/>
  <c r="G855" i="5"/>
  <c r="I855" i="5" s="1"/>
  <c r="G856" i="5" s="1"/>
  <c r="G2004" i="5"/>
  <c r="I2004" i="5" s="1"/>
  <c r="G2005" i="5" s="1"/>
  <c r="G3490" i="5"/>
  <c r="I3490" i="5" s="1"/>
  <c r="G3491" i="5" s="1"/>
  <c r="G1786" i="5"/>
  <c r="I1786" i="5" s="1"/>
  <c r="G1787" i="5" s="1"/>
  <c r="G4026" i="5"/>
  <c r="I4026" i="5" s="1"/>
  <c r="G4027" i="5" s="1"/>
  <c r="G3222" i="5"/>
  <c r="I3222" i="5" s="1"/>
  <c r="G3223" i="5" s="1"/>
  <c r="G4486" i="5"/>
  <c r="I4486" i="5" s="1"/>
  <c r="G4487" i="5" s="1"/>
  <c r="G2181" i="5"/>
  <c r="I2181" i="5" s="1"/>
  <c r="G2683" i="5"/>
  <c r="I2683" i="5" s="1"/>
  <c r="G2684" i="5" s="1"/>
  <c r="G1560" i="5"/>
  <c r="I1560" i="5" s="1"/>
  <c r="G4832" i="5"/>
  <c r="I4832" i="5" s="1"/>
  <c r="G4833" i="5" s="1"/>
  <c r="G1539" i="5"/>
  <c r="I1539" i="5" s="1"/>
  <c r="G1911" i="5"/>
  <c r="I1911" i="5" s="1"/>
  <c r="G1912" i="5" s="1"/>
  <c r="G4419" i="5"/>
  <c r="I4419" i="5" s="1"/>
  <c r="G4420" i="5" s="1"/>
  <c r="G2727" i="5"/>
  <c r="I2727" i="5" s="1"/>
  <c r="G2728" i="5" s="1"/>
  <c r="G2014" i="5"/>
  <c r="I2014" i="5" s="1"/>
  <c r="G2068" i="5"/>
  <c r="I2068" i="5" s="1"/>
  <c r="G4105" i="5"/>
  <c r="I4105" i="5" s="1"/>
  <c r="G3398" i="5"/>
  <c r="I3398" i="5" s="1"/>
  <c r="G3399" i="5" s="1"/>
  <c r="G1226" i="5"/>
  <c r="I1226" i="5" s="1"/>
  <c r="G1227" i="5" s="1"/>
  <c r="G2027" i="5"/>
  <c r="I2027" i="5" s="1"/>
  <c r="G1635" i="5"/>
  <c r="I1635" i="5" s="1"/>
  <c r="G1636" i="5" s="1"/>
  <c r="G2760" i="5"/>
  <c r="I2760" i="5" s="1"/>
  <c r="G4424" i="5"/>
  <c r="I4424" i="5" s="1"/>
  <c r="G4425" i="5" s="1"/>
  <c r="G4581" i="5"/>
  <c r="I4581" i="5" s="1"/>
  <c r="G4582" i="5" s="1"/>
  <c r="G846" i="5"/>
  <c r="I846" i="5" s="1"/>
  <c r="G847" i="5" s="1"/>
  <c r="G3264" i="5"/>
  <c r="I3264" i="5" s="1"/>
  <c r="G3265" i="5" s="1"/>
  <c r="G2231" i="5"/>
  <c r="I2231" i="5" s="1"/>
  <c r="G3117" i="5"/>
  <c r="I3117" i="5" s="1"/>
  <c r="G3115" i="5" s="1"/>
  <c r="G4145" i="5"/>
  <c r="I4145" i="5" s="1"/>
  <c r="G4146" i="5" s="1"/>
  <c r="G1089" i="5"/>
  <c r="I1089" i="5" s="1"/>
  <c r="G1090" i="5" s="1"/>
  <c r="G4011" i="5"/>
  <c r="I4011" i="5" s="1"/>
  <c r="G4012" i="5" s="1"/>
  <c r="G1939" i="5"/>
  <c r="I1939" i="5" s="1"/>
  <c r="G1940" i="5" s="1"/>
  <c r="G1932" i="5"/>
  <c r="I1932" i="5" s="1"/>
  <c r="G1933" i="5" s="1"/>
  <c r="G2197" i="5"/>
  <c r="I2197" i="5" s="1"/>
  <c r="G2198" i="5" s="1"/>
  <c r="G2563" i="5"/>
  <c r="I2563" i="5" s="1"/>
  <c r="G3120" i="5"/>
  <c r="I3120" i="5" s="1"/>
  <c r="G3118" i="5" s="1"/>
  <c r="G2075" i="5"/>
  <c r="I2075" i="5" s="1"/>
  <c r="G2695" i="5"/>
  <c r="I2695" i="5" s="1"/>
  <c r="G2696" i="5" s="1"/>
  <c r="G2252" i="5"/>
  <c r="I2252" i="5" s="1"/>
  <c r="G2253" i="5" s="1"/>
  <c r="G4252" i="5"/>
  <c r="I4252" i="5" s="1"/>
  <c r="G1866" i="5"/>
  <c r="I1866" i="5" s="1"/>
  <c r="G2965" i="5"/>
  <c r="I2965" i="5" s="1"/>
  <c r="G2966" i="5" s="1"/>
  <c r="G4151" i="5"/>
  <c r="I4151" i="5" s="1"/>
  <c r="G4152" i="5" s="1"/>
  <c r="G3111" i="5"/>
  <c r="I3111" i="5" s="1"/>
  <c r="G3109" i="5" s="1"/>
  <c r="G2852" i="5"/>
  <c r="I2852" i="5" s="1"/>
  <c r="G2850" i="5" s="1"/>
  <c r="G701" i="5"/>
  <c r="I701" i="5" s="1"/>
  <c r="G702" i="5" s="1"/>
  <c r="G584" i="5"/>
  <c r="G2352" i="5"/>
  <c r="I2352" i="5" s="1"/>
  <c r="G2353" i="5" s="1"/>
  <c r="G3435" i="5"/>
  <c r="I3435" i="5" s="1"/>
  <c r="G1699" i="5"/>
  <c r="I1699" i="5" s="1"/>
  <c r="G1700" i="5" s="1"/>
  <c r="G2150" i="5"/>
  <c r="I2150" i="5" s="1"/>
  <c r="G2151" i="5" s="1"/>
  <c r="G1736" i="5"/>
  <c r="I1736" i="5" s="1"/>
  <c r="G4060" i="5"/>
  <c r="I4060" i="5" s="1"/>
  <c r="G4061" i="5" s="1"/>
  <c r="G3163" i="5"/>
  <c r="I3163" i="5" s="1"/>
  <c r="G3164" i="5" s="1"/>
  <c r="G2109" i="5"/>
  <c r="I2109" i="5" s="1"/>
  <c r="G2110" i="5" s="1"/>
  <c r="G3498" i="5"/>
  <c r="I3498" i="5" s="1"/>
  <c r="G3499" i="5" s="1"/>
  <c r="G3126" i="5"/>
  <c r="I3126" i="5" s="1"/>
  <c r="G3124" i="5" s="1"/>
  <c r="G607" i="5"/>
  <c r="I607" i="5" s="1"/>
  <c r="G608" i="5" s="1"/>
  <c r="G1566" i="5"/>
  <c r="I1566" i="5" s="1"/>
  <c r="G4050" i="5"/>
  <c r="I4050" i="5" s="1"/>
  <c r="G3255" i="5"/>
  <c r="I3255" i="5" s="1"/>
  <c r="G3256" i="5" s="1"/>
  <c r="G1532" i="5"/>
  <c r="I1532" i="5" s="1"/>
  <c r="G2399" i="5"/>
  <c r="I2399" i="5" s="1"/>
  <c r="G1687" i="5"/>
  <c r="I1687" i="5" s="1"/>
  <c r="G1688" i="5" s="1"/>
  <c r="G1951" i="5"/>
  <c r="I1951" i="5" s="1"/>
  <c r="G1952" i="5" s="1"/>
  <c r="G1217" i="5"/>
  <c r="I1217" i="5" s="1"/>
  <c r="G1218" i="5" s="1"/>
  <c r="G1661" i="5"/>
  <c r="I1661" i="5" s="1"/>
  <c r="G1662" i="5" s="1"/>
  <c r="G3461" i="5"/>
  <c r="I3461" i="5" s="1"/>
  <c r="G1578" i="5"/>
  <c r="I1578" i="5" s="1"/>
  <c r="G2884" i="5"/>
  <c r="I2884" i="5" s="1"/>
  <c r="G2885" i="5" s="1"/>
  <c r="G2752" i="5"/>
  <c r="I2752" i="5" s="1"/>
  <c r="G2753" i="5" s="1"/>
  <c r="G4067" i="5"/>
  <c r="I4067" i="5" s="1"/>
  <c r="G4068" i="5" s="1"/>
  <c r="G645" i="5"/>
  <c r="I645" i="5" s="1"/>
  <c r="G646" i="5" s="1"/>
  <c r="G1241" i="5"/>
  <c r="I1241" i="5" s="1"/>
  <c r="G1242" i="5" s="1"/>
  <c r="G2521" i="5"/>
  <c r="I2521" i="5" s="1"/>
  <c r="G4826" i="5"/>
  <c r="I4826" i="5" s="1"/>
  <c r="G4827" i="5" s="1"/>
  <c r="G3420" i="5"/>
  <c r="I3420" i="5" s="1"/>
  <c r="G4430" i="5"/>
  <c r="I4430" i="5" s="1"/>
  <c r="G4431" i="5" s="1"/>
  <c r="G4055" i="5"/>
  <c r="I4055" i="5" s="1"/>
  <c r="G4056" i="5" s="1"/>
  <c r="G2341" i="5"/>
  <c r="I2341" i="5" s="1"/>
  <c r="G2831" i="5"/>
  <c r="I2831" i="5" s="1"/>
  <c r="G2829" i="5" s="1"/>
  <c r="G2848" i="5"/>
  <c r="I2848" i="5" s="1"/>
  <c r="G2849" i="5" s="1"/>
  <c r="G2531" i="5"/>
  <c r="I2531" i="5" s="1"/>
  <c r="G2532" i="5" s="1"/>
  <c r="G2039" i="5"/>
  <c r="I2039" i="5" s="1"/>
  <c r="G1548" i="5"/>
  <c r="I1548" i="5" s="1"/>
  <c r="G1918" i="5"/>
  <c r="I1918" i="5" s="1"/>
  <c r="G1919" i="5" s="1"/>
  <c r="G3090" i="5"/>
  <c r="I3090" i="5" s="1"/>
  <c r="G3091" i="5" s="1"/>
  <c r="G2187" i="5"/>
  <c r="I2187" i="5" s="1"/>
  <c r="G4513" i="5"/>
  <c r="I4513" i="5" s="1"/>
  <c r="G4514" i="5" s="1"/>
  <c r="G1874" i="5"/>
  <c r="I1874" i="5" s="1"/>
  <c r="G1875" i="5" s="1"/>
  <c r="G403" i="5"/>
  <c r="I403" i="5" s="1"/>
  <c r="G404" i="5" s="1"/>
  <c r="G3123" i="5"/>
  <c r="I3123" i="5" s="1"/>
  <c r="G3121" i="5" s="1"/>
  <c r="G4163" i="5"/>
  <c r="I4163" i="5" s="1"/>
  <c r="G4164" i="5" s="1"/>
  <c r="G2826" i="5"/>
  <c r="I2826" i="5" s="1"/>
  <c r="G2827" i="5" s="1"/>
  <c r="G1946" i="5"/>
  <c r="I1946" i="5" s="1"/>
  <c r="G1947" i="5" s="1"/>
  <c r="G2971" i="5"/>
  <c r="I2971" i="5" s="1"/>
  <c r="G2972" i="5" s="1"/>
  <c r="G2743" i="5"/>
  <c r="I2743" i="5" s="1"/>
  <c r="G2744" i="5" s="1"/>
  <c r="G3453" i="5"/>
  <c r="I3453" i="5" s="1"/>
  <c r="G4021" i="5"/>
  <c r="I4021" i="5" s="1"/>
  <c r="G4022" i="5" s="1"/>
  <c r="G4046" i="5"/>
  <c r="I4046" i="5" s="1"/>
  <c r="G4047" i="5" s="1"/>
  <c r="G1925" i="5"/>
  <c r="I1925" i="5" s="1"/>
  <c r="G1926" i="5" s="1"/>
  <c r="G1643" i="5"/>
  <c r="I1643" i="5" s="1"/>
  <c r="G1644" i="5" s="1"/>
  <c r="G3475" i="5"/>
  <c r="I3475" i="5" s="1"/>
  <c r="G3476" i="5" s="1"/>
  <c r="G1762" i="5"/>
  <c r="I1762" i="5" s="1"/>
  <c r="G1763" i="5" s="1"/>
  <c r="G1729" i="5"/>
  <c r="I1729" i="5" s="1"/>
  <c r="G1730" i="5" s="1"/>
  <c r="G1607" i="5"/>
  <c r="I1607" i="5" s="1"/>
  <c r="G1608" i="5" s="1"/>
  <c r="G4845" i="5"/>
  <c r="I4845" i="5" s="1"/>
  <c r="G4846" i="5" s="1"/>
  <c r="G4726" i="5"/>
  <c r="I4726" i="5" s="1"/>
  <c r="G4727" i="5" s="1"/>
  <c r="G4266" i="5"/>
  <c r="I4266" i="5" s="1"/>
  <c r="G2719" i="5"/>
  <c r="I2719" i="5" s="1"/>
  <c r="G2720" i="5" s="1"/>
  <c r="G616" i="5"/>
  <c r="I616" i="5" s="1"/>
  <c r="G617" i="5" s="1"/>
  <c r="G591" i="5"/>
  <c r="I591" i="5" s="1"/>
  <c r="G590" i="5" s="1"/>
  <c r="G2492" i="5"/>
  <c r="I2492" i="5" s="1"/>
  <c r="G2493" i="5" s="1"/>
  <c r="G1773" i="5"/>
  <c r="I1773" i="5" s="1"/>
  <c r="G1774" i="5" s="1"/>
  <c r="G4112" i="5"/>
  <c r="I4112" i="5" s="1"/>
  <c r="G4113" i="5" s="1"/>
  <c r="G2924" i="5"/>
  <c r="I2924" i="5" s="1"/>
  <c r="G2925" i="5" s="1"/>
  <c r="G3102" i="5"/>
  <c r="I3102" i="5" s="1"/>
  <c r="G3100" i="5" s="1"/>
  <c r="G3429" i="5"/>
  <c r="I3429" i="5" s="1"/>
  <c r="G2631" i="5"/>
  <c r="I2631" i="5" s="1"/>
  <c r="G2295" i="5"/>
  <c r="I2295" i="5" s="1"/>
  <c r="G2900" i="5"/>
  <c r="I2900" i="5" s="1"/>
  <c r="G2901" i="5" s="1"/>
  <c r="G3105" i="5"/>
  <c r="I3105" i="5" s="1"/>
  <c r="G3103" i="5" s="1"/>
  <c r="G1627" i="5"/>
  <c r="I1627" i="5" s="1"/>
  <c r="G1628" i="5" s="1"/>
  <c r="G2306" i="5"/>
  <c r="I2306" i="5" s="1"/>
  <c r="G4157" i="5"/>
  <c r="I4157" i="5" s="1"/>
  <c r="G4158" i="5" s="1"/>
  <c r="G2552" i="5"/>
  <c r="I2552" i="5" s="1"/>
  <c r="G3614" i="5"/>
  <c r="I3614" i="5" s="1"/>
  <c r="G3615" i="5" s="1"/>
  <c r="G2511" i="5"/>
  <c r="I2511" i="5" s="1"/>
  <c r="G1594" i="5"/>
  <c r="I1594" i="5" s="1"/>
  <c r="G2619" i="5"/>
  <c r="I2619" i="5" s="1"/>
  <c r="G2620" i="5" s="1"/>
  <c r="G2953" i="5"/>
  <c r="I2953" i="5" s="1"/>
  <c r="G2954" i="5" s="1"/>
  <c r="G4261" i="5"/>
  <c r="I4261" i="5" s="1"/>
  <c r="G2805" i="5"/>
  <c r="I2805" i="5" s="1"/>
  <c r="G2806" i="5" s="1"/>
  <c r="G2127" i="5"/>
  <c r="I2127" i="5" s="1"/>
  <c r="G2128" i="5" s="1"/>
  <c r="G1894" i="5"/>
  <c r="I1894" i="5" s="1"/>
  <c r="G2008" i="5"/>
  <c r="I2008" i="5" s="1"/>
  <c r="G2009" i="5" s="1"/>
  <c r="G4016" i="5"/>
  <c r="I4016" i="5" s="1"/>
  <c r="G4017" i="5" s="1"/>
  <c r="G2284" i="5"/>
  <c r="I2284" i="5" s="1"/>
  <c r="G1369" i="5"/>
  <c r="I1369" i="5" s="1"/>
  <c r="G1370" i="5" s="1"/>
  <c r="G1378" i="5"/>
  <c r="I1378" i="5" s="1"/>
  <c r="G1379" i="5" s="1"/>
  <c r="G2659" i="5"/>
  <c r="I2659" i="5" s="1"/>
  <c r="G2660" i="5" s="1"/>
  <c r="G1677" i="5"/>
  <c r="I1677" i="5" s="1"/>
  <c r="G1678" i="5" s="1"/>
  <c r="G2459" i="5"/>
  <c r="I2459" i="5" s="1"/>
  <c r="G2460" i="5" s="1"/>
  <c r="G4517" i="5"/>
  <c r="I4517" i="5" s="1"/>
  <c r="G4515" i="5" s="1"/>
  <c r="G627" i="5"/>
  <c r="I627" i="5" s="1"/>
  <c r="G628" i="5" s="1"/>
  <c r="G2573" i="5"/>
  <c r="I2573" i="5" s="1"/>
  <c r="G2574" i="5" s="1"/>
  <c r="G2624" i="5"/>
  <c r="I2624" i="5" s="1"/>
  <c r="G2977" i="5"/>
  <c r="I2977" i="5" s="1"/>
  <c r="G2978" i="5" s="1"/>
  <c r="G2815" i="5"/>
  <c r="I2815" i="5" s="1"/>
  <c r="G2816" i="5" s="1"/>
  <c r="G2223" i="5"/>
  <c r="I2223" i="5" s="1"/>
  <c r="G2959" i="5"/>
  <c r="I2959" i="5" s="1"/>
  <c r="G2960" i="5" s="1"/>
  <c r="G3114" i="5"/>
  <c r="I3114" i="5" s="1"/>
  <c r="G3112" i="5" s="1"/>
  <c r="G4083" i="5"/>
  <c r="I4083" i="5" s="1"/>
  <c r="G4084" i="5" s="1"/>
  <c r="G2894" i="5"/>
  <c r="I2894" i="5" s="1"/>
  <c r="G2895" i="5" s="1"/>
  <c r="G4039" i="5"/>
  <c r="I4039" i="5" s="1"/>
  <c r="G4040" i="5" s="1"/>
  <c r="G2328" i="5"/>
  <c r="I2328" i="5" s="1"/>
  <c r="G1523" i="5"/>
  <c r="I1523" i="5" s="1"/>
  <c r="G1965" i="5"/>
  <c r="I1965" i="5" s="1"/>
  <c r="G1966" i="5" s="1"/>
  <c r="G2201" i="5"/>
  <c r="I2201" i="5" s="1"/>
  <c r="G2547" i="5"/>
  <c r="I2547" i="5" s="1"/>
  <c r="G2131" i="5"/>
  <c r="I2131" i="5" s="1"/>
  <c r="G2132" i="5" s="1"/>
  <c r="G2137" i="5"/>
  <c r="I2137" i="5" s="1"/>
  <c r="G2138" i="5" s="1"/>
  <c r="G674" i="5"/>
  <c r="I674" i="5" s="1"/>
  <c r="G675" i="5" s="1"/>
  <c r="G3391" i="5"/>
  <c r="I3391" i="5" s="1"/>
  <c r="G3392" i="5" s="1"/>
  <c r="G2436" i="5"/>
  <c r="I2436" i="5" s="1"/>
  <c r="G3295" i="5"/>
  <c r="I3295" i="5" s="1"/>
  <c r="G3296" i="5" s="1"/>
  <c r="G1556" i="5"/>
  <c r="I1556" i="5" s="1"/>
  <c r="G1557" i="5" s="1"/>
  <c r="G1236" i="5"/>
  <c r="I1236" i="5" s="1"/>
  <c r="G1237" i="5" s="1"/>
  <c r="G2707" i="5"/>
  <c r="I2707" i="5" s="1"/>
  <c r="G2708" i="5" s="1"/>
  <c r="G1652" i="5"/>
  <c r="I1652" i="5" s="1"/>
  <c r="G1653" i="5" s="1"/>
  <c r="G2273" i="5"/>
  <c r="I2273" i="5" s="1"/>
  <c r="G2644" i="5"/>
  <c r="I2644" i="5" s="1"/>
  <c r="G2589" i="5"/>
  <c r="I2589" i="5" s="1"/>
  <c r="G2089" i="5"/>
  <c r="I2089" i="5" s="1"/>
  <c r="G2090" i="5" s="1"/>
  <c r="G1075" i="5"/>
  <c r="I1075" i="5" s="1"/>
  <c r="G1076" i="5" s="1"/>
  <c r="G1747" i="5"/>
  <c r="I1747" i="5" s="1"/>
  <c r="G1748" i="5" s="1"/>
  <c r="G2483" i="5"/>
  <c r="I2483" i="5" s="1"/>
  <c r="G2484" i="5" s="1"/>
  <c r="G1994" i="5"/>
  <c r="I1994" i="5" s="1"/>
  <c r="G1995" i="5" s="1"/>
  <c r="G3085" i="5"/>
  <c r="I3085" i="5" s="1"/>
  <c r="G3086" i="5" s="1"/>
  <c r="G1387" i="5"/>
  <c r="I1387" i="5" s="1"/>
  <c r="G1388" i="5" s="1"/>
  <c r="G1956" i="5"/>
  <c r="I1956" i="5" s="1"/>
  <c r="G1957" i="5" s="1"/>
  <c r="G2537" i="5"/>
  <c r="I2537" i="5" s="1"/>
  <c r="G2538" i="5" s="1"/>
  <c r="G3108" i="5"/>
  <c r="I3108" i="5" s="1"/>
  <c r="G3106" i="5" s="1"/>
  <c r="G2501" i="5"/>
  <c r="I2501" i="5" s="1"/>
  <c r="G2608" i="5"/>
  <c r="I2608" i="5" s="1"/>
  <c r="G3482" i="5"/>
  <c r="I3482" i="5" s="1"/>
  <c r="G3483" i="5" s="1"/>
  <c r="G3170" i="5"/>
  <c r="I3170" i="5" s="1"/>
  <c r="G3171" i="5" s="1"/>
  <c r="G3099" i="5"/>
  <c r="I3099" i="5" s="1"/>
  <c r="G3097" i="5" s="1"/>
  <c r="G2175" i="5"/>
  <c r="I2175" i="5" s="1"/>
  <c r="G3347" i="5"/>
  <c r="I3347" i="5" s="1"/>
  <c r="G3348" i="5" s="1"/>
  <c r="G3075" i="5"/>
  <c r="I3075" i="5" s="1"/>
  <c r="G3076" i="5" s="1"/>
  <c r="G1710" i="5"/>
  <c r="I1710" i="5" s="1"/>
  <c r="G1711" i="5" s="1"/>
  <c r="G1396" i="5"/>
  <c r="I1396" i="5" s="1"/>
  <c r="G1397" i="5" s="1"/>
  <c r="G4168" i="5"/>
  <c r="I4168" i="5" s="1"/>
  <c r="G2735" i="5"/>
  <c r="I2735" i="5" s="1"/>
  <c r="G2736" i="5" s="1"/>
  <c r="G2787" i="5"/>
  <c r="I2787" i="5" s="1"/>
  <c r="G2788" i="5" s="1"/>
  <c r="G1670" i="5"/>
  <c r="I1670" i="5" s="1"/>
  <c r="G1671" i="5" s="1"/>
  <c r="G5015" i="5"/>
  <c r="I5015" i="5" s="1"/>
  <c r="G3444" i="5"/>
  <c r="I3444" i="5" s="1"/>
  <c r="G4281" i="5"/>
  <c r="I4281" i="5" s="1"/>
  <c r="G4282" i="5" s="1"/>
  <c r="G1348" i="5"/>
  <c r="I1348" i="5" s="1"/>
  <c r="G1349" i="5" s="1"/>
  <c r="G3095" i="5"/>
  <c r="I3095" i="5" s="1"/>
  <c r="G3096" i="5" s="1"/>
  <c r="G2052" i="5"/>
  <c r="I2052" i="5" s="1"/>
  <c r="G2053" i="5" s="1"/>
  <c r="G2613" i="5"/>
  <c r="I2613" i="5" s="1"/>
  <c r="G3412" i="5"/>
  <c r="I3412" i="5" s="1"/>
  <c r="G1115" i="5"/>
  <c r="I1115" i="5" s="1"/>
  <c r="G1116" i="5" s="1"/>
  <c r="G1585" i="5"/>
  <c r="I1585" i="5" s="1"/>
  <c r="G2121" i="5"/>
  <c r="I2121" i="5" s="1"/>
  <c r="G2671" i="5"/>
  <c r="I2671" i="5" s="1"/>
  <c r="G2672" i="5" s="1"/>
  <c r="G2239" i="5"/>
  <c r="I2239" i="5" s="1"/>
  <c r="G2240" i="5" s="1"/>
  <c r="G1515" i="5"/>
  <c r="I1515" i="5" s="1"/>
  <c r="G2792" i="5"/>
  <c r="I2792" i="5" s="1"/>
  <c r="G2791" i="5" s="1"/>
  <c r="G2936" i="5"/>
  <c r="I2936" i="5" s="1"/>
  <c r="G2937" i="5" s="1"/>
  <c r="G2094" i="5"/>
  <c r="I2094" i="5" s="1"/>
  <c r="G2092" i="5" s="1"/>
  <c r="G2062" i="5"/>
  <c r="I2062" i="5" s="1"/>
  <c r="G2063" i="5" s="1"/>
  <c r="G1339" i="5"/>
  <c r="I1339" i="5" s="1"/>
  <c r="G1340" i="5" s="1"/>
  <c r="G2083" i="5"/>
  <c r="I2083" i="5" s="1"/>
  <c r="G108" i="5"/>
  <c r="I108" i="5" s="1"/>
  <c r="G110" i="5" s="1"/>
  <c r="G2906" i="5"/>
  <c r="I2906" i="5" s="1"/>
  <c r="G2907" i="5" s="1"/>
  <c r="G2098" i="5"/>
  <c r="I2098" i="5" s="1"/>
  <c r="G2096" i="5" s="1"/>
  <c r="G1137" i="5"/>
  <c r="I1137" i="5" s="1"/>
  <c r="G1138" i="5" s="1"/>
  <c r="G3304" i="5"/>
  <c r="I3304" i="5" s="1"/>
  <c r="G3305" i="5" s="1"/>
  <c r="G2639" i="5"/>
  <c r="I2639" i="5" s="1"/>
  <c r="G2641" i="5" s="1"/>
  <c r="G638" i="5"/>
  <c r="I638" i="5" s="1"/>
  <c r="G639" i="5" s="1"/>
  <c r="G4729" i="5"/>
  <c r="I4729" i="5" s="1"/>
  <c r="G4730" i="5" s="1"/>
  <c r="G3313" i="5"/>
  <c r="I3313" i="5" s="1"/>
  <c r="G3314" i="5" s="1"/>
  <c r="G2856" i="5"/>
  <c r="I2856" i="5" s="1"/>
  <c r="G2857" i="5" s="1"/>
  <c r="G3230" i="5"/>
  <c r="I3230" i="5" s="1"/>
  <c r="G3231" i="5" s="1"/>
  <c r="G4806" i="5"/>
  <c r="I4806" i="5" s="1"/>
  <c r="G4807" i="5" s="1"/>
  <c r="G3468" i="5"/>
  <c r="I3468" i="5" s="1"/>
  <c r="G3469" i="5" s="1"/>
  <c r="G1602" i="5"/>
  <c r="I1602" i="5" s="1"/>
  <c r="G3506" i="5"/>
  <c r="I3506" i="5" s="1"/>
  <c r="G3507" i="5" s="1"/>
  <c r="G595" i="5"/>
  <c r="I595" i="5" s="1"/>
  <c r="G3405" i="5"/>
  <c r="I3405" i="5" s="1"/>
  <c r="G3406" i="5" s="1"/>
  <c r="G2947" i="5"/>
  <c r="I2947" i="5" s="1"/>
  <c r="G2948" i="5" s="1"/>
  <c r="G2930" i="5"/>
  <c r="I2930" i="5" s="1"/>
  <c r="G2931" i="5" s="1"/>
  <c r="G1033" i="5"/>
  <c r="I1033" i="5" s="1"/>
  <c r="G2262" i="5"/>
  <c r="I2262" i="5" s="1"/>
  <c r="G2429" i="5"/>
  <c r="I2429" i="5" s="1"/>
  <c r="G2430" i="5" s="1"/>
  <c r="G2983" i="5"/>
  <c r="I2983" i="5" s="1"/>
  <c r="G2984" i="5" s="1"/>
  <c r="G1719" i="5"/>
  <c r="I1719" i="5" s="1"/>
  <c r="G1720" i="5" s="1"/>
  <c r="G2889" i="5"/>
  <c r="I2889" i="5" s="1"/>
  <c r="G2890" i="5" s="1"/>
  <c r="G2348" i="5"/>
  <c r="I2348" i="5" s="1"/>
  <c r="G2349" i="5" s="1"/>
  <c r="G3619" i="5"/>
  <c r="I3619" i="5" s="1"/>
  <c r="G3620" i="5" s="1"/>
  <c r="G4256" i="5"/>
  <c r="I4256" i="5" s="1"/>
  <c r="G2542" i="5"/>
  <c r="I2542" i="5" s="1"/>
  <c r="G3070" i="5"/>
  <c r="I3070" i="5" s="1"/>
  <c r="G3071" i="5" s="1"/>
  <c r="G3286" i="5"/>
  <c r="I3286" i="5" s="1"/>
  <c r="G3287" i="5" s="1"/>
  <c r="G4888" i="5"/>
  <c r="I4888" i="5" s="1"/>
  <c r="G4889" i="5" s="1"/>
  <c r="G1614" i="5"/>
  <c r="I1614" i="5" s="1"/>
  <c r="G1615" i="5" s="1"/>
  <c r="G57" i="5"/>
  <c r="I57" i="5" s="1"/>
  <c r="G2747" i="5"/>
  <c r="I2747" i="5" s="1"/>
  <c r="G2748" i="5" s="1"/>
  <c r="G2192" i="5"/>
  <c r="I2192" i="5" s="1"/>
  <c r="G2602" i="5"/>
  <c r="I2602" i="5" s="1"/>
  <c r="G1903" i="5"/>
  <c r="I1903" i="5" s="1"/>
  <c r="G1904" i="5" s="1"/>
  <c r="G1572" i="5"/>
  <c r="I1572" i="5" s="1"/>
  <c r="G344" i="5"/>
  <c r="I1462" i="5"/>
  <c r="G4288" i="5"/>
  <c r="G40" i="5"/>
  <c r="G4437" i="5"/>
  <c r="G4854" i="5"/>
  <c r="G1312" i="5"/>
  <c r="G908" i="5"/>
  <c r="G4198" i="5"/>
  <c r="G44" i="5"/>
  <c r="G444" i="5"/>
  <c r="G205" i="5"/>
  <c r="G52" i="5"/>
  <c r="G206" i="5"/>
  <c r="G190" i="5"/>
  <c r="G986" i="5"/>
  <c r="G53" i="5"/>
  <c r="G4135" i="5"/>
  <c r="G1327" i="5"/>
  <c r="G33" i="5"/>
  <c r="G4139" i="5"/>
  <c r="G49" i="5"/>
  <c r="G37" i="5"/>
  <c r="G4304" i="5"/>
  <c r="G4240" i="5"/>
  <c r="G2761" i="5"/>
  <c r="I2761" i="5" s="1"/>
  <c r="G2773" i="5"/>
  <c r="I2773" i="5" s="1"/>
  <c r="G1860" i="5"/>
  <c r="I1860" i="5" s="1"/>
  <c r="G4106" i="5"/>
  <c r="I4106" i="5" s="1"/>
  <c r="G460" i="5"/>
  <c r="I460" i="5" s="1"/>
  <c r="G457" i="5" s="1"/>
  <c r="G2140" i="5"/>
  <c r="I2140" i="5" s="1"/>
  <c r="G455" i="5"/>
  <c r="I455" i="5" s="1"/>
  <c r="G452" i="5" s="1"/>
  <c r="G4092" i="5"/>
  <c r="I4092" i="5" s="1"/>
  <c r="G10" i="17" l="1"/>
  <c r="G9" i="17" s="1"/>
  <c r="G3644" i="5"/>
  <c r="G260" i="5"/>
  <c r="G5267" i="5"/>
  <c r="G4604" i="5"/>
  <c r="I4604" i="5" s="1"/>
  <c r="G4601" i="5" s="1"/>
  <c r="G4664" i="5" s="1"/>
  <c r="I4664" i="5" s="1"/>
  <c r="G5282" i="5"/>
  <c r="G5295" i="5"/>
  <c r="G5148" i="5"/>
  <c r="I5148" i="5" s="1"/>
  <c r="G5149" i="5"/>
  <c r="I5149" i="5" s="1"/>
  <c r="G5127" i="5"/>
  <c r="I5127" i="5" s="1"/>
  <c r="G5124" i="5" s="1"/>
  <c r="G5131" i="5"/>
  <c r="I5131" i="5" s="1"/>
  <c r="G5128" i="5" s="1"/>
  <c r="G5123" i="5"/>
  <c r="I5123" i="5" s="1"/>
  <c r="G5122" i="5"/>
  <c r="I5122" i="5" s="1"/>
  <c r="G5074" i="5"/>
  <c r="I5074" i="5" s="1"/>
  <c r="G5068" i="5" s="1"/>
  <c r="G4932" i="5"/>
  <c r="I4932" i="5" s="1"/>
  <c r="G4929" i="5" s="1"/>
  <c r="G3562" i="5"/>
  <c r="I3562" i="5" s="1"/>
  <c r="G223" i="5"/>
  <c r="I223" i="5" s="1"/>
  <c r="G225" i="5" s="1"/>
  <c r="G514" i="5"/>
  <c r="G4800" i="5"/>
  <c r="I4800" i="5" s="1"/>
  <c r="G4472" i="5"/>
  <c r="G510" i="5"/>
  <c r="G1024" i="5"/>
  <c r="I1024" i="5" s="1"/>
  <c r="G60" i="5"/>
  <c r="G5082" i="5"/>
  <c r="G4370" i="5"/>
  <c r="G4862" i="5"/>
  <c r="G4443" i="5"/>
  <c r="G920" i="5"/>
  <c r="I920" i="5" s="1"/>
  <c r="G4460" i="5"/>
  <c r="G4439" i="5"/>
  <c r="G5087" i="5"/>
  <c r="G4876" i="5"/>
  <c r="G4229" i="5"/>
  <c r="G4869" i="5"/>
  <c r="G4477" i="5"/>
  <c r="I3392" i="5"/>
  <c r="G3386" i="5" s="1"/>
  <c r="I4827" i="5"/>
  <c r="G4820" i="5" s="1"/>
  <c r="I4285" i="5"/>
  <c r="G4283" i="5" s="1"/>
  <c r="I5270" i="5"/>
  <c r="I5054" i="5"/>
  <c r="I3344" i="5"/>
  <c r="G3338" i="5" s="1"/>
  <c r="I2948" i="5"/>
  <c r="I2736" i="5"/>
  <c r="I4040" i="5"/>
  <c r="I4022" i="5"/>
  <c r="I4152" i="5"/>
  <c r="G4147" i="5" s="1"/>
  <c r="I3579" i="5"/>
  <c r="I3610" i="5"/>
  <c r="I2890" i="5"/>
  <c r="I3096" i="5"/>
  <c r="G3092" i="5" s="1"/>
  <c r="I2574" i="5"/>
  <c r="G2566" i="5" s="1"/>
  <c r="I4833" i="5"/>
  <c r="I4917" i="5"/>
  <c r="I4573" i="5"/>
  <c r="I4514" i="5"/>
  <c r="I5457" i="5"/>
  <c r="I4225" i="5"/>
  <c r="G4223" i="5" s="1"/>
  <c r="I4727" i="5"/>
  <c r="I4498" i="5"/>
  <c r="I3662" i="5"/>
  <c r="G3659" i="5" s="1"/>
  <c r="I4288" i="5"/>
  <c r="G4286" i="5" s="1"/>
  <c r="I2857" i="5"/>
  <c r="G2853" i="5" s="1"/>
  <c r="I4846" i="5"/>
  <c r="G4842" i="5" s="1"/>
  <c r="I4540" i="5"/>
  <c r="I4770" i="5"/>
  <c r="I3314" i="5"/>
  <c r="I3399" i="5"/>
  <c r="I3585" i="5"/>
  <c r="I3670" i="5"/>
  <c r="G3667" i="5" s="1"/>
  <c r="G4202" i="5"/>
  <c r="I4730" i="5"/>
  <c r="G4728" i="5" s="1"/>
  <c r="I4084" i="5"/>
  <c r="I2744" i="5"/>
  <c r="I4837" i="5"/>
  <c r="I4191" i="5"/>
  <c r="G4189" i="5" s="1"/>
  <c r="I4861" i="5"/>
  <c r="I4595" i="5"/>
  <c r="I4740" i="5"/>
  <c r="I3658" i="5"/>
  <c r="G3655" i="5" s="1"/>
  <c r="I4994" i="5"/>
  <c r="I3287" i="5"/>
  <c r="I2984" i="5"/>
  <c r="I3507" i="5"/>
  <c r="I4282" i="5"/>
  <c r="G4275" i="5" s="1"/>
  <c r="I2972" i="5"/>
  <c r="I4068" i="5"/>
  <c r="G4062" i="5" s="1"/>
  <c r="I3499" i="5"/>
  <c r="I2353" i="5"/>
  <c r="G2350" i="5" s="1"/>
  <c r="I4582" i="5"/>
  <c r="I2684" i="5"/>
  <c r="I5427" i="5"/>
  <c r="G5423" i="5" s="1"/>
  <c r="I5522" i="5"/>
  <c r="I4034" i="5"/>
  <c r="G4028" i="5" s="1"/>
  <c r="I5421" i="5"/>
  <c r="I4250" i="5"/>
  <c r="G4242" i="5" s="1"/>
  <c r="I4600" i="5"/>
  <c r="G4597" i="5" s="1"/>
  <c r="I4905" i="5"/>
  <c r="G4900" i="5" s="1"/>
  <c r="I3597" i="5"/>
  <c r="I3650" i="5"/>
  <c r="I3625" i="5"/>
  <c r="I3690" i="5"/>
  <c r="I4415" i="5"/>
  <c r="G4413" i="5" s="1"/>
  <c r="I5009" i="5"/>
  <c r="I4798" i="5"/>
  <c r="I4550" i="5"/>
  <c r="I3321" i="5"/>
  <c r="G3315" i="5" s="1"/>
  <c r="I2931" i="5"/>
  <c r="I4047" i="5"/>
  <c r="G4041" i="5" s="1"/>
  <c r="I4027" i="5"/>
  <c r="I2780" i="5"/>
  <c r="G2776" i="5" s="1"/>
  <c r="I4894" i="5"/>
  <c r="G4890" i="5" s="1"/>
  <c r="I2349" i="5"/>
  <c r="I3171" i="5"/>
  <c r="G3165" i="5" s="1"/>
  <c r="I2954" i="5"/>
  <c r="I2532" i="5"/>
  <c r="G2524" i="5" s="1"/>
  <c r="I5190" i="5"/>
  <c r="I3524" i="5"/>
  <c r="I3700" i="5"/>
  <c r="I4139" i="5"/>
  <c r="G4137" i="5" s="1"/>
  <c r="I2895" i="5"/>
  <c r="I2849" i="5"/>
  <c r="G2846" i="5" s="1"/>
  <c r="I3265" i="5"/>
  <c r="I5174" i="5"/>
  <c r="I4971" i="5"/>
  <c r="G4964" i="5" s="1"/>
  <c r="I2484" i="5"/>
  <c r="G2479" i="5" s="1"/>
  <c r="I4017" i="5"/>
  <c r="I2493" i="5"/>
  <c r="G2485" i="5" s="1"/>
  <c r="I4535" i="5"/>
  <c r="I4926" i="5"/>
  <c r="G4924" i="5" s="1"/>
  <c r="I3071" i="5"/>
  <c r="G3067" i="5" s="1"/>
  <c r="I3476" i="5"/>
  <c r="G3470" i="5" s="1"/>
  <c r="G4666" i="5" s="1"/>
  <c r="I4666" i="5" s="1"/>
  <c r="I2253" i="5"/>
  <c r="G2248" i="5" s="1"/>
  <c r="I3604" i="5"/>
  <c r="I4389" i="5"/>
  <c r="G4378" i="5" s="1"/>
  <c r="I3883" i="5"/>
  <c r="G3875" i="5" s="1"/>
  <c r="I4784" i="5"/>
  <c r="I3620" i="5"/>
  <c r="I2788" i="5"/>
  <c r="G2781" i="5" s="1"/>
  <c r="I2978" i="5"/>
  <c r="I2925" i="5"/>
  <c r="I4412" i="5"/>
  <c r="I2240" i="5"/>
  <c r="G2234" i="5" s="1"/>
  <c r="I2966" i="5"/>
  <c r="I3491" i="5"/>
  <c r="I5390" i="5"/>
  <c r="G5387" i="5" s="1"/>
  <c r="I4645" i="5"/>
  <c r="I4889" i="5"/>
  <c r="G4883" i="5" s="1"/>
  <c r="I2901" i="5"/>
  <c r="I4073" i="5"/>
  <c r="I4951" i="5"/>
  <c r="I4240" i="5"/>
  <c r="G4238" i="5" s="1"/>
  <c r="I4854" i="5"/>
  <c r="G4851" i="5" s="1"/>
  <c r="G4859" i="5" s="1"/>
  <c r="I2430" i="5"/>
  <c r="I2460" i="5"/>
  <c r="G2456" i="5" s="1"/>
  <c r="I4056" i="5"/>
  <c r="G4053" i="5" s="1"/>
  <c r="I4425" i="5"/>
  <c r="I3644" i="5"/>
  <c r="G3645" i="5" s="1"/>
  <c r="I2247" i="5"/>
  <c r="I3469" i="5"/>
  <c r="G3463" i="5" s="1"/>
  <c r="I3305" i="5"/>
  <c r="I3348" i="5"/>
  <c r="G3345" i="5" s="1"/>
  <c r="I2538" i="5"/>
  <c r="G2534" i="5" s="1"/>
  <c r="I3296" i="5"/>
  <c r="I2720" i="5"/>
  <c r="I2827" i="5"/>
  <c r="I4431" i="5"/>
  <c r="I2885" i="5"/>
  <c r="I3164" i="5"/>
  <c r="G3155" i="5" s="1"/>
  <c r="I2696" i="5"/>
  <c r="I2728" i="5"/>
  <c r="I4487" i="5"/>
  <c r="G4482" i="5" s="1"/>
  <c r="I3081" i="5"/>
  <c r="G3077" i="5" s="1"/>
  <c r="I3635" i="5"/>
  <c r="I4236" i="5"/>
  <c r="G4234" i="5" s="1"/>
  <c r="I4899" i="5"/>
  <c r="G4895" i="5" s="1"/>
  <c r="I5417" i="5"/>
  <c r="I4215" i="5"/>
  <c r="G4207" i="5" s="1"/>
  <c r="I2912" i="5"/>
  <c r="G2908" i="5" s="1"/>
  <c r="I4590" i="5"/>
  <c r="I4088" i="5"/>
  <c r="G4085" i="5" s="1"/>
  <c r="I4937" i="5"/>
  <c r="G4934" i="5" s="1"/>
  <c r="I4505" i="5"/>
  <c r="I3695" i="5"/>
  <c r="I3544" i="5"/>
  <c r="I3574" i="5"/>
  <c r="I4961" i="5"/>
  <c r="I3935" i="5"/>
  <c r="G3927" i="5" s="1"/>
  <c r="I3630" i="5"/>
  <c r="I2748" i="5"/>
  <c r="G2745" i="5" s="1"/>
  <c r="I3231" i="5"/>
  <c r="G3224" i="5" s="1"/>
  <c r="I3539" i="5"/>
  <c r="I3568" i="5"/>
  <c r="I3529" i="5"/>
  <c r="I4004" i="5"/>
  <c r="G4000" i="5" s="1"/>
  <c r="I4198" i="5"/>
  <c r="G4195" i="5" s="1"/>
  <c r="I2907" i="5"/>
  <c r="G2902" i="5" s="1"/>
  <c r="I3086" i="5"/>
  <c r="G3082" i="5" s="1"/>
  <c r="I4113" i="5"/>
  <c r="I4079" i="5"/>
  <c r="I3710" i="5"/>
  <c r="I3406" i="5"/>
  <c r="G3400" i="5" s="1"/>
  <c r="I3483" i="5"/>
  <c r="G3477" i="5" s="1"/>
  <c r="I2620" i="5"/>
  <c r="G2616" i="5" s="1"/>
  <c r="I2198" i="5"/>
  <c r="G2195" i="5" s="1"/>
  <c r="I3015" i="5"/>
  <c r="I5458" i="5"/>
  <c r="I3592" i="5"/>
  <c r="I2672" i="5"/>
  <c r="I2708" i="5"/>
  <c r="I5156" i="5"/>
  <c r="G5150" i="5" s="1"/>
  <c r="I5521" i="5"/>
  <c r="I4469" i="5"/>
  <c r="I4204" i="5"/>
  <c r="I4817" i="5"/>
  <c r="I4135" i="5"/>
  <c r="G4133" i="5" s="1"/>
  <c r="I2641" i="5"/>
  <c r="G2635" i="5" s="1"/>
  <c r="I3076" i="5"/>
  <c r="G3072" i="5" s="1"/>
  <c r="I2960" i="5"/>
  <c r="I3615" i="5"/>
  <c r="I3091" i="5"/>
  <c r="G3087" i="5" s="1"/>
  <c r="I2753" i="5"/>
  <c r="G2749" i="5" s="1"/>
  <c r="I4012" i="5"/>
  <c r="G4009" i="5" s="1"/>
  <c r="I5516" i="5"/>
  <c r="I5422" i="5"/>
  <c r="I4749" i="5"/>
  <c r="G4746" i="5" s="1"/>
  <c r="I3640" i="5"/>
  <c r="G4467" i="5"/>
  <c r="I4467" i="5" s="1"/>
  <c r="I4304" i="5"/>
  <c r="G4301" i="5" s="1"/>
  <c r="I4437" i="5"/>
  <c r="G4435" i="5" s="1"/>
  <c r="I4807" i="5"/>
  <c r="I2937" i="5"/>
  <c r="I2816" i="5"/>
  <c r="I2660" i="5"/>
  <c r="I2806" i="5"/>
  <c r="G2803" i="5" s="1"/>
  <c r="I4158" i="5"/>
  <c r="G4153" i="5" s="1"/>
  <c r="I4164" i="5"/>
  <c r="G4159" i="5" s="1"/>
  <c r="I3256" i="5"/>
  <c r="I4061" i="5"/>
  <c r="I4146" i="5"/>
  <c r="G4141" i="5" s="1"/>
  <c r="I4420" i="5"/>
  <c r="I3223" i="5"/>
  <c r="G3216" i="5" s="1"/>
  <c r="I3247" i="5"/>
  <c r="G3240" i="5" s="1"/>
  <c r="I5267" i="5"/>
  <c r="I5374" i="5"/>
  <c r="G5371" i="5" s="1"/>
  <c r="I5238" i="5"/>
  <c r="G5231" i="5" s="1"/>
  <c r="I4745" i="5"/>
  <c r="I4097" i="5"/>
  <c r="I4491" i="5"/>
  <c r="I3680" i="5"/>
  <c r="I3654" i="5"/>
  <c r="G3651" i="5" s="1"/>
  <c r="I4188" i="5"/>
  <c r="G4185" i="5" s="1"/>
  <c r="I3549" i="5"/>
  <c r="G10" i="5"/>
  <c r="G6" i="5"/>
  <c r="G103" i="5"/>
  <c r="G99" i="5"/>
  <c r="G94" i="5"/>
  <c r="G531" i="5"/>
  <c r="I675" i="5"/>
  <c r="I404" i="5"/>
  <c r="I2151" i="5"/>
  <c r="G2142" i="5" s="1"/>
  <c r="I2169" i="5"/>
  <c r="I1608" i="5"/>
  <c r="I608" i="5"/>
  <c r="I1013" i="5"/>
  <c r="I693" i="5"/>
  <c r="I1285" i="5"/>
  <c r="I134" i="5"/>
  <c r="G952" i="5"/>
  <c r="I33" i="5"/>
  <c r="G30" i="5" s="1"/>
  <c r="I1312" i="5"/>
  <c r="I1397" i="5"/>
  <c r="I847" i="5"/>
  <c r="I2117" i="5"/>
  <c r="G2111" i="5" s="1"/>
  <c r="I1827" i="5"/>
  <c r="I1795" i="5"/>
  <c r="I931" i="5"/>
  <c r="I1444" i="5"/>
  <c r="I1251" i="5"/>
  <c r="I1161" i="5"/>
  <c r="I206" i="5"/>
  <c r="I1370" i="5"/>
  <c r="I1812" i="5"/>
  <c r="I114" i="5"/>
  <c r="G111" i="5" s="1"/>
  <c r="I908" i="5"/>
  <c r="I2138" i="5"/>
  <c r="G2133" i="5" s="1"/>
  <c r="I1218" i="5"/>
  <c r="I580" i="5"/>
  <c r="G574" i="5" s="1"/>
  <c r="I1988" i="5"/>
  <c r="G1977" i="5" s="1"/>
  <c r="I521" i="5"/>
  <c r="I1354" i="5"/>
  <c r="I344" i="5"/>
  <c r="G340" i="5" s="1"/>
  <c r="I1730" i="5"/>
  <c r="I1933" i="5"/>
  <c r="G1927" i="5" s="1"/>
  <c r="G1746" i="5" s="1"/>
  <c r="I1187" i="5"/>
  <c r="I284" i="5"/>
  <c r="I449" i="5"/>
  <c r="I1327" i="5"/>
  <c r="I1340" i="5"/>
  <c r="I1237" i="5"/>
  <c r="I147" i="5"/>
  <c r="I1557" i="5"/>
  <c r="I1947" i="5"/>
  <c r="G1941" i="5" s="1"/>
  <c r="I2110" i="5"/>
  <c r="I1622" i="5"/>
  <c r="G1616" i="5" s="1"/>
  <c r="I164" i="5"/>
  <c r="I1464" i="5"/>
  <c r="G1459" i="5" s="1"/>
  <c r="I1129" i="5"/>
  <c r="I1098" i="5"/>
  <c r="I269" i="5"/>
  <c r="I1477" i="5"/>
  <c r="I1510" i="5"/>
  <c r="I1424" i="5"/>
  <c r="I954" i="5"/>
  <c r="I354" i="5"/>
  <c r="G345" i="5" s="1"/>
  <c r="I264" i="5"/>
  <c r="I49" i="5"/>
  <c r="G46" i="5" s="1"/>
  <c r="I2053" i="5"/>
  <c r="I1227" i="5"/>
  <c r="I92" i="5"/>
  <c r="I757" i="5"/>
  <c r="I52" i="5"/>
  <c r="I1995" i="5"/>
  <c r="G1989" i="5" s="1"/>
  <c r="I1700" i="5"/>
  <c r="G1690" i="5" s="1"/>
  <c r="I943" i="5"/>
  <c r="I128" i="5"/>
  <c r="I569" i="5"/>
  <c r="G562" i="5" s="1"/>
  <c r="I1720" i="5"/>
  <c r="I628" i="5"/>
  <c r="I2005" i="5"/>
  <c r="I143" i="5"/>
  <c r="I256" i="5"/>
  <c r="I466" i="5"/>
  <c r="G462" i="5" s="1"/>
  <c r="I807" i="5"/>
  <c r="I2009" i="5"/>
  <c r="I856" i="5"/>
  <c r="I1209" i="5"/>
  <c r="I1904" i="5"/>
  <c r="G1897" i="5" s="1"/>
  <c r="I1090" i="5"/>
  <c r="I479" i="5"/>
  <c r="I360" i="5"/>
  <c r="G355" i="5" s="1"/>
  <c r="I200" i="5"/>
  <c r="I713" i="5"/>
  <c r="I770" i="5"/>
  <c r="I175" i="5"/>
  <c r="I121" i="5"/>
  <c r="I20" i="5"/>
  <c r="I1842" i="5"/>
  <c r="I1107" i="5"/>
  <c r="I1081" i="5"/>
  <c r="I1882" i="5"/>
  <c r="G1876" i="5" s="1"/>
  <c r="I1154" i="5"/>
  <c r="I1174" i="5"/>
  <c r="I1628" i="5"/>
  <c r="G1623" i="5" s="1"/>
  <c r="I1976" i="5"/>
  <c r="I963" i="5"/>
  <c r="I88" i="5"/>
  <c r="I157" i="5"/>
  <c r="I110" i="5"/>
  <c r="G107" i="5" s="1"/>
  <c r="I1774" i="5"/>
  <c r="I1242" i="5"/>
  <c r="I79" i="5"/>
  <c r="I277" i="5"/>
  <c r="I745" i="5"/>
  <c r="I1349" i="5"/>
  <c r="I1952" i="5"/>
  <c r="G1948" i="5" s="1"/>
  <c r="I1862" i="5"/>
  <c r="I118" i="5"/>
  <c r="I1000" i="5"/>
  <c r="I314" i="5"/>
  <c r="G310" i="5" s="1"/>
  <c r="I639" i="5"/>
  <c r="I1748" i="5"/>
  <c r="I590" i="5"/>
  <c r="I1688" i="5"/>
  <c r="G1679" i="5" s="1"/>
  <c r="I833" i="5"/>
  <c r="I2063" i="5"/>
  <c r="I1076" i="5"/>
  <c r="I53" i="5"/>
  <c r="I260" i="5"/>
  <c r="I295" i="5"/>
  <c r="G293" i="5" s="1"/>
  <c r="I1116" i="5"/>
  <c r="I1966" i="5"/>
  <c r="I2128" i="5"/>
  <c r="G2124" i="5" s="1"/>
  <c r="I1919" i="5"/>
  <c r="G1913" i="5" s="1"/>
  <c r="I702" i="5"/>
  <c r="I986" i="5"/>
  <c r="I444" i="5"/>
  <c r="I1138" i="5"/>
  <c r="I1671" i="5"/>
  <c r="I1957" i="5"/>
  <c r="G1953" i="5" s="1"/>
  <c r="I1926" i="5"/>
  <c r="G1920" i="5" s="1"/>
  <c r="I1636" i="5"/>
  <c r="G1629" i="5" s="1"/>
  <c r="I431" i="5"/>
  <c r="I1200" i="5"/>
  <c r="I1147" i="5"/>
  <c r="I85" i="5"/>
  <c r="I972" i="5"/>
  <c r="I529" i="5"/>
  <c r="I153" i="5"/>
  <c r="I684" i="5"/>
  <c r="I393" i="5"/>
  <c r="G382" i="5" s="1"/>
  <c r="I1064" i="5"/>
  <c r="G1057" i="5" s="1"/>
  <c r="I1662" i="5"/>
  <c r="I1787" i="5"/>
  <c r="I1458" i="5"/>
  <c r="G1452" i="5" s="1"/>
  <c r="I17" i="5"/>
  <c r="I1360" i="5"/>
  <c r="G970" i="5"/>
  <c r="I1615" i="5"/>
  <c r="I1653" i="5"/>
  <c r="G1645" i="5" s="1"/>
  <c r="I1875" i="5"/>
  <c r="G1869" i="5" s="1"/>
  <c r="I1056" i="5"/>
  <c r="I329" i="5"/>
  <c r="I181" i="5"/>
  <c r="I551" i="5"/>
  <c r="G544" i="5" s="1"/>
  <c r="I1433" i="5"/>
  <c r="G1426" i="5" s="1"/>
  <c r="I2132" i="5"/>
  <c r="G2129" i="5" s="1"/>
  <c r="I646" i="5"/>
  <c r="I650" i="5"/>
  <c r="I881" i="5"/>
  <c r="I1045" i="5"/>
  <c r="I795" i="5"/>
  <c r="I542" i="5"/>
  <c r="G535" i="5" s="1"/>
  <c r="I1711" i="5"/>
  <c r="I1763" i="5"/>
  <c r="I1940" i="5"/>
  <c r="G1934" i="5" s="1"/>
  <c r="I722" i="5"/>
  <c r="I870" i="5"/>
  <c r="I205" i="5"/>
  <c r="I617" i="5"/>
  <c r="I2090" i="5"/>
  <c r="G2091" i="5" s="1"/>
  <c r="I1678" i="5"/>
  <c r="I1644" i="5"/>
  <c r="G1638" i="5" s="1"/>
  <c r="G961" i="5"/>
  <c r="I37" i="5"/>
  <c r="G34" i="5" s="1"/>
  <c r="I190" i="5"/>
  <c r="G186" i="5" s="1"/>
  <c r="I44" i="5"/>
  <c r="G42" i="5" s="1"/>
  <c r="I40" i="5"/>
  <c r="G38" i="5" s="1"/>
  <c r="I1388" i="5"/>
  <c r="I1379" i="5"/>
  <c r="I1912" i="5"/>
  <c r="G1906" i="5" s="1"/>
  <c r="I893" i="5"/>
  <c r="I1296" i="5"/>
  <c r="I472" i="5"/>
  <c r="I782" i="5"/>
  <c r="I196" i="5"/>
  <c r="I657" i="5"/>
  <c r="I1499" i="5"/>
  <c r="I1261" i="5"/>
  <c r="I862" i="5"/>
  <c r="I169" i="5"/>
  <c r="I1488" i="5"/>
  <c r="I524" i="5"/>
  <c r="I1273" i="5"/>
  <c r="I2158" i="5"/>
  <c r="I238" i="5"/>
  <c r="I1473" i="5"/>
  <c r="G1468" i="5" s="1"/>
  <c r="I560" i="5"/>
  <c r="G553" i="5" s="1"/>
  <c r="G1272" i="5"/>
  <c r="G170" i="5"/>
  <c r="G3550" i="5"/>
  <c r="G2159" i="5"/>
  <c r="G237" i="5"/>
  <c r="G4786" i="5"/>
  <c r="G4921" i="5"/>
  <c r="G136" i="5"/>
  <c r="G133" i="5"/>
  <c r="G4963" i="5"/>
  <c r="G4960" i="5"/>
  <c r="G526" i="5"/>
  <c r="G193" i="5"/>
  <c r="G525" i="5"/>
  <c r="G154" i="5"/>
  <c r="G3573" i="5"/>
  <c r="G202" i="5"/>
  <c r="G263" i="5"/>
  <c r="G4739" i="5"/>
  <c r="G4949" i="5"/>
  <c r="G932" i="5"/>
  <c r="G3567" i="5"/>
  <c r="G158" i="5"/>
  <c r="G1046" i="5"/>
  <c r="G255" i="5"/>
  <c r="G117" i="5"/>
  <c r="G999" i="5"/>
  <c r="G1826" i="5"/>
  <c r="G3591" i="5"/>
  <c r="G140" i="5"/>
  <c r="G16" i="5"/>
  <c r="G160" i="5"/>
  <c r="G3598" i="5"/>
  <c r="G163" i="5"/>
  <c r="G166" i="5"/>
  <c r="G127" i="5"/>
  <c r="G89" i="5"/>
  <c r="G1284" i="5"/>
  <c r="G93" i="5"/>
  <c r="G330" i="5"/>
  <c r="G3609" i="5"/>
  <c r="G520" i="5"/>
  <c r="G130" i="5"/>
  <c r="G3580" i="5"/>
  <c r="G182" i="5"/>
  <c r="G276" i="5"/>
  <c r="G4539" i="5"/>
  <c r="G4538" i="5"/>
  <c r="G139" i="5"/>
  <c r="G80" i="5"/>
  <c r="G78" i="5"/>
  <c r="G185" i="5"/>
  <c r="G432" i="5"/>
  <c r="G4919" i="5"/>
  <c r="G83" i="5"/>
  <c r="G1843" i="5"/>
  <c r="G199" i="5"/>
  <c r="G3603" i="5"/>
  <c r="G3586" i="5"/>
  <c r="G174" i="5"/>
  <c r="G270" i="5"/>
  <c r="G124" i="5"/>
  <c r="G178" i="5"/>
  <c r="G21" i="5"/>
  <c r="G2246" i="5"/>
  <c r="G283" i="5"/>
  <c r="G1082" i="5"/>
  <c r="G122" i="5"/>
  <c r="G84" i="5"/>
  <c r="G530" i="5"/>
  <c r="G1297" i="5"/>
  <c r="G4594" i="5"/>
  <c r="G4533" i="5"/>
  <c r="G194" i="5"/>
  <c r="G150" i="5"/>
  <c r="G146" i="5"/>
  <c r="G4098" i="5"/>
  <c r="G5313" i="5"/>
  <c r="I5313" i="5" s="1"/>
  <c r="G5314" i="5" s="1"/>
  <c r="G5336" i="5"/>
  <c r="I5336" i="5" s="1"/>
  <c r="G5337" i="5" s="1"/>
  <c r="G5322" i="5"/>
  <c r="I5322" i="5" s="1"/>
  <c r="G5409" i="5"/>
  <c r="I5409" i="5" s="1"/>
  <c r="G5345" i="5"/>
  <c r="I5345" i="5" s="1"/>
  <c r="G5346" i="5" s="1"/>
  <c r="G5526" i="5"/>
  <c r="G5529" i="5"/>
  <c r="G1014" i="5"/>
  <c r="G3705" i="5"/>
  <c r="G3556" i="5"/>
  <c r="G3555" i="5"/>
  <c r="G592" i="5"/>
  <c r="G5517" i="5"/>
  <c r="G5493" i="5"/>
  <c r="G5492" i="5"/>
  <c r="G5507" i="5"/>
  <c r="G5506" i="5"/>
  <c r="G5499" i="5"/>
  <c r="G5500" i="5"/>
  <c r="G5450" i="5"/>
  <c r="G5454" i="5"/>
  <c r="G5431" i="5"/>
  <c r="G5435" i="5"/>
  <c r="G5445" i="5"/>
  <c r="G5446" i="5"/>
  <c r="G5440" i="5"/>
  <c r="G5439" i="5"/>
  <c r="G58" i="5"/>
  <c r="G59" i="5"/>
  <c r="G5363" i="5"/>
  <c r="G5361" i="5"/>
  <c r="G5378" i="5"/>
  <c r="G5230" i="5"/>
  <c r="G5229" i="5"/>
  <c r="G5249" i="5"/>
  <c r="G5250" i="5"/>
  <c r="G5257" i="5"/>
  <c r="G5256" i="5"/>
  <c r="G5276" i="5"/>
  <c r="G5275" i="5"/>
  <c r="G5220" i="5"/>
  <c r="G5219" i="5"/>
  <c r="I584" i="5"/>
  <c r="G5353" i="5"/>
  <c r="G2762" i="5"/>
  <c r="G3462" i="5"/>
  <c r="G4258" i="5"/>
  <c r="G4257" i="5"/>
  <c r="G4259" i="5"/>
  <c r="G2437" i="5"/>
  <c r="G2439" i="5"/>
  <c r="G1579" i="5"/>
  <c r="G1581" i="5"/>
  <c r="G2077" i="5"/>
  <c r="G2076" i="5"/>
  <c r="I4688" i="5"/>
  <c r="G2605" i="5"/>
  <c r="G2603" i="5"/>
  <c r="G2544" i="5"/>
  <c r="G2543" i="5"/>
  <c r="G2264" i="5"/>
  <c r="G2263" i="5"/>
  <c r="G5017" i="5"/>
  <c r="G5016" i="5"/>
  <c r="G4169" i="5"/>
  <c r="G4170" i="5"/>
  <c r="G2225" i="5"/>
  <c r="G2224" i="5"/>
  <c r="G2285" i="5"/>
  <c r="G2286" i="5"/>
  <c r="G2553" i="5"/>
  <c r="G2554" i="5"/>
  <c r="G3430" i="5"/>
  <c r="G3431" i="5"/>
  <c r="G3455" i="5"/>
  <c r="G3454" i="5"/>
  <c r="G1533" i="5"/>
  <c r="G1534" i="5"/>
  <c r="G5140" i="5"/>
  <c r="G5173" i="5"/>
  <c r="G5102" i="5"/>
  <c r="G5204" i="5"/>
  <c r="I5204" i="5" s="1"/>
  <c r="G5200" i="5" s="1"/>
  <c r="G2193" i="5"/>
  <c r="G2194" i="5"/>
  <c r="G1035" i="5"/>
  <c r="G1034" i="5"/>
  <c r="G3413" i="5"/>
  <c r="G3414" i="5"/>
  <c r="G2591" i="5"/>
  <c r="G2590" i="5"/>
  <c r="G1526" i="5"/>
  <c r="G1524" i="5"/>
  <c r="G1549" i="5"/>
  <c r="G1551" i="5"/>
  <c r="G2084" i="5"/>
  <c r="G2085" i="5"/>
  <c r="G2177" i="5"/>
  <c r="G2176" i="5"/>
  <c r="G1596" i="5"/>
  <c r="G1595" i="5"/>
  <c r="G3436" i="5"/>
  <c r="G3437" i="5"/>
  <c r="G1868" i="5"/>
  <c r="G1867" i="5"/>
  <c r="G1561" i="5"/>
  <c r="G1563" i="5"/>
  <c r="G2319" i="5"/>
  <c r="G2318" i="5"/>
  <c r="G5113" i="5"/>
  <c r="G5136" i="5"/>
  <c r="G5117" i="5"/>
  <c r="G5208" i="5"/>
  <c r="G5209" i="5"/>
  <c r="G4107" i="5"/>
  <c r="G1575" i="5"/>
  <c r="G1573" i="5"/>
  <c r="G2122" i="5"/>
  <c r="G2123" i="5"/>
  <c r="G2615" i="5"/>
  <c r="G2614" i="5"/>
  <c r="G2502" i="5"/>
  <c r="G2503" i="5"/>
  <c r="G2646" i="5"/>
  <c r="G2645" i="5"/>
  <c r="G2548" i="5"/>
  <c r="G2549" i="5"/>
  <c r="G2329" i="5"/>
  <c r="G2330" i="5"/>
  <c r="G4262" i="5"/>
  <c r="G4263" i="5"/>
  <c r="G4264" i="5"/>
  <c r="G2512" i="5"/>
  <c r="G2513" i="5"/>
  <c r="G2307" i="5"/>
  <c r="G2308" i="5"/>
  <c r="G2296" i="5"/>
  <c r="G2297" i="5"/>
  <c r="G2188" i="5"/>
  <c r="G2189" i="5"/>
  <c r="G2041" i="5"/>
  <c r="G2040" i="5"/>
  <c r="G2342" i="5"/>
  <c r="G2343" i="5"/>
  <c r="G4051" i="5"/>
  <c r="G4052" i="5"/>
  <c r="G4253" i="5"/>
  <c r="G4254" i="5"/>
  <c r="G2029" i="5"/>
  <c r="G2028" i="5"/>
  <c r="G2069" i="5"/>
  <c r="G2070" i="5"/>
  <c r="G5067" i="5"/>
  <c r="G5161" i="5"/>
  <c r="G5181" i="5"/>
  <c r="G5145" i="5"/>
  <c r="G5214" i="5"/>
  <c r="G5213" i="5"/>
  <c r="G597" i="5"/>
  <c r="G596" i="5"/>
  <c r="G2610" i="5"/>
  <c r="G2609" i="5"/>
  <c r="G4267" i="5"/>
  <c r="G4268" i="5"/>
  <c r="G4269" i="5"/>
  <c r="G3422" i="5"/>
  <c r="G3421" i="5"/>
  <c r="G1603" i="5"/>
  <c r="G1604" i="5"/>
  <c r="G1518" i="5"/>
  <c r="G1516" i="5"/>
  <c r="G1588" i="5"/>
  <c r="G1586" i="5"/>
  <c r="G3445" i="5"/>
  <c r="G3446" i="5"/>
  <c r="G2274" i="5"/>
  <c r="G2275" i="5"/>
  <c r="G2202" i="5"/>
  <c r="G2203" i="5"/>
  <c r="G2625" i="5"/>
  <c r="G2626" i="5"/>
  <c r="G1895" i="5"/>
  <c r="G1896" i="5"/>
  <c r="G2632" i="5"/>
  <c r="G2634" i="5"/>
  <c r="G2523" i="5"/>
  <c r="G2522" i="5"/>
  <c r="G2400" i="5"/>
  <c r="G2402" i="5"/>
  <c r="G1569" i="5"/>
  <c r="G1567" i="5"/>
  <c r="G2564" i="5"/>
  <c r="G2565" i="5"/>
  <c r="G2232" i="5"/>
  <c r="G2233" i="5"/>
  <c r="G2015" i="5"/>
  <c r="G2016" i="5"/>
  <c r="G1540" i="5"/>
  <c r="G1542" i="5"/>
  <c r="G2183" i="5"/>
  <c r="G2182" i="5"/>
  <c r="G5109" i="5"/>
  <c r="G5108" i="5"/>
  <c r="G5097" i="5"/>
  <c r="G5098" i="5"/>
  <c r="G5168" i="5"/>
  <c r="G5281" i="5"/>
  <c r="G2141" i="5"/>
  <c r="G4093" i="5"/>
  <c r="G831" i="5"/>
  <c r="G1172" i="5"/>
  <c r="G818" i="5"/>
  <c r="G805" i="5"/>
  <c r="G1185" i="5"/>
  <c r="G1198" i="5"/>
  <c r="F8" i="17" l="1"/>
  <c r="G8" i="17" s="1"/>
  <c r="G6" i="17"/>
  <c r="H11" i="17" s="1"/>
  <c r="G4361" i="5"/>
  <c r="G5146" i="5"/>
  <c r="G5118" i="5"/>
  <c r="G5324" i="5"/>
  <c r="I5324" i="5" s="1"/>
  <c r="G5323" i="5"/>
  <c r="I5323" i="5" s="1"/>
  <c r="G5455" i="5"/>
  <c r="G4612" i="5"/>
  <c r="I4612" i="5" s="1"/>
  <c r="G5419" i="5"/>
  <c r="G5265" i="5"/>
  <c r="G5518" i="5"/>
  <c r="I5168" i="5"/>
  <c r="G5162" i="5" s="1"/>
  <c r="I3422" i="5"/>
  <c r="I2548" i="5"/>
  <c r="I3436" i="5"/>
  <c r="I2263" i="5"/>
  <c r="I3462" i="5"/>
  <c r="G3456" i="5" s="1"/>
  <c r="G4665" i="5" s="1"/>
  <c r="I4665" i="5" s="1"/>
  <c r="I5378" i="5"/>
  <c r="G5375" i="5" s="1"/>
  <c r="I5506" i="5"/>
  <c r="I3556" i="5"/>
  <c r="I2246" i="5"/>
  <c r="G2241" i="5" s="1"/>
  <c r="I3598" i="5"/>
  <c r="I2402" i="5"/>
  <c r="I5214" i="5"/>
  <c r="I2645" i="5"/>
  <c r="I2285" i="5"/>
  <c r="I5435" i="5"/>
  <c r="G5432" i="5" s="1"/>
  <c r="I5507" i="5"/>
  <c r="I3705" i="5"/>
  <c r="G3701" i="5" s="1"/>
  <c r="I4594" i="5"/>
  <c r="G4591" i="5" s="1"/>
  <c r="I3573" i="5"/>
  <c r="G4610" i="5"/>
  <c r="I2625" i="5"/>
  <c r="I5145" i="5"/>
  <c r="G5141" i="5" s="1"/>
  <c r="I2189" i="5"/>
  <c r="I2319" i="5"/>
  <c r="I2193" i="5"/>
  <c r="I2543" i="5"/>
  <c r="I5363" i="5"/>
  <c r="I5108" i="5"/>
  <c r="I2522" i="5"/>
  <c r="I4267" i="5"/>
  <c r="I2188" i="5"/>
  <c r="I4107" i="5"/>
  <c r="I2225" i="5"/>
  <c r="I2439" i="5"/>
  <c r="I5493" i="5"/>
  <c r="I4919" i="5"/>
  <c r="I3567" i="5"/>
  <c r="I5109" i="5"/>
  <c r="I2523" i="5"/>
  <c r="I5161" i="5"/>
  <c r="G5157" i="5" s="1"/>
  <c r="I4262" i="5"/>
  <c r="I4170" i="5"/>
  <c r="I2437" i="5"/>
  <c r="I5450" i="5"/>
  <c r="G5447" i="5" s="1"/>
  <c r="I4098" i="5"/>
  <c r="G4094" i="5" s="1"/>
  <c r="I3591" i="5"/>
  <c r="I4859" i="5"/>
  <c r="G4856" i="5" s="1"/>
  <c r="I2182" i="5"/>
  <c r="I2565" i="5"/>
  <c r="I2634" i="5"/>
  <c r="I2275" i="5"/>
  <c r="I2610" i="5"/>
  <c r="I5067" i="5"/>
  <c r="G5063" i="5" s="1"/>
  <c r="I4051" i="5"/>
  <c r="I2296" i="5"/>
  <c r="I2330" i="5"/>
  <c r="I2614" i="5"/>
  <c r="I5208" i="5"/>
  <c r="I3414" i="5"/>
  <c r="I5102" i="5"/>
  <c r="G5099" i="5" s="1"/>
  <c r="I3430" i="5"/>
  <c r="I4169" i="5"/>
  <c r="I2605" i="5"/>
  <c r="I4259" i="5"/>
  <c r="I5219" i="5"/>
  <c r="I5229" i="5"/>
  <c r="I5439" i="5"/>
  <c r="I5517" i="5"/>
  <c r="G5512" i="5" s="1"/>
  <c r="I3580" i="5"/>
  <c r="I4949" i="5"/>
  <c r="G4944" i="5" s="1"/>
  <c r="G4464" i="5"/>
  <c r="I3645" i="5"/>
  <c r="I3445" i="5"/>
  <c r="I5445" i="5"/>
  <c r="I2626" i="5"/>
  <c r="I5256" i="5"/>
  <c r="I4538" i="5"/>
  <c r="I5097" i="5"/>
  <c r="I2646" i="5"/>
  <c r="I2224" i="5"/>
  <c r="I5257" i="5"/>
  <c r="I2176" i="5"/>
  <c r="I5314" i="5"/>
  <c r="G5309" i="5" s="1"/>
  <c r="I2232" i="5"/>
  <c r="I2297" i="5"/>
  <c r="I2177" i="5"/>
  <c r="I5249" i="5"/>
  <c r="I5346" i="5"/>
  <c r="G5339" i="5" s="1"/>
  <c r="I5213" i="5"/>
  <c r="I2513" i="5"/>
  <c r="I5113" i="5"/>
  <c r="G5110" i="5" s="1"/>
  <c r="I2286" i="5"/>
  <c r="I5276" i="5"/>
  <c r="I4533" i="5"/>
  <c r="I3609" i="5"/>
  <c r="I5098" i="5"/>
  <c r="I4269" i="5"/>
  <c r="I2512" i="5"/>
  <c r="I2318" i="5"/>
  <c r="I2194" i="5"/>
  <c r="I2264" i="5"/>
  <c r="I5361" i="5"/>
  <c r="I5337" i="5"/>
  <c r="G5330" i="5" s="1"/>
  <c r="I4093" i="5"/>
  <c r="G4090" i="5" s="1"/>
  <c r="I2400" i="5"/>
  <c r="I4268" i="5"/>
  <c r="I4254" i="5"/>
  <c r="I4264" i="5"/>
  <c r="I3454" i="5"/>
  <c r="I2762" i="5"/>
  <c r="I5431" i="5"/>
  <c r="G5428" i="5" s="1"/>
  <c r="I5492" i="5"/>
  <c r="I4539" i="5"/>
  <c r="I4921" i="5"/>
  <c r="I2233" i="5"/>
  <c r="I2203" i="5"/>
  <c r="I5181" i="5"/>
  <c r="G5175" i="5" s="1"/>
  <c r="I4253" i="5"/>
  <c r="I4263" i="5"/>
  <c r="I2503" i="5"/>
  <c r="I2590" i="5"/>
  <c r="I3455" i="5"/>
  <c r="I2544" i="5"/>
  <c r="I5250" i="5"/>
  <c r="I5454" i="5"/>
  <c r="G5451" i="5" s="1"/>
  <c r="I5529" i="5"/>
  <c r="I4786" i="5"/>
  <c r="I2202" i="5"/>
  <c r="I2609" i="5"/>
  <c r="I4052" i="5"/>
  <c r="I2502" i="5"/>
  <c r="I5209" i="5"/>
  <c r="I2591" i="5"/>
  <c r="I3431" i="5"/>
  <c r="I2603" i="5"/>
  <c r="I5526" i="5"/>
  <c r="I4202" i="5"/>
  <c r="G4199" i="5" s="1"/>
  <c r="I2183" i="5"/>
  <c r="I2564" i="5"/>
  <c r="I2632" i="5"/>
  <c r="I2274" i="5"/>
  <c r="I2343" i="5"/>
  <c r="I2308" i="5"/>
  <c r="I2329" i="5"/>
  <c r="I2615" i="5"/>
  <c r="I5117" i="5"/>
  <c r="G5114" i="5" s="1"/>
  <c r="I3413" i="5"/>
  <c r="I5173" i="5"/>
  <c r="G5169" i="5" s="1"/>
  <c r="I2554" i="5"/>
  <c r="I5016" i="5"/>
  <c r="I4257" i="5"/>
  <c r="I5220" i="5"/>
  <c r="I5230" i="5"/>
  <c r="I5440" i="5"/>
  <c r="I5500" i="5"/>
  <c r="I3586" i="5"/>
  <c r="I4739" i="5"/>
  <c r="I4960" i="5"/>
  <c r="I3550" i="5"/>
  <c r="I5281" i="5"/>
  <c r="G5277" i="5" s="1"/>
  <c r="I3446" i="5"/>
  <c r="I3421" i="5"/>
  <c r="I2342" i="5"/>
  <c r="I2307" i="5"/>
  <c r="I2549" i="5"/>
  <c r="I5136" i="5"/>
  <c r="G5132" i="5" s="1"/>
  <c r="I3437" i="5"/>
  <c r="I5140" i="5"/>
  <c r="G5137" i="5" s="1"/>
  <c r="I2553" i="5"/>
  <c r="I5017" i="5"/>
  <c r="I4258" i="5"/>
  <c r="I5275" i="5"/>
  <c r="I5446" i="5"/>
  <c r="I5499" i="5"/>
  <c r="I3555" i="5"/>
  <c r="I3603" i="5"/>
  <c r="I4963" i="5"/>
  <c r="G436" i="5"/>
  <c r="G1761" i="5"/>
  <c r="I1761" i="5" s="1"/>
  <c r="G50" i="5"/>
  <c r="G1785" i="5"/>
  <c r="I1785" i="5" s="1"/>
  <c r="G4418" i="5"/>
  <c r="I1561" i="5"/>
  <c r="I178" i="5"/>
  <c r="G594" i="5"/>
  <c r="I170" i="5"/>
  <c r="G167" i="5" s="1"/>
  <c r="I2091" i="5"/>
  <c r="I1542" i="5"/>
  <c r="I1567" i="5"/>
  <c r="I1896" i="5"/>
  <c r="I597" i="5"/>
  <c r="I2069" i="5"/>
  <c r="I2123" i="5"/>
  <c r="I1868" i="5"/>
  <c r="I2084" i="5"/>
  <c r="I194" i="5"/>
  <c r="I84" i="5"/>
  <c r="I270" i="5"/>
  <c r="G266" i="5" s="1"/>
  <c r="I432" i="5"/>
  <c r="G429" i="5" s="1"/>
  <c r="I276" i="5"/>
  <c r="G273" i="5" s="1"/>
  <c r="I1284" i="5"/>
  <c r="I932" i="5"/>
  <c r="G1395" i="5"/>
  <c r="I136" i="5"/>
  <c r="I1272" i="5"/>
  <c r="I970" i="5"/>
  <c r="G2003" i="5"/>
  <c r="I158" i="5"/>
  <c r="I530" i="5"/>
  <c r="G527" i="5" s="1"/>
  <c r="I174" i="5"/>
  <c r="I952" i="5"/>
  <c r="I1603" i="5"/>
  <c r="I1867" i="5"/>
  <c r="G477" i="5"/>
  <c r="I133" i="5"/>
  <c r="I1569" i="5"/>
  <c r="I2122" i="5"/>
  <c r="I1034" i="5"/>
  <c r="I122" i="5"/>
  <c r="I525" i="5"/>
  <c r="G1182" i="5"/>
  <c r="G1406" i="5"/>
  <c r="G4489" i="5"/>
  <c r="G5007" i="5"/>
  <c r="G4835" i="5"/>
  <c r="G829" i="5"/>
  <c r="G4496" i="5"/>
  <c r="G743" i="5"/>
  <c r="G4548" i="5"/>
  <c r="G4625" i="5"/>
  <c r="G1403" i="5"/>
  <c r="G4953" i="5"/>
  <c r="G1169" i="5"/>
  <c r="G4503" i="5"/>
  <c r="G4796" i="5"/>
  <c r="G720" i="5"/>
  <c r="I2141" i="5"/>
  <c r="G2139" i="5" s="1"/>
  <c r="I1586" i="5"/>
  <c r="I1534" i="5"/>
  <c r="I59" i="5"/>
  <c r="I78" i="5"/>
  <c r="I999" i="5"/>
  <c r="I1172" i="5"/>
  <c r="I1604" i="5"/>
  <c r="I1579" i="5"/>
  <c r="I330" i="5"/>
  <c r="I140" i="5"/>
  <c r="I596" i="5"/>
  <c r="I1540" i="5"/>
  <c r="I2040" i="5"/>
  <c r="I1014" i="5"/>
  <c r="I182" i="5"/>
  <c r="I1826" i="5"/>
  <c r="I961" i="5"/>
  <c r="I2041" i="5"/>
  <c r="I1035" i="5"/>
  <c r="I5353" i="5"/>
  <c r="G5356" i="5" s="1"/>
  <c r="I160" i="5"/>
  <c r="I193" i="5"/>
  <c r="I1185" i="5"/>
  <c r="I2015" i="5"/>
  <c r="I1588" i="5"/>
  <c r="I1575" i="5"/>
  <c r="I1595" i="5"/>
  <c r="I1524" i="5"/>
  <c r="I1533" i="5"/>
  <c r="I2076" i="5"/>
  <c r="I58" i="5"/>
  <c r="I283" i="5"/>
  <c r="G280" i="5" s="1"/>
  <c r="G2156" i="5"/>
  <c r="I130" i="5"/>
  <c r="G470" i="5"/>
  <c r="I117" i="5"/>
  <c r="G115" i="5" s="1"/>
  <c r="G1792" i="5" s="1"/>
  <c r="I526" i="5"/>
  <c r="I83" i="5"/>
  <c r="I2070" i="5"/>
  <c r="I2085" i="5"/>
  <c r="I124" i="5"/>
  <c r="I89" i="5"/>
  <c r="G86" i="5" s="1"/>
  <c r="G635" i="5"/>
  <c r="I1198" i="5"/>
  <c r="I1549" i="5"/>
  <c r="I805" i="5"/>
  <c r="I1596" i="5"/>
  <c r="I2077" i="5"/>
  <c r="I146" i="5"/>
  <c r="I199" i="5"/>
  <c r="I127" i="5"/>
  <c r="I1297" i="5"/>
  <c r="I163" i="5"/>
  <c r="I831" i="5"/>
  <c r="I93" i="5"/>
  <c r="G90" i="5" s="1"/>
  <c r="I154" i="5"/>
  <c r="G151" i="5" s="1"/>
  <c r="G4668" i="5" s="1"/>
  <c r="I4668" i="5" s="1"/>
  <c r="I225" i="5"/>
  <c r="I1895" i="5"/>
  <c r="I2028" i="5"/>
  <c r="I1551" i="5"/>
  <c r="I185" i="5"/>
  <c r="G4059" i="5"/>
  <c r="I2016" i="5"/>
  <c r="I2029" i="5"/>
  <c r="I1573" i="5"/>
  <c r="I1746" i="5"/>
  <c r="I1082" i="5"/>
  <c r="I1516" i="5"/>
  <c r="I1526" i="5"/>
  <c r="I80" i="5"/>
  <c r="I520" i="5"/>
  <c r="G518" i="5" s="1"/>
  <c r="I255" i="5"/>
  <c r="G253" i="5" s="1"/>
  <c r="G4669" i="5" s="1"/>
  <c r="I263" i="5"/>
  <c r="G258" i="5" s="1"/>
  <c r="I237" i="5"/>
  <c r="G231" i="5" s="1"/>
  <c r="I818" i="5"/>
  <c r="I1518" i="5"/>
  <c r="I1563" i="5"/>
  <c r="I1581" i="5"/>
  <c r="I592" i="5"/>
  <c r="G587" i="5" s="1"/>
  <c r="I150" i="5"/>
  <c r="I21" i="5"/>
  <c r="G18" i="5" s="1"/>
  <c r="I1843" i="5"/>
  <c r="I139" i="5"/>
  <c r="I166" i="5"/>
  <c r="I16" i="5"/>
  <c r="G14" i="5" s="1"/>
  <c r="I1046" i="5"/>
  <c r="I202" i="5"/>
  <c r="I2159" i="5"/>
  <c r="G2007" i="5"/>
  <c r="G2706" i="5"/>
  <c r="G72" i="5"/>
  <c r="G4025" i="5"/>
  <c r="G4015" i="5"/>
  <c r="G1207" i="5"/>
  <c r="G1352" i="5"/>
  <c r="G1105" i="5"/>
  <c r="G402" i="5"/>
  <c r="G1347" i="5"/>
  <c r="G4020" i="5"/>
  <c r="G1358" i="5"/>
  <c r="G624" i="5"/>
  <c r="G1072" i="5"/>
  <c r="G604" i="5"/>
  <c r="G4512" i="5"/>
  <c r="G612" i="5"/>
  <c r="G1336" i="5"/>
  <c r="G1422" i="5"/>
  <c r="G2082" i="5"/>
  <c r="G3294" i="5"/>
  <c r="G3263" i="5"/>
  <c r="G3029" i="5"/>
  <c r="G1584" i="5"/>
  <c r="G3312" i="5"/>
  <c r="G3571" i="5"/>
  <c r="G2883" i="5"/>
  <c r="G2923" i="5"/>
  <c r="G3061" i="5"/>
  <c r="G3254" i="5"/>
  <c r="G3497" i="5"/>
  <c r="G3553" i="5"/>
  <c r="G2893" i="5"/>
  <c r="G1538" i="5"/>
  <c r="G4829" i="5"/>
  <c r="G1728" i="5"/>
  <c r="G4104" i="5"/>
  <c r="G3489" i="5"/>
  <c r="G3053" i="5"/>
  <c r="G2718" i="5"/>
  <c r="G3850" i="5"/>
  <c r="G2670" i="5"/>
  <c r="G3013" i="5"/>
  <c r="G4307" i="5"/>
  <c r="G2888" i="5"/>
  <c r="G3547" i="5"/>
  <c r="G2742" i="5"/>
  <c r="G3021" i="5"/>
  <c r="G2929" i="5"/>
  <c r="G3742" i="5"/>
  <c r="G3505" i="5"/>
  <c r="G3037" i="5"/>
  <c r="G1974" i="5"/>
  <c r="G1571" i="5"/>
  <c r="G1718" i="5"/>
  <c r="G2694" i="5"/>
  <c r="G3960" i="5"/>
  <c r="G2899" i="5"/>
  <c r="G3565" i="5"/>
  <c r="G3730" i="5"/>
  <c r="G3806" i="5"/>
  <c r="G1822" i="5"/>
  <c r="G1709" i="5"/>
  <c r="G3791" i="5"/>
  <c r="G4423" i="5"/>
  <c r="G1559" i="5"/>
  <c r="G3285" i="5"/>
  <c r="G2074" i="5"/>
  <c r="G3589" i="5"/>
  <c r="G3755" i="5"/>
  <c r="G1514" i="5"/>
  <c r="G3303" i="5"/>
  <c r="G3045" i="5"/>
  <c r="G2658" i="5"/>
  <c r="G1771" i="5"/>
  <c r="G1531" i="5"/>
  <c r="G1606" i="5"/>
  <c r="G1758" i="5"/>
  <c r="G1660" i="5"/>
  <c r="G4038" i="5"/>
  <c r="G3779" i="5"/>
  <c r="G5079" i="5"/>
  <c r="G2726" i="5"/>
  <c r="G2061" i="5"/>
  <c r="G3583" i="5"/>
  <c r="G1565" i="5"/>
  <c r="G1964" i="5"/>
  <c r="G1676" i="5"/>
  <c r="G1669" i="5"/>
  <c r="G3607" i="5"/>
  <c r="G3767" i="5"/>
  <c r="G768" i="5"/>
  <c r="G916" i="5"/>
  <c r="G2682" i="5"/>
  <c r="G2734" i="5"/>
  <c r="G3559" i="5"/>
  <c r="G2759" i="5"/>
  <c r="G1522" i="5"/>
  <c r="G2013" i="5"/>
  <c r="G1547" i="5"/>
  <c r="G3837" i="5"/>
  <c r="G2001" i="5"/>
  <c r="G3601" i="5"/>
  <c r="G2935" i="5"/>
  <c r="G615" i="5"/>
  <c r="G1467" i="5"/>
  <c r="G1613" i="5"/>
  <c r="G1893" i="5"/>
  <c r="G3817" i="5"/>
  <c r="G3595" i="5"/>
  <c r="G2067" i="5"/>
  <c r="G3577" i="5"/>
  <c r="G1865" i="5"/>
  <c r="G3825" i="5"/>
  <c r="G2120" i="5"/>
  <c r="G816" i="5"/>
  <c r="G1281" i="5"/>
  <c r="G691" i="5"/>
  <c r="G1127" i="5"/>
  <c r="G1810" i="5"/>
  <c r="G860" i="5"/>
  <c r="G2958" i="5"/>
  <c r="G672" i="5"/>
  <c r="G605" i="5"/>
  <c r="G1757" i="5"/>
  <c r="G793" i="5"/>
  <c r="G844" i="5"/>
  <c r="G868" i="5"/>
  <c r="G644" i="5"/>
  <c r="G5040" i="5"/>
  <c r="G1160" i="5"/>
  <c r="G4580" i="5"/>
  <c r="G2825" i="5"/>
  <c r="G1152" i="5"/>
  <c r="G1079" i="5"/>
  <c r="G4588" i="5"/>
  <c r="G2964" i="5"/>
  <c r="G1821" i="5"/>
  <c r="G2982" i="5"/>
  <c r="G625" i="5"/>
  <c r="G1836" i="5"/>
  <c r="G1442" i="5"/>
  <c r="G4992" i="5"/>
  <c r="G1248" i="5"/>
  <c r="G2000" i="5"/>
  <c r="G648" i="5"/>
  <c r="G5186" i="5"/>
  <c r="G613" i="5"/>
  <c r="G664" i="5"/>
  <c r="G5050" i="5"/>
  <c r="G1368" i="5"/>
  <c r="G2952" i="5"/>
  <c r="G711" i="5"/>
  <c r="G905" i="5"/>
  <c r="G682" i="5"/>
  <c r="G1042" i="5"/>
  <c r="G2946" i="5"/>
  <c r="G1450" i="5"/>
  <c r="G1377" i="5"/>
  <c r="G1096" i="5"/>
  <c r="G5060" i="5"/>
  <c r="G1216" i="5"/>
  <c r="G1259" i="5"/>
  <c r="G1325" i="5"/>
  <c r="G1235" i="5"/>
  <c r="G983" i="5"/>
  <c r="G2814" i="5"/>
  <c r="G4805" i="5"/>
  <c r="G1053" i="5"/>
  <c r="G941" i="5"/>
  <c r="G1337" i="5"/>
  <c r="G2976" i="5"/>
  <c r="G755" i="5"/>
  <c r="G928" i="5"/>
  <c r="G654" i="5"/>
  <c r="G969" i="5"/>
  <c r="G1073" i="5"/>
  <c r="G573" i="5"/>
  <c r="G4571" i="5"/>
  <c r="G4526" i="5"/>
  <c r="G1021" i="5"/>
  <c r="G780" i="5"/>
  <c r="G4455" i="5"/>
  <c r="G1224" i="5"/>
  <c r="G891" i="5"/>
  <c r="G1011" i="5"/>
  <c r="G4724" i="5"/>
  <c r="G1309" i="5"/>
  <c r="G879" i="5"/>
  <c r="G4782" i="5"/>
  <c r="G951" i="5"/>
  <c r="G960" i="5"/>
  <c r="G4768" i="5"/>
  <c r="G854" i="5"/>
  <c r="G636" i="5"/>
  <c r="G803" i="5"/>
  <c r="G1793" i="5"/>
  <c r="G1269" i="5"/>
  <c r="G1144" i="5"/>
  <c r="G1088" i="5"/>
  <c r="G1293" i="5"/>
  <c r="G1240" i="5"/>
  <c r="G1114" i="5"/>
  <c r="G1386" i="5"/>
  <c r="G1136" i="5"/>
  <c r="G700" i="5"/>
  <c r="G1400" i="5"/>
  <c r="G2970" i="5"/>
  <c r="G1857" i="5"/>
  <c r="G5410" i="5"/>
  <c r="G5411" i="5"/>
  <c r="G585" i="5"/>
  <c r="G586" i="5"/>
  <c r="G221" i="5"/>
  <c r="I221" i="5" s="1"/>
  <c r="G4755" i="5"/>
  <c r="G4736" i="5"/>
  <c r="I4736" i="5" s="1"/>
  <c r="G2723" i="5"/>
  <c r="I2723" i="5" s="1"/>
  <c r="G220" i="5"/>
  <c r="I220" i="5" s="1"/>
  <c r="G4762" i="5"/>
  <c r="I4762" i="5" s="1"/>
  <c r="G3522" i="5"/>
  <c r="I3522" i="5" s="1"/>
  <c r="G3520" i="5" s="1"/>
  <c r="G3693" i="5"/>
  <c r="I3693" i="5" s="1"/>
  <c r="G3691" i="5" s="1"/>
  <c r="G3618" i="5"/>
  <c r="I3618" i="5" s="1"/>
  <c r="G3616" i="5" s="1"/>
  <c r="G3001" i="5"/>
  <c r="I3001" i="5" s="1"/>
  <c r="G4427" i="5"/>
  <c r="I4427" i="5" s="1"/>
  <c r="G4426" i="5" s="1"/>
  <c r="G3683" i="5"/>
  <c r="I3683" i="5" s="1"/>
  <c r="G3681" i="5" s="1"/>
  <c r="G2215" i="5"/>
  <c r="I2215" i="5" s="1"/>
  <c r="G2214" i="5" s="1"/>
  <c r="G3623" i="5"/>
  <c r="I3623" i="5" s="1"/>
  <c r="G3621" i="5" s="1"/>
  <c r="G3537" i="5"/>
  <c r="I3537" i="5" s="1"/>
  <c r="G3535" i="5" s="1"/>
  <c r="G2205" i="5"/>
  <c r="I2205" i="5" s="1"/>
  <c r="G2204" i="5" s="1"/>
  <c r="G2428" i="5"/>
  <c r="I2428" i="5" s="1"/>
  <c r="G2422" i="5" s="1"/>
  <c r="G3713" i="5"/>
  <c r="I3713" i="5" s="1"/>
  <c r="G3711" i="5" s="1"/>
  <c r="G3648" i="5"/>
  <c r="I3648" i="5" s="1"/>
  <c r="G3646" i="5" s="1"/>
  <c r="G2994" i="5"/>
  <c r="I2994" i="5" s="1"/>
  <c r="G3678" i="5"/>
  <c r="I3678" i="5" s="1"/>
  <c r="G3676" i="5" s="1"/>
  <c r="G4754" i="5"/>
  <c r="I4754" i="5" s="1"/>
  <c r="G3532" i="5"/>
  <c r="I3532" i="5" s="1"/>
  <c r="G3530" i="5" s="1"/>
  <c r="G2842" i="5"/>
  <c r="I2842" i="5" s="1"/>
  <c r="G2841" i="5" s="1"/>
  <c r="G3638" i="5"/>
  <c r="I3638" i="5" s="1"/>
  <c r="G3636" i="5" s="1"/>
  <c r="G327" i="5"/>
  <c r="I327" i="5" s="1"/>
  <c r="G4761" i="5"/>
  <c r="I4761" i="5" s="1"/>
  <c r="G4734" i="5"/>
  <c r="I4734" i="5" s="1"/>
  <c r="G3633" i="5"/>
  <c r="G2258" i="5"/>
  <c r="I2258" i="5" s="1"/>
  <c r="G3408" i="5"/>
  <c r="I3408" i="5" s="1"/>
  <c r="G3409" i="5" s="1"/>
  <c r="G3542" i="5"/>
  <c r="I3542" i="5" s="1"/>
  <c r="G3540" i="5" s="1"/>
  <c r="G3688" i="5"/>
  <c r="I3688" i="5" s="1"/>
  <c r="G3686" i="5" s="1"/>
  <c r="G3527" i="5"/>
  <c r="I3527" i="5" s="1"/>
  <c r="G3525" i="5" s="1"/>
  <c r="G4362" i="5"/>
  <c r="I4362" i="5" s="1"/>
  <c r="G3613" i="5"/>
  <c r="I3613" i="5" s="1"/>
  <c r="G3611" i="5" s="1"/>
  <c r="G3008" i="5"/>
  <c r="I3008" i="5" s="1"/>
  <c r="G3009" i="5" s="1"/>
  <c r="G2211" i="5"/>
  <c r="I2211" i="5" s="1"/>
  <c r="G2210" i="5" s="1"/>
  <c r="G4408" i="5"/>
  <c r="G3698" i="5"/>
  <c r="I3698" i="5" s="1"/>
  <c r="G3696" i="5" s="1"/>
  <c r="G2675" i="5"/>
  <c r="I2675" i="5" s="1"/>
  <c r="G3057" i="5"/>
  <c r="I3057" i="5" s="1"/>
  <c r="G3258" i="5"/>
  <c r="I3258" i="5" s="1"/>
  <c r="G3259" i="5" s="1"/>
  <c r="G219" i="5"/>
  <c r="I219" i="5" s="1"/>
  <c r="G3049" i="5"/>
  <c r="I3049" i="5" s="1"/>
  <c r="G2987" i="5"/>
  <c r="I2987" i="5" s="1"/>
  <c r="G2988" i="5" s="1"/>
  <c r="G3708" i="5"/>
  <c r="I3708" i="5" s="1"/>
  <c r="G3706" i="5" s="1"/>
  <c r="G2933" i="5"/>
  <c r="I2933" i="5" s="1"/>
  <c r="G3017" i="5"/>
  <c r="I3017" i="5" s="1"/>
  <c r="G3249" i="5"/>
  <c r="I3249" i="5" s="1"/>
  <c r="G3394" i="5"/>
  <c r="I3394" i="5" s="1"/>
  <c r="G3628" i="5"/>
  <c r="I3628" i="5" s="1"/>
  <c r="G3626" i="5" s="1"/>
  <c r="G2863" i="5"/>
  <c r="I2863" i="5" s="1"/>
  <c r="G2862" i="5" s="1"/>
  <c r="G3424" i="5"/>
  <c r="I3424" i="5" s="1"/>
  <c r="G2711" i="5"/>
  <c r="I2711" i="5" s="1"/>
  <c r="G3298" i="5"/>
  <c r="I3298" i="5" s="1"/>
  <c r="G3299" i="5" s="1"/>
  <c r="G2722" i="5"/>
  <c r="I2722" i="5" s="1"/>
  <c r="G2739" i="5"/>
  <c r="I2739" i="5" s="1"/>
  <c r="G2809" i="5"/>
  <c r="I2809" i="5" s="1"/>
  <c r="G3041" i="5"/>
  <c r="I3041" i="5" s="1"/>
  <c r="G3042" i="5" s="1"/>
  <c r="G2731" i="5"/>
  <c r="I2731" i="5" s="1"/>
  <c r="G2688" i="5"/>
  <c r="I2688" i="5" s="1"/>
  <c r="D13" i="18" l="1"/>
  <c r="G5317" i="5"/>
  <c r="I4408" i="5"/>
  <c r="G4406" i="5" s="1"/>
  <c r="G5436" i="5"/>
  <c r="G5511" i="5" s="1"/>
  <c r="G2184" i="5"/>
  <c r="G5271" i="5"/>
  <c r="G522" i="5"/>
  <c r="G2600" i="5"/>
  <c r="G5523" i="5"/>
  <c r="G5210" i="5"/>
  <c r="G2584" i="5"/>
  <c r="G2397" i="5"/>
  <c r="G2172" i="5"/>
  <c r="G4255" i="5"/>
  <c r="G1074" i="5"/>
  <c r="I1074" i="5" s="1"/>
  <c r="G804" i="5"/>
  <c r="I804" i="5" s="1"/>
  <c r="G5205" i="5"/>
  <c r="G4725" i="5"/>
  <c r="I4725" i="5" s="1"/>
  <c r="G673" i="5"/>
  <c r="I673" i="5" s="1"/>
  <c r="G2199" i="5"/>
  <c r="G845" i="5"/>
  <c r="I845" i="5" s="1"/>
  <c r="G1206" i="5"/>
  <c r="I1206" i="5" s="1"/>
  <c r="G1759" i="5"/>
  <c r="I1759" i="5" s="1"/>
  <c r="G1225" i="5"/>
  <c r="I1225" i="5" s="1"/>
  <c r="I1032" i="5"/>
  <c r="G3438" i="5"/>
  <c r="G817" i="5"/>
  <c r="I817" i="5" s="1"/>
  <c r="G830" i="5"/>
  <c r="I830" i="5" s="1"/>
  <c r="G2298" i="5"/>
  <c r="G2611" i="5"/>
  <c r="G1249" i="5"/>
  <c r="I1249" i="5" s="1"/>
  <c r="G1043" i="5"/>
  <c r="I1043" i="5" s="1"/>
  <c r="G1772" i="5"/>
  <c r="I1772" i="5" s="1"/>
  <c r="G917" i="5"/>
  <c r="I917" i="5" s="1"/>
  <c r="G1782" i="5"/>
  <c r="I1782" i="5" s="1"/>
  <c r="G1282" i="5"/>
  <c r="I1282" i="5" s="1"/>
  <c r="G626" i="5"/>
  <c r="I626" i="5" s="1"/>
  <c r="G4743" i="5"/>
  <c r="I4743" i="5" s="1"/>
  <c r="G4741" i="5" s="1"/>
  <c r="G1597" i="5"/>
  <c r="G929" i="5"/>
  <c r="I929" i="5" s="1"/>
  <c r="G1145" i="5"/>
  <c r="I1145" i="5" s="1"/>
  <c r="G2771" i="5"/>
  <c r="I2771" i="5" s="1"/>
  <c r="G2774" i="5" s="1"/>
  <c r="G4614" i="5"/>
  <c r="I4614" i="5" s="1"/>
  <c r="I4755" i="5"/>
  <c r="G4753" i="5" s="1"/>
  <c r="G1010" i="5"/>
  <c r="I1010" i="5" s="1"/>
  <c r="G614" i="5"/>
  <c r="I614" i="5" s="1"/>
  <c r="G1743" i="5"/>
  <c r="I1743" i="5" s="1"/>
  <c r="G1126" i="5"/>
  <c r="I1126" i="5" s="1"/>
  <c r="G1338" i="5"/>
  <c r="I1338" i="5" s="1"/>
  <c r="G2254" i="5"/>
  <c r="G1022" i="5"/>
  <c r="I1022" i="5" s="1"/>
  <c r="G4587" i="5"/>
  <c r="I4587" i="5" s="1"/>
  <c r="G1171" i="5"/>
  <c r="I1171" i="5" s="1"/>
  <c r="G1054" i="5"/>
  <c r="I1054" i="5" s="1"/>
  <c r="G3447" i="5"/>
  <c r="G2621" i="5"/>
  <c r="G2265" i="5"/>
  <c r="G802" i="5"/>
  <c r="I802" i="5" s="1"/>
  <c r="G5093" i="5"/>
  <c r="G4165" i="5"/>
  <c r="G2320" i="5"/>
  <c r="G1196" i="5"/>
  <c r="I1196" i="5" s="1"/>
  <c r="G2287" i="5"/>
  <c r="G2514" i="5"/>
  <c r="G1183" i="5"/>
  <c r="I1183" i="5" s="1"/>
  <c r="G1170" i="5"/>
  <c r="I1170" i="5" s="1"/>
  <c r="G2494" i="5"/>
  <c r="G2309" i="5"/>
  <c r="G2226" i="5"/>
  <c r="G5251" i="5"/>
  <c r="G4906" i="5"/>
  <c r="G2642" i="5"/>
  <c r="G815" i="5"/>
  <c r="I815" i="5" s="1"/>
  <c r="G3415" i="5"/>
  <c r="G2178" i="5"/>
  <c r="G2504" i="5"/>
  <c r="G5489" i="5"/>
  <c r="G2550" i="5"/>
  <c r="G2606" i="5"/>
  <c r="G5441" i="5"/>
  <c r="G5221" i="5"/>
  <c r="G2627" i="5"/>
  <c r="G2431" i="5"/>
  <c r="G2539" i="5"/>
  <c r="G3432" i="5"/>
  <c r="G5215" i="5"/>
  <c r="G4260" i="5"/>
  <c r="G2218" i="5"/>
  <c r="G2190" i="5"/>
  <c r="G2545" i="5"/>
  <c r="G5013" i="5"/>
  <c r="G2331" i="5"/>
  <c r="G4251" i="5"/>
  <c r="G5357" i="5"/>
  <c r="G4048" i="5"/>
  <c r="G5103" i="5"/>
  <c r="G4265" i="5"/>
  <c r="G4611" i="5"/>
  <c r="I4611" i="5" s="1"/>
  <c r="G4536" i="5"/>
  <c r="G2276" i="5"/>
  <c r="I2988" i="5"/>
  <c r="G2986" i="5" s="1"/>
  <c r="I3009" i="5"/>
  <c r="I3259" i="5"/>
  <c r="I4610" i="5"/>
  <c r="I5410" i="5"/>
  <c r="I3299" i="5"/>
  <c r="I3042" i="5"/>
  <c r="I5411" i="5"/>
  <c r="I3409" i="5"/>
  <c r="G3407" i="5" s="1"/>
  <c r="G828" i="5"/>
  <c r="I828" i="5" s="1"/>
  <c r="G137" i="5"/>
  <c r="G1809" i="5"/>
  <c r="I1809" i="5" s="1"/>
  <c r="G155" i="5"/>
  <c r="G5414" i="5"/>
  <c r="I5414" i="5" s="1"/>
  <c r="G5412" i="5" s="1"/>
  <c r="G1835" i="5"/>
  <c r="I1835" i="5" s="1"/>
  <c r="G2957" i="5"/>
  <c r="I2957" i="5" s="1"/>
  <c r="G1197" i="5"/>
  <c r="I1197" i="5" s="1"/>
  <c r="G655" i="5"/>
  <c r="I655" i="5" s="1"/>
  <c r="G1858" i="5"/>
  <c r="I1858" i="5" s="1"/>
  <c r="G606" i="5"/>
  <c r="I606" i="5" s="1"/>
  <c r="G144" i="5"/>
  <c r="G161" i="5"/>
  <c r="G5510" i="5"/>
  <c r="I5510" i="5" s="1"/>
  <c r="G1357" i="5"/>
  <c r="I1357" i="5" s="1"/>
  <c r="G1589" i="5"/>
  <c r="G4525" i="5"/>
  <c r="I4525" i="5" s="1"/>
  <c r="G179" i="5"/>
  <c r="G81" i="5"/>
  <c r="G191" i="5"/>
  <c r="G119" i="5"/>
  <c r="G1351" i="5" s="1"/>
  <c r="G76" i="5"/>
  <c r="G172" i="5"/>
  <c r="G2796" i="5"/>
  <c r="I2796" i="5" s="1"/>
  <c r="G2793" i="5" s="1"/>
  <c r="G2002" i="5"/>
  <c r="I2002" i="5" s="1"/>
  <c r="G4527" i="5"/>
  <c r="I4527" i="5" s="1"/>
  <c r="G56" i="5"/>
  <c r="G1270" i="5"/>
  <c r="G637" i="5"/>
  <c r="I637" i="5" s="1"/>
  <c r="G1184" i="5"/>
  <c r="G1294" i="5"/>
  <c r="G2017" i="5"/>
  <c r="G125" i="5"/>
  <c r="G197" i="5"/>
  <c r="I5356" i="5"/>
  <c r="I594" i="5"/>
  <c r="G593" i="5" s="1"/>
  <c r="I1114" i="5"/>
  <c r="G1108" i="5" s="1"/>
  <c r="I2976" i="5"/>
  <c r="I664" i="5"/>
  <c r="G659" i="5" s="1"/>
  <c r="I691" i="5"/>
  <c r="G685" i="5" s="1"/>
  <c r="I3730" i="5"/>
  <c r="G3722" i="5" s="1"/>
  <c r="I4669" i="5"/>
  <c r="I1403" i="5"/>
  <c r="G1401" i="5" s="1"/>
  <c r="I636" i="5"/>
  <c r="I1337" i="5"/>
  <c r="I2825" i="5"/>
  <c r="G2818" i="5" s="1"/>
  <c r="I1676" i="5"/>
  <c r="G1672" i="5" s="1"/>
  <c r="I3565" i="5"/>
  <c r="G3563" i="5" s="1"/>
  <c r="I2893" i="5"/>
  <c r="G2891" i="5" s="1"/>
  <c r="I1406" i="5"/>
  <c r="G1404" i="5" s="1"/>
  <c r="I1857" i="5"/>
  <c r="I941" i="5"/>
  <c r="G934" i="5" s="1"/>
  <c r="I2982" i="5"/>
  <c r="I816" i="5"/>
  <c r="I1964" i="5"/>
  <c r="G1958" i="5" s="1"/>
  <c r="I2888" i="5"/>
  <c r="G2886" i="5" s="1"/>
  <c r="I1160" i="5"/>
  <c r="G1158" i="5" s="1"/>
  <c r="I2013" i="5"/>
  <c r="G2010" i="5" s="1"/>
  <c r="G1820" i="5"/>
  <c r="I3053" i="5"/>
  <c r="I1072" i="5"/>
  <c r="I743" i="5"/>
  <c r="G735" i="5" s="1"/>
  <c r="I1400" i="5"/>
  <c r="G1398" i="5" s="1"/>
  <c r="I1144" i="5"/>
  <c r="I960" i="5"/>
  <c r="G957" i="5" s="1"/>
  <c r="I1224" i="5"/>
  <c r="I969" i="5"/>
  <c r="G966" i="5" s="1"/>
  <c r="I4805" i="5"/>
  <c r="G4803" i="5" s="1"/>
  <c r="I1096" i="5"/>
  <c r="G1091" i="5" s="1"/>
  <c r="I711" i="5"/>
  <c r="G703" i="5" s="1"/>
  <c r="I2000" i="5"/>
  <c r="I2964" i="5"/>
  <c r="I5040" i="5"/>
  <c r="G5036" i="5" s="1"/>
  <c r="I2958" i="5"/>
  <c r="I3825" i="5"/>
  <c r="G3820" i="5" s="1"/>
  <c r="I1467" i="5"/>
  <c r="G1465" i="5" s="1"/>
  <c r="G5509" i="5" s="1"/>
  <c r="I1522" i="5"/>
  <c r="G1519" i="5" s="1"/>
  <c r="G1760" i="5" s="1"/>
  <c r="I3583" i="5"/>
  <c r="G3581" i="5" s="1"/>
  <c r="I3779" i="5"/>
  <c r="G3770" i="5" s="1"/>
  <c r="G2945" i="5"/>
  <c r="I3285" i="5"/>
  <c r="G3279" i="5" s="1"/>
  <c r="I3791" i="5"/>
  <c r="G3782" i="5" s="1"/>
  <c r="I2694" i="5"/>
  <c r="G2685" i="5" s="1"/>
  <c r="I2929" i="5"/>
  <c r="G2926" i="5" s="1"/>
  <c r="I3013" i="5"/>
  <c r="I3489" i="5"/>
  <c r="G3484" i="5" s="1"/>
  <c r="I3497" i="5"/>
  <c r="G3492" i="5" s="1"/>
  <c r="I624" i="5"/>
  <c r="I4015" i="5"/>
  <c r="G4013" i="5" s="1"/>
  <c r="I4796" i="5"/>
  <c r="G4789" i="5" s="1"/>
  <c r="I4496" i="5"/>
  <c r="G4495" i="5" s="1"/>
  <c r="I1309" i="5"/>
  <c r="G1299" i="5" s="1"/>
  <c r="I1031" i="5"/>
  <c r="I793" i="5"/>
  <c r="G786" i="5" s="1"/>
  <c r="I2682" i="5"/>
  <c r="G2673" i="5" s="1"/>
  <c r="I1514" i="5"/>
  <c r="G1511" i="5" s="1"/>
  <c r="I1974" i="5"/>
  <c r="G1967" i="5" s="1"/>
  <c r="I2923" i="5"/>
  <c r="G2919" i="5" s="1"/>
  <c r="I612" i="5"/>
  <c r="I4489" i="5"/>
  <c r="G4488" i="5" s="1"/>
  <c r="I477" i="5"/>
  <c r="G474" i="5" s="1"/>
  <c r="G326" i="5"/>
  <c r="I1240" i="5"/>
  <c r="G1238" i="5" s="1"/>
  <c r="I4571" i="5"/>
  <c r="G4563" i="5" s="1"/>
  <c r="I613" i="5"/>
  <c r="I3817" i="5"/>
  <c r="G3809" i="5" s="1"/>
  <c r="I916" i="5"/>
  <c r="I3755" i="5"/>
  <c r="G3745" i="5" s="1"/>
  <c r="I4512" i="5"/>
  <c r="G4510" i="5" s="1"/>
  <c r="I1011" i="5"/>
  <c r="I5186" i="5"/>
  <c r="G5182" i="5" s="1"/>
  <c r="I3589" i="5"/>
  <c r="G3587" i="5" s="1"/>
  <c r="G2969" i="5"/>
  <c r="I3553" i="5"/>
  <c r="G3551" i="5" s="1"/>
  <c r="I4059" i="5"/>
  <c r="G4057" i="5" s="1"/>
  <c r="I2970" i="5"/>
  <c r="I1088" i="5"/>
  <c r="G1083" i="5" s="1"/>
  <c r="I1073" i="5"/>
  <c r="I905" i="5"/>
  <c r="G897" i="5" s="1"/>
  <c r="I672" i="5"/>
  <c r="I768" i="5"/>
  <c r="G760" i="5" s="1"/>
  <c r="I2658" i="5"/>
  <c r="G2648" i="5" s="1"/>
  <c r="I3960" i="5"/>
  <c r="G3951" i="5" s="1"/>
  <c r="G4613" i="5"/>
  <c r="G5354" i="5"/>
  <c r="I586" i="5"/>
  <c r="I700" i="5"/>
  <c r="G694" i="5" s="1"/>
  <c r="I1269" i="5"/>
  <c r="I951" i="5"/>
  <c r="G944" i="5" s="1"/>
  <c r="I4455" i="5"/>
  <c r="G4447" i="5" s="1"/>
  <c r="I654" i="5"/>
  <c r="I2814" i="5"/>
  <c r="G2807" i="5" s="1"/>
  <c r="I1377" i="5"/>
  <c r="G1371" i="5" s="1"/>
  <c r="I2952" i="5"/>
  <c r="I1248" i="5"/>
  <c r="I4588" i="5"/>
  <c r="I644" i="5"/>
  <c r="G640" i="5" s="1"/>
  <c r="I860" i="5"/>
  <c r="G857" i="5" s="1"/>
  <c r="I1865" i="5"/>
  <c r="G1863" i="5" s="1"/>
  <c r="I615" i="5"/>
  <c r="I2759" i="5"/>
  <c r="G2754" i="5" s="1"/>
  <c r="G4631" i="5"/>
  <c r="I2061" i="5"/>
  <c r="G2057" i="5" s="1"/>
  <c r="I4038" i="5"/>
  <c r="G4035" i="5" s="1"/>
  <c r="G2963" i="5"/>
  <c r="I1559" i="5"/>
  <c r="G1558" i="5" s="1"/>
  <c r="I1709" i="5"/>
  <c r="G1702" i="5" s="1"/>
  <c r="I3021" i="5"/>
  <c r="I2670" i="5"/>
  <c r="G2661" i="5" s="1"/>
  <c r="I4104" i="5"/>
  <c r="G4099" i="5" s="1"/>
  <c r="I3254" i="5"/>
  <c r="I3312" i="5"/>
  <c r="G3306" i="5" s="1"/>
  <c r="I2082" i="5"/>
  <c r="G2078" i="5" s="1"/>
  <c r="I1358" i="5"/>
  <c r="I4025" i="5"/>
  <c r="G4023" i="5" s="1"/>
  <c r="I4503" i="5"/>
  <c r="G4502" i="5" s="1"/>
  <c r="I829" i="5"/>
  <c r="I1395" i="5"/>
  <c r="G1389" i="5" s="1"/>
  <c r="G5502" i="5"/>
  <c r="I803" i="5"/>
  <c r="I1325" i="5"/>
  <c r="G1315" i="5" s="1"/>
  <c r="I1152" i="5"/>
  <c r="G1148" i="5" s="1"/>
  <c r="I2001" i="5"/>
  <c r="I1606" i="5"/>
  <c r="G1605" i="5" s="1"/>
  <c r="I1538" i="5"/>
  <c r="G1535" i="5" s="1"/>
  <c r="I402" i="5"/>
  <c r="G396" i="5" s="1"/>
  <c r="I4724" i="5"/>
  <c r="I1259" i="5"/>
  <c r="G1252" i="5" s="1"/>
  <c r="I625" i="5"/>
  <c r="I1757" i="5"/>
  <c r="I3837" i="5"/>
  <c r="G3828" i="5" s="1"/>
  <c r="I1531" i="5"/>
  <c r="I1792" i="5"/>
  <c r="I3547" i="5"/>
  <c r="G3545" i="5" s="1"/>
  <c r="I3029" i="5"/>
  <c r="G3024" i="5" s="1"/>
  <c r="G4667" i="5"/>
  <c r="I854" i="5"/>
  <c r="G848" i="5" s="1"/>
  <c r="I573" i="5"/>
  <c r="G571" i="5" s="1"/>
  <c r="G1742" i="5" s="1"/>
  <c r="I682" i="5"/>
  <c r="G676" i="5" s="1"/>
  <c r="I4580" i="5"/>
  <c r="G4574" i="5" s="1"/>
  <c r="I605" i="5"/>
  <c r="I1893" i="5"/>
  <c r="G1890" i="5" s="1"/>
  <c r="I1547" i="5"/>
  <c r="G1543" i="5" s="1"/>
  <c r="G1840" i="5" s="1"/>
  <c r="I1771" i="5"/>
  <c r="I2899" i="5"/>
  <c r="G2896" i="5" s="1"/>
  <c r="I3571" i="5"/>
  <c r="G3569" i="5" s="1"/>
  <c r="I3263" i="5"/>
  <c r="I604" i="5"/>
  <c r="I1352" i="5"/>
  <c r="I2007" i="5"/>
  <c r="G2006" i="5" s="1"/>
  <c r="I4768" i="5"/>
  <c r="G4767" i="5" s="1"/>
  <c r="I1053" i="5"/>
  <c r="I1821" i="5"/>
  <c r="I2120" i="5"/>
  <c r="G2118" i="5" s="1"/>
  <c r="I1565" i="5"/>
  <c r="G1564" i="5" s="1"/>
  <c r="I2074" i="5"/>
  <c r="G2071" i="5" s="1"/>
  <c r="I3742" i="5"/>
  <c r="G3733" i="5" s="1"/>
  <c r="G2951" i="5"/>
  <c r="I1207" i="5"/>
  <c r="I585" i="5"/>
  <c r="I1136" i="5"/>
  <c r="G1130" i="5" s="1"/>
  <c r="I4782" i="5"/>
  <c r="G4775" i="5" s="1"/>
  <c r="I780" i="5"/>
  <c r="G773" i="5" s="1"/>
  <c r="I928" i="5"/>
  <c r="I983" i="5"/>
  <c r="G975" i="5" s="1"/>
  <c r="I1450" i="5"/>
  <c r="G1448" i="5" s="1"/>
  <c r="G1475" i="5" s="1"/>
  <c r="I1368" i="5"/>
  <c r="G1362" i="5" s="1"/>
  <c r="I4992" i="5"/>
  <c r="G4983" i="5" s="1"/>
  <c r="I868" i="5"/>
  <c r="G865" i="5" s="1"/>
  <c r="I1810" i="5"/>
  <c r="I3577" i="5"/>
  <c r="G3575" i="5" s="1"/>
  <c r="I2935" i="5"/>
  <c r="G2932" i="5" s="1"/>
  <c r="I3559" i="5"/>
  <c r="G3557" i="5" s="1"/>
  <c r="I3767" i="5"/>
  <c r="G3758" i="5" s="1"/>
  <c r="I2726" i="5"/>
  <c r="G2721" i="5" s="1"/>
  <c r="I1660" i="5"/>
  <c r="G1655" i="5" s="1"/>
  <c r="I3045" i="5"/>
  <c r="I4423" i="5"/>
  <c r="G4421" i="5" s="1"/>
  <c r="I1822" i="5"/>
  <c r="I1718" i="5"/>
  <c r="G1712" i="5" s="1"/>
  <c r="I2742" i="5"/>
  <c r="G2737" i="5" s="1"/>
  <c r="G2981" i="5"/>
  <c r="I1728" i="5"/>
  <c r="G1721" i="5" s="1"/>
  <c r="I3061" i="5"/>
  <c r="I1584" i="5"/>
  <c r="G1582" i="5" s="1"/>
  <c r="I1422" i="5"/>
  <c r="G1416" i="5" s="1"/>
  <c r="I4020" i="5"/>
  <c r="G4018" i="5" s="1"/>
  <c r="I72" i="5"/>
  <c r="G64" i="5" s="1"/>
  <c r="G4641" i="5"/>
  <c r="I2156" i="5"/>
  <c r="G2154" i="5" s="1"/>
  <c r="I1169" i="5"/>
  <c r="I4835" i="5"/>
  <c r="G4834" i="5" s="1"/>
  <c r="I2003" i="5"/>
  <c r="I4526" i="5"/>
  <c r="I1836" i="5"/>
  <c r="I3595" i="5"/>
  <c r="G3593" i="5" s="1"/>
  <c r="I1669" i="5"/>
  <c r="G1663" i="5" s="1"/>
  <c r="I2718" i="5"/>
  <c r="G2709" i="5" s="1"/>
  <c r="I2706" i="5"/>
  <c r="G2697" i="5" s="1"/>
  <c r="I1042" i="5"/>
  <c r="I1281" i="5"/>
  <c r="I3037" i="5"/>
  <c r="G3032" i="5" s="1"/>
  <c r="I2883" i="5"/>
  <c r="G2880" i="5" s="1"/>
  <c r="I1105" i="5"/>
  <c r="G1100" i="5" s="1"/>
  <c r="I635" i="5"/>
  <c r="I4625" i="5"/>
  <c r="G4618" i="5" s="1"/>
  <c r="I1293" i="5"/>
  <c r="I1216" i="5"/>
  <c r="G1211" i="5" s="1"/>
  <c r="I3505" i="5"/>
  <c r="G3500" i="5" s="1"/>
  <c r="I470" i="5"/>
  <c r="G467" i="5" s="1"/>
  <c r="I4548" i="5"/>
  <c r="G4541" i="5" s="1"/>
  <c r="I891" i="5"/>
  <c r="G883" i="5" s="1"/>
  <c r="I648" i="5"/>
  <c r="G647" i="5" s="1"/>
  <c r="I1613" i="5"/>
  <c r="G1609" i="5" s="1"/>
  <c r="I5079" i="5"/>
  <c r="G5075" i="5" s="1"/>
  <c r="I4307" i="5"/>
  <c r="G4305" i="5" s="1"/>
  <c r="I3294" i="5"/>
  <c r="G3288" i="5" s="1"/>
  <c r="I720" i="5"/>
  <c r="G714" i="5" s="1"/>
  <c r="I1182" i="5"/>
  <c r="G1234" i="5"/>
  <c r="I1386" i="5"/>
  <c r="G1380" i="5" s="1"/>
  <c r="I1793" i="5"/>
  <c r="I879" i="5"/>
  <c r="G873" i="5" s="1"/>
  <c r="I1021" i="5"/>
  <c r="I755" i="5"/>
  <c r="G748" i="5" s="1"/>
  <c r="I1235" i="5"/>
  <c r="I2946" i="5"/>
  <c r="I5050" i="5"/>
  <c r="G5049" i="5" s="1"/>
  <c r="I1442" i="5"/>
  <c r="G1435" i="5" s="1"/>
  <c r="I1079" i="5"/>
  <c r="G1077" i="5" s="1"/>
  <c r="I844" i="5"/>
  <c r="I1127" i="5"/>
  <c r="I2067" i="5"/>
  <c r="G2064" i="5" s="1"/>
  <c r="I3601" i="5"/>
  <c r="G3599" i="5" s="1"/>
  <c r="I2734" i="5"/>
  <c r="G2729" i="5" s="1"/>
  <c r="I3607" i="5"/>
  <c r="G3605" i="5" s="1"/>
  <c r="I1758" i="5"/>
  <c r="I3303" i="5"/>
  <c r="G2975" i="5"/>
  <c r="I3806" i="5"/>
  <c r="G3797" i="5" s="1"/>
  <c r="I1571" i="5"/>
  <c r="G1570" i="5" s="1"/>
  <c r="I3850" i="5"/>
  <c r="G3840" i="5" s="1"/>
  <c r="I4829" i="5"/>
  <c r="G4638" i="5"/>
  <c r="G1856" i="5"/>
  <c r="I1336" i="5"/>
  <c r="I1347" i="5"/>
  <c r="G1341" i="5" s="1"/>
  <c r="I4953" i="5"/>
  <c r="G4952" i="5" s="1"/>
  <c r="I5007" i="5"/>
  <c r="G4998" i="5" s="1"/>
  <c r="G131" i="5"/>
  <c r="I4418" i="5"/>
  <c r="G4416" i="5" s="1"/>
  <c r="G4760" i="5"/>
  <c r="I3633" i="5"/>
  <c r="G3631" i="5" s="1"/>
  <c r="G3643" i="5"/>
  <c r="G203" i="5"/>
  <c r="G218" i="5"/>
  <c r="G4732" i="5"/>
  <c r="G3425" i="5"/>
  <c r="G3395" i="5"/>
  <c r="G3018" i="5"/>
  <c r="G3050" i="5"/>
  <c r="G3058" i="5"/>
  <c r="G3250" i="5"/>
  <c r="G4119" i="5"/>
  <c r="G4129" i="5"/>
  <c r="G2995" i="5"/>
  <c r="G3002" i="5"/>
  <c r="G43" i="18" l="1"/>
  <c r="I43" i="18" s="1"/>
  <c r="I47" i="18"/>
  <c r="G39" i="18"/>
  <c r="I39" i="18" s="1"/>
  <c r="G40" i="18"/>
  <c r="I40" i="18" s="1"/>
  <c r="H26" i="18"/>
  <c r="H21" i="18"/>
  <c r="H35" i="18"/>
  <c r="G42" i="18"/>
  <c r="I42" i="18" s="1"/>
  <c r="H31" i="18"/>
  <c r="G41" i="18"/>
  <c r="I41" i="18" s="1"/>
  <c r="G38" i="18"/>
  <c r="I38" i="18" s="1"/>
  <c r="G4714" i="5"/>
  <c r="I4714" i="5" s="1"/>
  <c r="G4704" i="5" s="1"/>
  <c r="G4699" i="5"/>
  <c r="I4699" i="5" s="1"/>
  <c r="G4689" i="5" s="1"/>
  <c r="G2038" i="5"/>
  <c r="I2038" i="5" s="1"/>
  <c r="G2030" i="5" s="1"/>
  <c r="G2108" i="5"/>
  <c r="I2108" i="5" s="1"/>
  <c r="G2100" i="5" s="1"/>
  <c r="G1839" i="5"/>
  <c r="I1839" i="5" s="1"/>
  <c r="G3040" i="5"/>
  <c r="G1530" i="5"/>
  <c r="I1530" i="5" s="1"/>
  <c r="G1527" i="5" s="1"/>
  <c r="G3297" i="5"/>
  <c r="G2051" i="5"/>
  <c r="I2051" i="5" s="1"/>
  <c r="G2042" i="5" s="1"/>
  <c r="G4530" i="5"/>
  <c r="I4530" i="5" s="1"/>
  <c r="G1784" i="5"/>
  <c r="I1784" i="5" s="1"/>
  <c r="G1139" i="5"/>
  <c r="G1744" i="5"/>
  <c r="I1744" i="5" s="1"/>
  <c r="I4617" i="5"/>
  <c r="G3257" i="5"/>
  <c r="G5403" i="5"/>
  <c r="G1192" i="5"/>
  <c r="I4129" i="5"/>
  <c r="G4125" i="5" s="1"/>
  <c r="I3250" i="5"/>
  <c r="G3248" i="5" s="1"/>
  <c r="I3643" i="5"/>
  <c r="G3641" i="5" s="1"/>
  <c r="G3007" i="5"/>
  <c r="I3395" i="5"/>
  <c r="G3393" i="5" s="1"/>
  <c r="I3058" i="5"/>
  <c r="G3056" i="5" s="1"/>
  <c r="I3050" i="5"/>
  <c r="G3048" i="5" s="1"/>
  <c r="I2995" i="5"/>
  <c r="G2993" i="5" s="1"/>
  <c r="I3425" i="5"/>
  <c r="G3423" i="5" s="1"/>
  <c r="I3002" i="5"/>
  <c r="G3000" i="5" s="1"/>
  <c r="I3018" i="5"/>
  <c r="G3016" i="5" s="1"/>
  <c r="I4119" i="5"/>
  <c r="G4114" i="5" s="1"/>
  <c r="I5511" i="5"/>
  <c r="G2955" i="5"/>
  <c r="G1219" i="5"/>
  <c r="G1356" i="5"/>
  <c r="G4529" i="5"/>
  <c r="G1783" i="5"/>
  <c r="I1783" i="5" s="1"/>
  <c r="G2347" i="5"/>
  <c r="I2347" i="5" s="1"/>
  <c r="G2344" i="5" s="1"/>
  <c r="G2562" i="5"/>
  <c r="I2562" i="5" s="1"/>
  <c r="G2555" i="5" s="1"/>
  <c r="G1577" i="5"/>
  <c r="I1577" i="5" s="1"/>
  <c r="G1576" i="5" s="1"/>
  <c r="G799" i="5"/>
  <c r="G581" i="5"/>
  <c r="G5496" i="5" s="1"/>
  <c r="G5247" i="5"/>
  <c r="I5247" i="5" s="1"/>
  <c r="G5240" i="5" s="1"/>
  <c r="G1166" i="5"/>
  <c r="G1047" i="5"/>
  <c r="G1788" i="5"/>
  <c r="G629" i="5"/>
  <c r="G1026" i="5"/>
  <c r="G653" i="5"/>
  <c r="I1184" i="5"/>
  <c r="G1179" i="5" s="1"/>
  <c r="G825" i="5"/>
  <c r="G1275" i="5"/>
  <c r="G4583" i="5"/>
  <c r="G812" i="5"/>
  <c r="I1270" i="5"/>
  <c r="G1263" i="5" s="1"/>
  <c r="I1294" i="5"/>
  <c r="G1287" i="5" s="1"/>
  <c r="G4719" i="5"/>
  <c r="G838" i="5"/>
  <c r="G2167" i="5" s="1"/>
  <c r="G618" i="5"/>
  <c r="G1066" i="5"/>
  <c r="G4670" i="5" s="1"/>
  <c r="G1781" i="5"/>
  <c r="I1781" i="5" s="1"/>
  <c r="G997" i="5"/>
  <c r="I997" i="5" s="1"/>
  <c r="G990" i="5" s="1"/>
  <c r="G4815" i="5"/>
  <c r="I4815" i="5" s="1"/>
  <c r="G4808" i="5" s="1"/>
  <c r="G1205" i="5"/>
  <c r="G922" i="5"/>
  <c r="G1016" i="5"/>
  <c r="G1004" i="5"/>
  <c r="G1243" i="5"/>
  <c r="G598" i="5"/>
  <c r="G1508" i="5"/>
  <c r="I1508" i="5" s="1"/>
  <c r="G1500" i="5" s="1"/>
  <c r="G1036" i="5"/>
  <c r="G1837" i="5" s="1"/>
  <c r="G1804" i="5"/>
  <c r="G667" i="5"/>
  <c r="G609" i="5"/>
  <c r="G911" i="5"/>
  <c r="G1996" i="5"/>
  <c r="G1331" i="5"/>
  <c r="G1117" i="5"/>
  <c r="I2774" i="5"/>
  <c r="G2764" i="5" s="1"/>
  <c r="I2951" i="5"/>
  <c r="G2949" i="5" s="1"/>
  <c r="I2981" i="5"/>
  <c r="G2979" i="5" s="1"/>
  <c r="G1497" i="5"/>
  <c r="I2963" i="5"/>
  <c r="G2961" i="5" s="1"/>
  <c r="I5354" i="5"/>
  <c r="G5348" i="5" s="1"/>
  <c r="I2969" i="5"/>
  <c r="G2967" i="5" s="1"/>
  <c r="I1840" i="5"/>
  <c r="G2088" i="5"/>
  <c r="G1745" i="5"/>
  <c r="G4684" i="5"/>
  <c r="I1856" i="5"/>
  <c r="G1845" i="5" s="1"/>
  <c r="G4531" i="5"/>
  <c r="I1742" i="5"/>
  <c r="G5495" i="5"/>
  <c r="G4632" i="5"/>
  <c r="G1770" i="5"/>
  <c r="G1486" i="5"/>
  <c r="I2975" i="5"/>
  <c r="G2973" i="5" s="1"/>
  <c r="I5502" i="5"/>
  <c r="I4631" i="5"/>
  <c r="G4111" i="5"/>
  <c r="G4082" i="5"/>
  <c r="G4071" i="5"/>
  <c r="G4077" i="5"/>
  <c r="I1234" i="5"/>
  <c r="G1228" i="5" s="1"/>
  <c r="I4613" i="5"/>
  <c r="I4638" i="5"/>
  <c r="I1760" i="5"/>
  <c r="G1749" i="5" s="1"/>
  <c r="I4667" i="5"/>
  <c r="G1819" i="5"/>
  <c r="G1823" i="5"/>
  <c r="I5509" i="5"/>
  <c r="I1351" i="5"/>
  <c r="G1350" i="5" s="1"/>
  <c r="I2945" i="5"/>
  <c r="G2943" i="5" s="1"/>
  <c r="G1555" i="5"/>
  <c r="G407" i="5"/>
  <c r="I1475" i="5"/>
  <c r="G1474" i="5" s="1"/>
  <c r="I4641" i="5"/>
  <c r="I1820" i="5"/>
  <c r="G1838" i="5"/>
  <c r="I44" i="18" l="1"/>
  <c r="H5403" i="5"/>
  <c r="I5403" i="5" s="1"/>
  <c r="G4671" i="5"/>
  <c r="I4671" i="5" s="1"/>
  <c r="G5508" i="5"/>
  <c r="I4529" i="5"/>
  <c r="G4528" i="5"/>
  <c r="I4528" i="5" s="1"/>
  <c r="G4830" i="5"/>
  <c r="I4830" i="5" s="1"/>
  <c r="G4828" i="5" s="1"/>
  <c r="G4616" i="5"/>
  <c r="G4657" i="5"/>
  <c r="G4682" i="5"/>
  <c r="I4682" i="5" s="1"/>
  <c r="G4615" i="5"/>
  <c r="I4615" i="5" s="1"/>
  <c r="G4643" i="5"/>
  <c r="I4643" i="5" s="1"/>
  <c r="G4637" i="5" s="1"/>
  <c r="G4633" i="5"/>
  <c r="G4656" i="5"/>
  <c r="G1776" i="5"/>
  <c r="I1555" i="5"/>
  <c r="G1552" i="5" s="1"/>
  <c r="I4111" i="5"/>
  <c r="G4109" i="5" s="1"/>
  <c r="I1745" i="5"/>
  <c r="G1737" i="5" s="1"/>
  <c r="I2088" i="5"/>
  <c r="G2086" i="5" s="1"/>
  <c r="I1497" i="5"/>
  <c r="G1489" i="5" s="1"/>
  <c r="I1486" i="5"/>
  <c r="G1478" i="5" s="1"/>
  <c r="I4670" i="5"/>
  <c r="I4077" i="5"/>
  <c r="G4075" i="5" s="1"/>
  <c r="I4632" i="5"/>
  <c r="G5503" i="5"/>
  <c r="I5496" i="5"/>
  <c r="I2167" i="5"/>
  <c r="G2160" i="5" s="1"/>
  <c r="I1837" i="5"/>
  <c r="I407" i="5"/>
  <c r="G405" i="5" s="1"/>
  <c r="I4071" i="5"/>
  <c r="G4069" i="5" s="1"/>
  <c r="I1823" i="5"/>
  <c r="I1770" i="5"/>
  <c r="G1765" i="5" s="1"/>
  <c r="I4531" i="5"/>
  <c r="I1819" i="5"/>
  <c r="I1838" i="5"/>
  <c r="I4082" i="5"/>
  <c r="G4080" i="5" s="1"/>
  <c r="I5495" i="5"/>
  <c r="I4684" i="5"/>
  <c r="G1735" i="5"/>
  <c r="I46" i="18" l="1"/>
  <c r="I48" i="18" s="1"/>
  <c r="H12" i="17" s="1"/>
  <c r="G44" i="18"/>
  <c r="H46" i="18" s="1"/>
  <c r="H48" i="18" s="1"/>
  <c r="I4657" i="5"/>
  <c r="I4616" i="5"/>
  <c r="G4605" i="5" s="1"/>
  <c r="I4656" i="5"/>
  <c r="I4633" i="5"/>
  <c r="G4630" i="5" s="1"/>
  <c r="G1829" i="5"/>
  <c r="G4519" i="5"/>
  <c r="G5494" i="5"/>
  <c r="G1824" i="5"/>
  <c r="I1735" i="5"/>
  <c r="G1731" i="5" s="1"/>
  <c r="I5503" i="5"/>
  <c r="G5501" i="5" s="1"/>
  <c r="G4686" i="5"/>
  <c r="G4661" i="5"/>
  <c r="G12" i="17" l="1"/>
  <c r="H13" i="17"/>
  <c r="G4648" i="5"/>
  <c r="I4648" i="5" s="1"/>
  <c r="G4646" i="5" s="1"/>
  <c r="I1824" i="5"/>
  <c r="G1813" i="5" s="1"/>
  <c r="I4661" i="5"/>
  <c r="G4659" i="5" s="1"/>
  <c r="I4686" i="5"/>
  <c r="G4674"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 Andrea Buitrago Gonzalez</author>
  </authors>
  <commentList>
    <comment ref="E7" authorId="0" shapeId="0" xr:uid="{2CCACCBD-C7DA-4FFC-AF0C-2BDC07792CBF}">
      <text>
        <r>
          <rPr>
            <b/>
            <sz val="9"/>
            <color indexed="81"/>
            <rFont val="Tahoma"/>
            <family val="2"/>
          </rPr>
          <t>Paola Andrea Buitrago Gonzalez:</t>
        </r>
        <r>
          <rPr>
            <sz val="9"/>
            <color indexed="81"/>
            <rFont val="Tahoma"/>
            <family val="2"/>
          </rPr>
          <t xml:space="preserve">
1,3 ha en el Manzano y 2 ha en Volcanes</t>
        </r>
      </text>
    </comment>
    <comment ref="E8" authorId="0" shapeId="0" xr:uid="{7B5BEBC9-09A8-4E61-A445-411006C8437F}">
      <text>
        <r>
          <rPr>
            <b/>
            <sz val="9"/>
            <color indexed="81"/>
            <rFont val="Tahoma"/>
            <family val="2"/>
          </rPr>
          <t>Paola Andrea Buitrago Gonzalez:</t>
        </r>
        <r>
          <rPr>
            <sz val="9"/>
            <color indexed="81"/>
            <rFont val="Tahoma"/>
            <family val="2"/>
          </rPr>
          <t xml:space="preserve">
800 es el cerramiento del Manzano aprox, los de volcanes cuántos metros son?</t>
        </r>
      </text>
    </comment>
    <comment ref="E10" authorId="0" shapeId="0" xr:uid="{5DECFE29-962B-492A-AB46-E6443727B329}">
      <text>
        <r>
          <rPr>
            <b/>
            <sz val="9"/>
            <color indexed="81"/>
            <rFont val="Tahoma"/>
            <family val="2"/>
          </rPr>
          <t>Paola Andrea Buitrago Gonzalez:</t>
        </r>
        <r>
          <rPr>
            <sz val="9"/>
            <color indexed="81"/>
            <rFont val="Tahoma"/>
            <family val="2"/>
          </rPr>
          <t xml:space="preserve">
6,15  ha. para restaurar, por lo cual se considera la siembra del 50% de cada ha. y un solo mantenimiento</t>
        </r>
      </text>
    </comment>
  </commentList>
</comments>
</file>

<file path=xl/sharedStrings.xml><?xml version="1.0" encoding="utf-8"?>
<sst xmlns="http://schemas.openxmlformats.org/spreadsheetml/2006/main" count="9169" uniqueCount="3405">
  <si>
    <t>Piso vinilico antideslizante, tráfico 5 e = 2 mm</t>
  </si>
  <si>
    <t>Cerámica pared Antique 15 x 15 cm.Tipo Alfa o Similar. Color Blanco o Beige</t>
  </si>
  <si>
    <t>MAT714</t>
  </si>
  <si>
    <t>MAT715</t>
  </si>
  <si>
    <t>Formaleta  tablemac 4 mm super T o equivalente</t>
  </si>
  <si>
    <t>MAT716</t>
  </si>
  <si>
    <t>Tapón cobre de 1/2"</t>
  </si>
  <si>
    <t>MAT717</t>
  </si>
  <si>
    <t>Espejo de 4 mm biselado, incluye accesorios de instalación</t>
  </si>
  <si>
    <t>Espejo de 4 mm biselado</t>
  </si>
  <si>
    <t>Teja aluzinc cal 28 tipo sandwich deck con lámina intermedia de poliuretano tipo sika o similar, incluye accesorios de instalación</t>
  </si>
  <si>
    <t>Rollo</t>
  </si>
  <si>
    <t>MAT719</t>
  </si>
  <si>
    <t>Imprimante para manto edil</t>
  </si>
  <si>
    <t>Lámina en policarbonato 8 mm</t>
  </si>
  <si>
    <t>MAT721</t>
  </si>
  <si>
    <t>MAT722</t>
  </si>
  <si>
    <t>Lija de agua</t>
  </si>
  <si>
    <t>MAT723</t>
  </si>
  <si>
    <t>Estuco para exteriores</t>
  </si>
  <si>
    <t>MAT724</t>
  </si>
  <si>
    <t>Formaleta  tablemac 18 mm super T o equivalente</t>
  </si>
  <si>
    <t>MAT725</t>
  </si>
  <si>
    <t>Bocel en madera L=2,9m</t>
  </si>
  <si>
    <t>MAT726</t>
  </si>
  <si>
    <t>Limpiador removedor PVC 1/4</t>
  </si>
  <si>
    <t>Tubería PVC presión de 2" rde 21</t>
  </si>
  <si>
    <t>Cheque de 1 1/2" 200 psi en bronce</t>
  </si>
  <si>
    <t>Cheque de 1" de 200 psi en bronce</t>
  </si>
  <si>
    <t>Cheque de 1/2" 200 psi en bronce</t>
  </si>
  <si>
    <t>Domiciliaria de 1/2" tubería PF + UAD, L = 2 m</t>
  </si>
  <si>
    <t>Universal PVC 1"</t>
  </si>
  <si>
    <t>Universal PVC 1 1/2"</t>
  </si>
  <si>
    <t>Universal PVC 3/4"</t>
  </si>
  <si>
    <t>Universal PVC 1/2"</t>
  </si>
  <si>
    <t>Universal PVC 2"</t>
  </si>
  <si>
    <t>Grifería pico empotrado línea antivandálica, incluye válvula tipo push</t>
  </si>
  <si>
    <t>Grifería de empotrar corta línea antivandálica, incluye válvula tipo push</t>
  </si>
  <si>
    <t>Fluxómetro flujo ajustable, incluye accesorios</t>
  </si>
  <si>
    <t>Fluxómetro de palanca para orinal</t>
  </si>
  <si>
    <t>Niple HG 1 1/4 " L = 0,6 m</t>
  </si>
  <si>
    <t>Tubería PVC corrugada perforada de   65 mm (2 1/2")</t>
  </si>
  <si>
    <t>Tubería PVC corrugada perforada de 100 mm (4")</t>
  </si>
  <si>
    <t>Tubería PVC corrugada perforada de 200 mm (8")</t>
  </si>
  <si>
    <t>Tubería PVC corrugada perforada de 160 mm (6")</t>
  </si>
  <si>
    <t>Geodrén circular de 4" L = 1,00 m</t>
  </si>
  <si>
    <t>Geodrén circular de 2 1/2" L = 1,00 m</t>
  </si>
  <si>
    <t>Geodrén circular de 6" L = 1,00 m</t>
  </si>
  <si>
    <t>Geodrén circular de 8" L = 1,00 m</t>
  </si>
  <si>
    <t>Geodrén planar L = 1,00 m</t>
  </si>
  <si>
    <t>Cinta aislante 3/4</t>
  </si>
  <si>
    <t>Soldadura Exotermica</t>
  </si>
  <si>
    <t>Concreto de 17,2 Mpa (2500 psi) (producción)</t>
  </si>
  <si>
    <t>Concreto de 20,7 Mpa (3000 psi) (producción)</t>
  </si>
  <si>
    <t>Accesorios tubería PVC santiaria</t>
  </si>
  <si>
    <t>Reflector de 250W Metal-Halide 220V completo</t>
  </si>
  <si>
    <t>Reja metálica de seguridad en varilla redonda 1/2 " de alta, incluye anticorrosivo y pintura</t>
  </si>
  <si>
    <t xml:space="preserve">Rocería de taludes a = 3 m, incluye conformación de cunetas en tierra, herbicida y retiro manual </t>
  </si>
  <si>
    <t>Guadua sobrebasa longitud promedio = 5 m</t>
  </si>
  <si>
    <t>Desmonte luminarias</t>
  </si>
  <si>
    <t>Desmonte de flanche</t>
  </si>
  <si>
    <t>Suministro y colocación de perfil metálico, incluye anticorrosivo y pintura</t>
  </si>
  <si>
    <t>Piso en cerámica tipo antique 30,5 x 30,5, color blanco o beige</t>
  </si>
  <si>
    <t>Piso en vinilo antideslizante</t>
  </si>
  <si>
    <t>Zapatas en concreto de 24,5 Mpa (3500 psi), no incluye refuerzo</t>
  </si>
  <si>
    <t>PRESTACIONES Y APORTES</t>
  </si>
  <si>
    <t>División metálica en lamina doble C 20 h = 1,60 m, incluye anticorrosivo y anclajes</t>
  </si>
  <si>
    <t>Desmonte de cerramiento de malla y postería  de concreto, no incluye demolición de muro y/o alfajía</t>
  </si>
  <si>
    <t>Desmonte de puerta metálicas o de madera, incluye desmonte marco</t>
  </si>
  <si>
    <t>Sobrecimiento h = 0,20 m revoque impermeabilizado 2 caras</t>
  </si>
  <si>
    <t>Mortero 1:5 (producción)</t>
  </si>
  <si>
    <t>Sub-base granular, no incluye transporte de material</t>
  </si>
  <si>
    <t>Afirmado compactado mecánico, no incluye transporte de material</t>
  </si>
  <si>
    <t>Perfil alumino anoloc ángulo L = 6 m</t>
  </si>
  <si>
    <t>Perfil aluminio anoloc T L = 6 m</t>
  </si>
  <si>
    <t>Lámina de icopor perlita sintética 1,2 * 0,6 m</t>
  </si>
  <si>
    <t>Lámina de icopor 1,2 * 0,6 m</t>
  </si>
  <si>
    <t>Cielo falso en aluminio natural e icopor lámina limpia pintada</t>
  </si>
  <si>
    <t>Remache de aluminio</t>
  </si>
  <si>
    <t>Pintura cielo raso con vinilo</t>
  </si>
  <si>
    <t>Cielo falso en aluminio anoloc e icopor lámina limpia pintada</t>
  </si>
  <si>
    <t>Perfil aluminio blanco ángulo L = 6 m</t>
  </si>
  <si>
    <t>Perfil aluminio blanco T L = 6 m</t>
  </si>
  <si>
    <t>Lámina duracustic 1,2 * 0,6 m</t>
  </si>
  <si>
    <t>Cielo falso duracustic en aluminio blanco</t>
  </si>
  <si>
    <t>Cielo falso duracustic en aluminio anoloc</t>
  </si>
  <si>
    <t>Cielo falso duracustic en aluminio natural</t>
  </si>
  <si>
    <t>Tubería PVC de alcantarillado de pared estructural d = 24", exterior liso</t>
  </si>
  <si>
    <t>Tubería PVC de alcantarillado de pared estructural d = 24", exterior liso.</t>
  </si>
  <si>
    <t>Tubería PVC de alcantarillado de pared estructural d = 27", exterior liso</t>
  </si>
  <si>
    <t>Tubería PVC de alcantarillado de pared estructural d = 30", exterior liso</t>
  </si>
  <si>
    <t>Tubería PVC de alcantarillado de pared estructural d = 33", exterior liso</t>
  </si>
  <si>
    <t>Tubería PVC de alcantarillado de pared estructural d = 36", exterior liso</t>
  </si>
  <si>
    <t>Tubería PVC de alcantarillado de pared estructural d = 39", exterior liso</t>
  </si>
  <si>
    <t>Tubería PVC de alcantarillado de pared estructural d = 42", exterior liso</t>
  </si>
  <si>
    <t>Lámina de yeso 1,22 m x 2,44 m e = 12,7 mm</t>
  </si>
  <si>
    <t>Muro en panel de yeso 1/2" 2 caras incluye pintura</t>
  </si>
  <si>
    <t>Cinta mastic para muros en panel yeso</t>
  </si>
  <si>
    <t>Muro en panel de yeso 1/2" 1 cara incluye pintura</t>
  </si>
  <si>
    <t>Pintura texturizada hidrorepelente</t>
  </si>
  <si>
    <t>Impermeabilizante para concreto</t>
  </si>
  <si>
    <t>Sello de junta para pavimento</t>
  </si>
  <si>
    <t>Adhesivo epóxico dos componentes</t>
  </si>
  <si>
    <t>Boquilla para enchape</t>
  </si>
  <si>
    <t>Guarda escoba en lámina de vinilo 6,8 cm 1,6 mm, instalado</t>
  </si>
  <si>
    <t>Estuco listo</t>
  </si>
  <si>
    <t>Grifería (llave, canastilla y sifón)</t>
  </si>
  <si>
    <t>Impermeabilizante bituminoso para cubiertas</t>
  </si>
  <si>
    <t>Techo en teja ondulada transparente</t>
  </si>
  <si>
    <t>Acople flexible</t>
  </si>
  <si>
    <t>Manto impermeabilizante con base en asfálto</t>
  </si>
  <si>
    <t>Pintura transparente protectora de fachadas para muro en bloques o ladrillo, incluye filos y dilataciones</t>
  </si>
  <si>
    <t>Pintura transparente protectora de fachadas</t>
  </si>
  <si>
    <t>Fluidificante para concretos</t>
  </si>
  <si>
    <t>Fertilizante</t>
  </si>
  <si>
    <t>Mortero de alta adherencia</t>
  </si>
  <si>
    <t>Mortero fluido para anclaje y nivelación</t>
  </si>
  <si>
    <t>Combiflex H-10 cinta</t>
  </si>
  <si>
    <t>Hidrosello PVC 110 Mm</t>
  </si>
  <si>
    <t>Hidrosello PVC 160 Mm</t>
  </si>
  <si>
    <t>Junta Expansión PVC Sanitaria 3"</t>
  </si>
  <si>
    <t>Junta Expansión PVC Sanitaria 4"</t>
  </si>
  <si>
    <t>Tub Conduit PVC 2"</t>
  </si>
  <si>
    <t>Tub PVC All/Vent 4"</t>
  </si>
  <si>
    <t>Lámina fibrocemento e = 12 mm</t>
  </si>
  <si>
    <t>Cerramiento en tubería galvanizada, muro a la vista, malla eslabonada, incluye excavación, machones en concreto de 20,7 Mpa (3.000 psi), zarpas en concreto ciclópeo, alfajía reforzada y pintura transparente protectora</t>
  </si>
  <si>
    <t>Cerramiento en tubería galvanizada h = 6 m, muro a la vista, malla eslabonada con agulos,  incluye excavación, machones en concreto de 20,7 Mpa (3.000 psi), columnetas reforzadas, zarpas en concreto ciclópeo, alfajía reforzada y pintura transparente protectora</t>
  </si>
  <si>
    <t>Adhesivo para tubería de pared estructural 310 ml</t>
  </si>
  <si>
    <t>Viga de enlace de zapatas en concreto de 24,5 Mpa, no incluye refuerzo</t>
  </si>
  <si>
    <t>Cerramiento en tubería galvanizada, malla eslabonada y zócalo en sardinel en concreto reforzado de 20,7 Mpa (3,000 psi)</t>
  </si>
  <si>
    <t>MAT748</t>
  </si>
  <si>
    <t>MAT753</t>
  </si>
  <si>
    <t>Adhesivo para piso de vinilo</t>
  </si>
  <si>
    <t>Piso en lámina de vinilo C 1,6 mm.</t>
  </si>
  <si>
    <t>Piso en lámina de vinilo de 1,6 mm</t>
  </si>
  <si>
    <t>Guardaescoba en lámina de vinilo h = 6,8 cm, C 1,6 mm</t>
  </si>
  <si>
    <t>Pasamanos sencillo metálico, pintado e instalado</t>
  </si>
  <si>
    <t>Pasamanos casita metálico, pintado e instalado</t>
  </si>
  <si>
    <t>Balancín triple metálico, pintado e instalado</t>
  </si>
  <si>
    <t>Desmonte techo de fibrocemento, incluye desmonte de estructura metálica</t>
  </si>
  <si>
    <t>Teléfono</t>
  </si>
  <si>
    <t>Fax</t>
  </si>
  <si>
    <t>Correo electrónico</t>
  </si>
  <si>
    <t>Móvil</t>
  </si>
  <si>
    <t>Twitter</t>
  </si>
  <si>
    <t>Facebook</t>
  </si>
  <si>
    <t>Dirección</t>
  </si>
  <si>
    <t>Ciudad</t>
  </si>
  <si>
    <t>Provincia</t>
  </si>
  <si>
    <t>Cargo de contacto</t>
  </si>
  <si>
    <t>Notas</t>
  </si>
  <si>
    <t>Código postal</t>
  </si>
  <si>
    <t>Tipo de contacto</t>
  </si>
  <si>
    <t>País</t>
  </si>
  <si>
    <t>LinkedIn</t>
  </si>
  <si>
    <t>Empresa</t>
  </si>
  <si>
    <t>Instrucciones</t>
  </si>
  <si>
    <t>Id. cliente</t>
  </si>
  <si>
    <t>CU0001</t>
  </si>
  <si>
    <t>CU0002</t>
  </si>
  <si>
    <t>CU0003</t>
  </si>
  <si>
    <t>CU0004</t>
  </si>
  <si>
    <t>CU0005</t>
  </si>
  <si>
    <t>CU0006</t>
  </si>
  <si>
    <t>CU0007</t>
  </si>
  <si>
    <t>CU0008</t>
  </si>
  <si>
    <t>Adventure Works</t>
  </si>
  <si>
    <t>Alpine Ski House</t>
  </si>
  <si>
    <t>Blue Yonder Airlines</t>
  </si>
  <si>
    <t>City Power &amp; Light</t>
  </si>
  <si>
    <t>Coho Vineyard</t>
  </si>
  <si>
    <t>Coho Winery</t>
  </si>
  <si>
    <t>Pavimento en concreto 20,7 Mpa en obra, e = 0.175 m, incluye refuerzo, corte con disco y sello de juntas</t>
  </si>
  <si>
    <t>Cortadora de concreto con disco</t>
  </si>
  <si>
    <t>Gasolina</t>
  </si>
  <si>
    <t>MAT674</t>
  </si>
  <si>
    <t>Corte de pavimento rígido con cortadora autopropulsada</t>
  </si>
  <si>
    <t>Corte de pavimento flexible con cortadora autopropulsada</t>
  </si>
  <si>
    <t>Pavimento en concreto 27,6 Mpa en obra, e = 0.175 m, incluye refuerzo, corte con disco y sello de juntas</t>
  </si>
  <si>
    <t>Pavimento en concreto asfáltico</t>
  </si>
  <si>
    <t>Mezcla asfáltica MDC 2</t>
  </si>
  <si>
    <t>MAT675</t>
  </si>
  <si>
    <t>Mezcla asfáltica MDC 1</t>
  </si>
  <si>
    <t>Sub-base para conformación de vía, incluye transporte</t>
  </si>
  <si>
    <t>Cerca viva (planta cada 3 m) especies diferentes</t>
  </si>
  <si>
    <t>Cerca viva (planta cada 4 m) especies diferentes</t>
  </si>
  <si>
    <t>Cerca viva (planta cada 5 m) especies diferentes</t>
  </si>
  <si>
    <t>EQU053</t>
  </si>
  <si>
    <t>Transporte de materiales</t>
  </si>
  <si>
    <t>%Mat.</t>
  </si>
  <si>
    <t>ITE192</t>
  </si>
  <si>
    <t>ITE193</t>
  </si>
  <si>
    <t>ITE194</t>
  </si>
  <si>
    <t>ITE195</t>
  </si>
  <si>
    <t>Pirlán de bronce en gravilla o grano</t>
  </si>
  <si>
    <t>MAT676</t>
  </si>
  <si>
    <t>Serv x 10Km</t>
  </si>
  <si>
    <t>EQU054</t>
  </si>
  <si>
    <t>Acero Fy = 60.000 psi d&gt;1/4"</t>
  </si>
  <si>
    <t>Cono para cámara de inspección d = 1,20 m, en concreto de 20,7 Mpa, incluye refuerzo</t>
  </si>
  <si>
    <t>Anden en concreto de 20,7 Mpa e = 0,07 m</t>
  </si>
  <si>
    <t>Zapatas en concreto de 20,7 Mpa, no incluye refuerzo</t>
  </si>
  <si>
    <t>Viga de enlace de zapatas en concreto de 20,7 Mpa, no incluye refuerzo</t>
  </si>
  <si>
    <t>Columna de amarre en concreto de 20,7 Mpa de 0,15 x 0,15 m, incluye refuerzo</t>
  </si>
  <si>
    <t>Escalera en concreto de 20,7 Mpa sobre terreno e = 0,12 m</t>
  </si>
  <si>
    <t>Escalera en concreto 20,7 Mpa aéreas e = 0,15 m</t>
  </si>
  <si>
    <t>Placa maciza en concreto de 20,7 Mpa e = 0,10 m</t>
  </si>
  <si>
    <t>Placa maciza en concreto de 20,7 Mpa e = 0,15 m</t>
  </si>
  <si>
    <t>Viga de amarre en concreto de 20,7 Mpa de 0,15 x 0,20 m, incluye refuerzo</t>
  </si>
  <si>
    <t>Viga cinta en concreto de 20,7 Mpa de 0,15 x 0,10 m, incluye refuerzo</t>
  </si>
  <si>
    <t>Dintel en concreto de 20,7 Mpa de 0,12 x 0,15 m, incluye refuerzo</t>
  </si>
  <si>
    <t>Alfajía en concreto de 20,7 Mpa para remate de muro, incluye refuerzo</t>
  </si>
  <si>
    <t>Alfajía en concreto de 20,7 Mpa para remate de ventana, incluye refuerzo</t>
  </si>
  <si>
    <t>Caja de inspección de 0,50 x 0,50 x 0,50  m en concreto de 17,2 Mpa, tapa reforzada en concreto de 20,7 Mpa</t>
  </si>
  <si>
    <t>Bordillo en concreto de 20,7 Mpa para adoquinado 0,04 m3/ml</t>
  </si>
  <si>
    <t>Caja de inspección de 1,00 x 1,00 x 1,00 m en concreto de 17,2 Mpa (2500 psi), tapa reforzada en concreto de 20,7 Mpa (3000 psi)</t>
  </si>
  <si>
    <t>Caja de inspección de 0,60 x 0,60 x 0,60 m en ladrillo, concreto de 17,2 Mpa (2500 psi) y tapa reforzada en concreto de 20,7 Mpa (3000 psi) para instalaciones eléctricas</t>
  </si>
  <si>
    <t>Cañuela en concreto de 20,7 Mpa (3000 psi) e = 0,10, h = 0,40, a = 0,30 m sin tapa</t>
  </si>
  <si>
    <t>Zanja colectora en concreto de 20,7 Mpa (3000 psi) a = 0,30 e = 0,10 h = 0,30 m</t>
  </si>
  <si>
    <t>Zarpa para estribos y/o aletas en concreto  de 20,7 Mpa (3000 psi)</t>
  </si>
  <si>
    <t>Cortina, estribos y/o aletas en concreto de 20,7 Mpa (3000 psi)</t>
  </si>
  <si>
    <t>Viga y riostra para puente en concreto de 20,7 Mpa (3000 psi)</t>
  </si>
  <si>
    <t>Pavimento en concreto 20,7 Mpa (3000 psi) en obra, e = 0.15 m, incluye refuerzo, corte con disco y sello de juntas</t>
  </si>
  <si>
    <t>Columna de amarre en concreto de 20,7 Mpa de 0,15 x 0,20 m, incluye refuerzo</t>
  </si>
  <si>
    <t>Huellas (par) en concreto de 20,7 Mpa (3000 psi) e = 0,15 m a c/u = 0,70 m, incluye conectores cada 20 m</t>
  </si>
  <si>
    <t>Anden en concreto de 20,7 Mpa (3.000 psi) e = 0,10 m</t>
  </si>
  <si>
    <t>Pavimento en concreto 27,6 Mpa (4000 psi) en obra, e = 0.2 m, incluye refuerzo, corte con disco y sello de juntas</t>
  </si>
  <si>
    <t>Pavimento en concreto 27,6 Mpa (4000 psi) premezclado, e = 0.175 m, incluye refuerzo, corte con disco y sello de juntas</t>
  </si>
  <si>
    <t>Pavimento en concreto 20,7 Mpa (3000 psi) premezclado, e = 0.175 m, incluye refuerzo, corte con disco y sello de juntas</t>
  </si>
  <si>
    <t>Protector de raíz en concreto de 17,2 Mpa (2.500 psi), e = 0,15 m, d = 1,20 m, h = 1,00 m, incluye refuerzo</t>
  </si>
  <si>
    <t>Pedestal (plataforma) en concreto de 20,7 Mpa (3.000 psi) e = 0,10 m</t>
  </si>
  <si>
    <t>Pedestal trapezoidal para soportar estructura metálica o de madera en concreto de 20,7 Mpa (3.000 psi) h = 0,30 m, base de 0,40 x 0,40 m, corona de 0,25 x 0,25 m, incluye refuerzo</t>
  </si>
  <si>
    <t>Pedestal rectangular para soportar estructura metálica o de madera en concreto de 20,7 Mpa (3.000 psi)  h = 1,00 m, base de 0,40 x 0,40 m, incluye refuerzo</t>
  </si>
  <si>
    <t>Gradería sobre terreno e = 0,10 m en concreto de 20,7 Mpa (3.000 psi), incluye malla electrosoldada h = 0,64 ch = 0,60 m</t>
  </si>
  <si>
    <t>Viga de amarre en concreto de 20,7 Mpa (3000 psi) de 0,10 x 0,20 m, incluye refuerzo</t>
  </si>
  <si>
    <t>Columna de amarre en concreto de 20,7 Mpa de 0,10 x 0,15 m, incluye refuerzo</t>
  </si>
  <si>
    <t>Columna de amarre en concreto de 20,7 Mpa (3.000 psi) de 0,10 x 0,20 m, incluye refuerzo</t>
  </si>
  <si>
    <t>Empotramiento de tubería de alcantarillado  0,5*0,5*0,3</t>
  </si>
  <si>
    <t>Columna circular en concreto visto de 20,7 Mpa (3.000 psi) d =  0,45 m</t>
  </si>
  <si>
    <t>Columna circular en concreto visto de 20,7 Mpa (3.000 psi) d = 0,65 m</t>
  </si>
  <si>
    <t>Caja de inspección para instalación eléctrica, de 0,30 x 0,30 x 0,50 m en concreto de 17,2 Mpa (2500 psi), tapa reforzada en concreto de 20,7 Mpa (3.000 psi), sin base</t>
  </si>
  <si>
    <t>Muerto en concreto de 17,2 Mpa (2.500 psi) Profundidad = 2,15 m para torre metálica de 0,80 x 0,80 m, incluye excavación circular de d = 0,85 m</t>
  </si>
  <si>
    <t>Muerto en concreto de 17,2 Mpa (2.500 psi) Profundidad = 1,25 m para torre metálica de 0,60 x 0,60 m, incluye excavación circular de 0,85 m</t>
  </si>
  <si>
    <t>Tapa en concreto reforzado de 20,7 Mpa (3.000 psi) para cañuela e = 0.05 m        a = 0.35 m, L = 0,8 m  orificios rectangulares de 0.04 x 0.25 m.</t>
  </si>
  <si>
    <t>Realce de cajas de inspección de 0.80 x 0.80 x 0.80 m en concreto de 20,7 Mpa (3000 psi)</t>
  </si>
  <si>
    <t>Tapa en concreto de 20,7 Mpa (3000 psi) para cañuela L = 1.00 a = 0.60 e = 0.06 m</t>
  </si>
  <si>
    <t>Concreto de 20,7 Mpa (3.000 psi) acelerado (producción)</t>
  </si>
  <si>
    <t>Concreto de 27,6 Mpa (4.000 psi) acelerado (producción)</t>
  </si>
  <si>
    <t>Concreto de 27,6 Mpa (4.000 psi) impermeabilizado (producción)</t>
  </si>
  <si>
    <t>Muro en ladrillo prensado visto en soga, dos caras</t>
  </si>
  <si>
    <t>Piso en baldosa tipo Terrazzo No. 5 P5B, pulido</t>
  </si>
  <si>
    <t>Fijador de cerámica</t>
  </si>
  <si>
    <t>Acero de Fy = 37.000 psi d=1/4 puesto en obra</t>
  </si>
  <si>
    <t>Acero de Fy = 60.000 psi d&gt;1/4 puesto en obra</t>
  </si>
  <si>
    <t>ITE196</t>
  </si>
  <si>
    <t>ITE197</t>
  </si>
  <si>
    <t>Enchape en cerámica de 1ra. de 20 x 20 cm tipo Ecocerámica</t>
  </si>
  <si>
    <t>Lavadero prefabricado en fibra de vidrio, incluye mampostería y conjunto desagüe flexible</t>
  </si>
  <si>
    <t>Guarda escoba en gravilla lavada, incluye dilatación de vidrio, h = 0,10 m</t>
  </si>
  <si>
    <t>Poceta corrida de aseo en concreto de 20,7 Mpa (3.000 psi) incluye granito pulido, longitud de desarrollo = 1 m</t>
  </si>
  <si>
    <t>Mesón en concreto de 20,7 Mpa (3.000 psi) incluye granito pulido, mampostería, refuerzo y enchape</t>
  </si>
  <si>
    <t>Lavamanos corrido en concreto de 20,7 Mpa (3000 psi), incluye refuerzo, mampostería y enchape, longitud de desarrollo = 0,65 m</t>
  </si>
  <si>
    <t>Orinal corrido en concreto de 20,7 Mpa (3.000 psi), incluye mampostería y enchape, longitud de desarrollo 0,65 m</t>
  </si>
  <si>
    <t>Cerramiento en poste de concreto y alambre de púas, incluye excavación y machones en concreto de 20,7 Mpa (3.000 psi), 5 hilos</t>
  </si>
  <si>
    <t>Cerramiento en poste de concreto, malla eslabonada y muro en bloque, incluye excavación, machones de concreto de 20,7 Mpa (3.000 psi) y zarpas en concreto ciclópeo</t>
  </si>
  <si>
    <t>Cerramiento en poste de concreto y malla eslabonada, incluye excavación y machones en concreto de 20,7 Mpa (3000 psi)</t>
  </si>
  <si>
    <t>Puerta en tubería galvanizada de 1 1/2" para cerramiento, incluy excavación, columnas de 20,7 Mpa (3.000 psi), refuerzo, pasador h=2 m, a=0,9 m</t>
  </si>
  <si>
    <t>Piso en cerámica de 1ra. de 20 x 20 cm tipo Duratech</t>
  </si>
  <si>
    <t>Piso en tablón rojo de 20 x 20 cm</t>
  </si>
  <si>
    <t>Guarda escoba en tablón rojo de 10 x 20 cm</t>
  </si>
  <si>
    <t>Piso en cerámica de 1ra. de 32 x 32 cm tipo Terranova trafico 4</t>
  </si>
  <si>
    <t>Piso en cerámica de 1ra. de 40 x 40 cm tipo Mangle,</t>
  </si>
  <si>
    <t>Piso en gravilla lavada y tablón tipo Portal, incluye dilatación de vidrio</t>
  </si>
  <si>
    <t>Piso en cerámica de 1ra. de 30 x 30 cm tipo Pisofuerte</t>
  </si>
  <si>
    <t>Charquero en concreto de 20,7 Ma (3000 psi) 0,1 m * 0,04 m, incluye enchape y refuerzo</t>
  </si>
  <si>
    <t>Cuadrilla S (1Sold.+1Ay práctico) (jornal + prestaciones)</t>
  </si>
  <si>
    <t>MOB008</t>
  </si>
  <si>
    <t>Muro en bloque de cemento de 0,14x0,19x0,39</t>
  </si>
  <si>
    <t>Muro estructural en bloque de cemento, no incluye refuerzo</t>
  </si>
  <si>
    <t>Ladrillo farol rayado de 0,10 x 0,20 x 0,30 m</t>
  </si>
  <si>
    <t>MAT039</t>
  </si>
  <si>
    <t>MAT372</t>
  </si>
  <si>
    <t>ITE266</t>
  </si>
  <si>
    <t>Puerta en ángulo y malla eslabonada para cerramiento, incluye manija, pasador, anticorrosivo y pintura</t>
  </si>
  <si>
    <t>Estuco y pintura muros 3 manos</t>
  </si>
  <si>
    <t>Estuco y pintura cielo raso 3 manos</t>
  </si>
  <si>
    <t>División metálica en lámina doble C 20 h = 1,60 m, incluye anticorrosivo, pintura, y anclajes</t>
  </si>
  <si>
    <t>Varilla cuadrada de 1/2" para reja</t>
  </si>
  <si>
    <t>Rejilla metálica para cañuela, incluye bisagras, anticorrosivo y pintura, a = 0,3 m</t>
  </si>
  <si>
    <t>Cercha metálica 5 - 12 m, incluye anticorrosivo</t>
  </si>
  <si>
    <t>Cercha metálica triangular de 5 - 12 m, incluye templetes, anticorrosivo y pintura</t>
  </si>
  <si>
    <t>Seguro para puerta en lámina</t>
  </si>
  <si>
    <t>MAT677</t>
  </si>
  <si>
    <t>Pirlán de bronce en cerámica</t>
  </si>
  <si>
    <t>Punto sanitario PVC de 4" (3 m)</t>
  </si>
  <si>
    <t>Suministro e instalación de bolsacreto 1101 o similar</t>
  </si>
  <si>
    <t>Bolsacreto 1101 o similar</t>
  </si>
  <si>
    <t>Bolsacreto 1401 o similar</t>
  </si>
  <si>
    <t>Escarificado + restitución de base manual</t>
  </si>
  <si>
    <t>Suministro e instalación de bolsacreto 1401 o similar</t>
  </si>
  <si>
    <t>Descapote y limpieza con máquina, incluye cargue manual</t>
  </si>
  <si>
    <t>Excavación en roca bajo agua, mecánica</t>
  </si>
  <si>
    <t>Mantenimiento de postes y cerramiento en alambre de puas</t>
  </si>
  <si>
    <t>Tubería PVC unión platino de 8"</t>
  </si>
  <si>
    <t>Tubería PVC unión platino de 6"</t>
  </si>
  <si>
    <t>Tubería PVC unión platino de 4"</t>
  </si>
  <si>
    <t>Tubería PVC unión platino de 3"</t>
  </si>
  <si>
    <t>Tubería PVC unión platino de 2 1/2"</t>
  </si>
  <si>
    <t>Tubería PVC unión platino de 2"</t>
  </si>
  <si>
    <t>Techo en teja ondulada de fibrocemento</t>
  </si>
  <si>
    <t>Caballete teja ondulada fibrocemento fijo l = 0,873 m</t>
  </si>
  <si>
    <t>Limatesa, limahoya de fibrocemento</t>
  </si>
  <si>
    <t>Cerámica color 1ra. de 25 x 25 cm tipo Macedonia</t>
  </si>
  <si>
    <t>Incrustaciones tipo allegro (5 un)</t>
  </si>
  <si>
    <t>Incrustaciones tipo astro (6 un)</t>
  </si>
  <si>
    <t>Caballete teja ondulada fibrocemento tipo español articulado ambos</t>
  </si>
  <si>
    <t>Claraboya de fibrocemento No. 6 l = 1,690 a = 0,873 m</t>
  </si>
  <si>
    <t>Teja española de fibrocemento 1,34</t>
  </si>
  <si>
    <t>Medidor de 3/4" volumétrico tipo "C"</t>
  </si>
  <si>
    <t>Cerámica de 1ra. de 20 x 20 cm tipo Duratech</t>
  </si>
  <si>
    <t>Steeldeck, C 22 0,94 x 5,60 m e = 0,75 mm</t>
  </si>
  <si>
    <t xml:space="preserve">Pegante papel colgadura botella </t>
  </si>
  <si>
    <t>Caballete thermoacustic</t>
  </si>
  <si>
    <t>Sanitario tipo Trevi con fluxómetro</t>
  </si>
  <si>
    <t>Lavamanos tipo Avanti de colgar con grifería</t>
  </si>
  <si>
    <t>Tornillo drywall 6 x 1"</t>
  </si>
  <si>
    <t>Angulo perimetral de 2,44</t>
  </si>
  <si>
    <t>Masilla topex joint</t>
  </si>
  <si>
    <t>Tornillo autoperforante</t>
  </si>
  <si>
    <t>Caballete fijo para teja thermoacustic</t>
  </si>
  <si>
    <t>Grouting 17,2 Mpa</t>
  </si>
  <si>
    <t>Poste metálico h = 12 m, brazo sencillo, pintado</t>
  </si>
  <si>
    <t>MAT678</t>
  </si>
  <si>
    <t>ITE198</t>
  </si>
  <si>
    <t>Concreto de 13,8 Mpa (2000 psi) (producción)</t>
  </si>
  <si>
    <t>Bordillo prefabricado A80</t>
  </si>
  <si>
    <t>MAT681</t>
  </si>
  <si>
    <t>MAT682</t>
  </si>
  <si>
    <t>Piso en loseta prefabricada A30</t>
  </si>
  <si>
    <t>MAT683</t>
  </si>
  <si>
    <t>MAT684</t>
  </si>
  <si>
    <t>Geotextil Repav 450</t>
  </si>
  <si>
    <t>Parcheo en pavimento flexible e = 0,1 m</t>
  </si>
  <si>
    <t>Recubrimiento de gaviones en concreto de 17,2 Mpa e = 0,10 m</t>
  </si>
  <si>
    <t>ITE199</t>
  </si>
  <si>
    <t>Sardinel prefabricado A10</t>
  </si>
  <si>
    <t>Bordillo prefabricado A80 (800 x 200 x 350 mm)</t>
  </si>
  <si>
    <t>Sardinel prefabricado A10 (800 x 200 x 500 mm)</t>
  </si>
  <si>
    <t>Loseta prefabricada A30 (600 x 400 x 60 mm)</t>
  </si>
  <si>
    <t>Viga aérea en concreto de 20,7 Mpa</t>
  </si>
  <si>
    <t>Abuzardado de concreto</t>
  </si>
  <si>
    <t>Pared en bloque de vidrio</t>
  </si>
  <si>
    <t>ITE656</t>
  </si>
  <si>
    <t>Muro en tierra reforzado con geomalla</t>
  </si>
  <si>
    <t>ITE560</t>
  </si>
  <si>
    <t>Mortero epóxico para anclaje</t>
  </si>
  <si>
    <t>Anclaje epóxico para 1/2" profundidad 0,15 m</t>
  </si>
  <si>
    <t>Anclaje epóxico para 3/4" profundidad 0,15 m</t>
  </si>
  <si>
    <t>Anclaje epóxico para 1" profundidad 0,15 m</t>
  </si>
  <si>
    <t>MAT685</t>
  </si>
  <si>
    <t>Mortero para bloques de vidrio</t>
  </si>
  <si>
    <t>EQU055</t>
  </si>
  <si>
    <t>Taladro</t>
  </si>
  <si>
    <t>MAT686</t>
  </si>
  <si>
    <t>Separador plástico para bloques de vidrio</t>
  </si>
  <si>
    <t>Cielo falso en aluminio anoloc e icopor perlita sintética todo costo</t>
  </si>
  <si>
    <t>División para baño en aluminio anoloc y acrílico, incluye instalación todo costo</t>
  </si>
  <si>
    <t>MAT687</t>
  </si>
  <si>
    <t>Mezclador para lavaplatos</t>
  </si>
  <si>
    <t>Repavimentación  en concreto asfáltico e = 0,07 m</t>
  </si>
  <si>
    <t>Demolición pavimento rígido manual e &gt; 0,175 m</t>
  </si>
  <si>
    <t>Demolición pavimento flexible manual e &gt; 0,07 m</t>
  </si>
  <si>
    <t>Micropilote D = 0,4 m, excavación mecánica</t>
  </si>
  <si>
    <t>EQU056</t>
  </si>
  <si>
    <t>Formaleta cónica para caissons</t>
  </si>
  <si>
    <t>EQU057</t>
  </si>
  <si>
    <t>Camisa metálica recuperable para pilotes</t>
  </si>
  <si>
    <t>MAT688</t>
  </si>
  <si>
    <t>Lavamanos de pared tipo push</t>
  </si>
  <si>
    <t>ITE561</t>
  </si>
  <si>
    <t>Griferia lavamanos de mesa tipo push</t>
  </si>
  <si>
    <t>ITE562</t>
  </si>
  <si>
    <t>ITE563</t>
  </si>
  <si>
    <t>ITE564</t>
  </si>
  <si>
    <t>MAT692</t>
  </si>
  <si>
    <t>Campamento, incluye teja de zinc, piso en concreto de 17,2 Mpa, tabla.</t>
  </si>
  <si>
    <t>MAT693</t>
  </si>
  <si>
    <t>MAT694</t>
  </si>
  <si>
    <t>Grifería orinal de empotrar tipo push mediano</t>
  </si>
  <si>
    <t>MAT695</t>
  </si>
  <si>
    <t>Grifería orinal a pared tipo push, entrada de 1/2"</t>
  </si>
  <si>
    <t>Lavamanos de pared tipo push, línea antivandálica</t>
  </si>
  <si>
    <t>Grifería taza tipo push antivandálica</t>
  </si>
  <si>
    <t>MAT696</t>
  </si>
  <si>
    <t>MAT697</t>
  </si>
  <si>
    <t>Grifería para lavamanos Dalia grival</t>
  </si>
  <si>
    <t>Lavamanos tipo Avanti de colgar</t>
  </si>
  <si>
    <t>Lavamanos tipo Avanti de pedestal</t>
  </si>
  <si>
    <t>MAT698</t>
  </si>
  <si>
    <t>Lavamanos tipo acuacer de pedestal</t>
  </si>
  <si>
    <t>Grifería para lavamanos Artesa grival</t>
  </si>
  <si>
    <t>MAT699</t>
  </si>
  <si>
    <t>Orinal gotta antibacterial</t>
  </si>
  <si>
    <t>MAT700</t>
  </si>
  <si>
    <t>Sanitario tipo Trevi con grifería antivandálica</t>
  </si>
  <si>
    <t>ITE566</t>
  </si>
  <si>
    <t>Orinal tipo Institucional, línea antivandálica</t>
  </si>
  <si>
    <t>Recorrido de techos de fibrocemento, incluye reacomodación de tejas, limpieza, reparación de amarras y/o ganchos.</t>
  </si>
  <si>
    <t>Recorrido de canales, incluye reacomodación de la canal, reacomodación de soportes y limpieza</t>
  </si>
  <si>
    <t>Excavación en material común seco de 0 - 2 m manual</t>
  </si>
  <si>
    <t>Excavación en material común seco mayor a 4 m manual</t>
  </si>
  <si>
    <t>Excavación en material común bajo agua mayor a 4 m manual</t>
  </si>
  <si>
    <t>Excavación en conglomerado seco mayor a 4 m manual</t>
  </si>
  <si>
    <t>Excavación en conglomerado bajo agua mayor a 4 m manual</t>
  </si>
  <si>
    <t>Excavación para conformación de taludes en material común manual</t>
  </si>
  <si>
    <t>Corte en material común con máquina</t>
  </si>
  <si>
    <t>Excavación en roca mecánica</t>
  </si>
  <si>
    <t>ESY001</t>
  </si>
  <si>
    <t>Ensayo resistencia concretos</t>
  </si>
  <si>
    <t>ESY002</t>
  </si>
  <si>
    <t>Toma de densidades</t>
  </si>
  <si>
    <t>ENSAYOS</t>
  </si>
  <si>
    <t>Cargue mecánico de material</t>
  </si>
  <si>
    <t>Poste en guadua pintado, base en concreto de 2.500 psi para cinta seguridad</t>
  </si>
  <si>
    <t>Cerramiento con cinta de señalización, incluye poste en guadua</t>
  </si>
  <si>
    <t>Cargue de material manual</t>
  </si>
  <si>
    <t>Demolición vivienda de 1 nivel manual, sin recuperación de materiales</t>
  </si>
  <si>
    <t>Base y cañuela para cámara de inspección d = 1,20 m en concreto de 20,7 Mpa (3000 psi)</t>
  </si>
  <si>
    <t>Grifería de empotrar corta línea antivandálica, incluye push</t>
  </si>
  <si>
    <t>Columna en concreto de 20,7 Mpa sección entre 1601 cm2 - 2500 cm2</t>
  </si>
  <si>
    <t>Columna en concreto de 20,7 Mpa sección &lt; 1.600 cm2, no incluye refuerzo</t>
  </si>
  <si>
    <t>Enrocados de fondo</t>
  </si>
  <si>
    <t>Placa de contrapiso en concreto de 20,7 Mpa e = 0,10 m</t>
  </si>
  <si>
    <t>Quiebra patas en concreto de 20,7 Mpa (3.000 psi), incluye refuerzo y tubería de H. G. de 2", a = 0,6 m, long de desarrollo 1,8 m</t>
  </si>
  <si>
    <t>Placa maciza en concreto de 20,7 Mpa (3.000 psi) e = 0,20 m, no incluye refuerzo</t>
  </si>
  <si>
    <t>Sardinel de gravedad en concreto de 20,7 Mpa (3.000 psi) de b = 0,20 m, corona 0,15 m, h = 0,38 m, v = 0,07 m3/ml, incluye afirmado e = 0,10 m</t>
  </si>
  <si>
    <t>Adoquín vehicular de concreto</t>
  </si>
  <si>
    <t>Adoquín peatonal de concreto</t>
  </si>
  <si>
    <t>Adoquín peatonal gris de concreto e = 0,06 m</t>
  </si>
  <si>
    <t>Tornillo estructura drywall 8 x 1/2"</t>
  </si>
  <si>
    <t>Cubierta en acero inoxidable para mesón cocineta, incluye poceta y grifería completa a = 0.60 m, 3 puestos gas y 1 eléctrico</t>
  </si>
  <si>
    <t>Blanqueamiento con carburo (cal)</t>
  </si>
  <si>
    <t>Caballete fijo para teja ondulada de fibrocemento</t>
  </si>
  <si>
    <t>Ganchos para teja ondulada de fibrocemento</t>
  </si>
  <si>
    <t>Limatesa o limahoya de fibrocemento</t>
  </si>
  <si>
    <t>Flanche en lámina galvanizada C 26, incluye mortero 1:3 impermeabilizado</t>
  </si>
  <si>
    <t xml:space="preserve">Lámina galvanizada C 26 </t>
  </si>
  <si>
    <t>Ducha cromada de 1/2" con mezclador</t>
  </si>
  <si>
    <t>Rejilla de bronce de 3" x 2" con sosco</t>
  </si>
  <si>
    <t>Techo en teja ondulada de fibrocemento tipo  española</t>
  </si>
  <si>
    <t>Caballete articulado para teja ondulada de fibrocemento tipo española</t>
  </si>
  <si>
    <t>MAT701</t>
  </si>
  <si>
    <t>Bisagra de hierro para puerta</t>
  </si>
  <si>
    <t>MAT702</t>
  </si>
  <si>
    <t>Bisagra de hierro para rejilla cañuela</t>
  </si>
  <si>
    <t>Ángulo para puente de 2" x 3/16"</t>
  </si>
  <si>
    <t>Viga apoyada concreto 20,7 Mpa (3000 psi)</t>
  </si>
  <si>
    <t>Apoyo de neopreno 400 x 400 x 30 mm para puente, reforzado con 1 plátina de 12 mm</t>
  </si>
  <si>
    <t>MAT703</t>
  </si>
  <si>
    <t>Almohadilla de neopreno 400 x 400 x 30 mm, reforzada con 1 platina de 12 mm</t>
  </si>
  <si>
    <t>Reinstalación puerta en lámina y marco en lámina, incluye resane y pintura</t>
  </si>
  <si>
    <t>Columpio metálico de 3 puestos, pintado e instalado</t>
  </si>
  <si>
    <t>Columpio metálico de 2 puestos, pintado e instalado</t>
  </si>
  <si>
    <t>Placa de contrapiso en concreto de 17,2 Mpa  e = 0,07 m</t>
  </si>
  <si>
    <t>Concreto de 24,5 Mpa (3500 PSI) (producción)</t>
  </si>
  <si>
    <t>MAT704</t>
  </si>
  <si>
    <t>MAT705</t>
  </si>
  <si>
    <t>Estopa</t>
  </si>
  <si>
    <t>MAT707</t>
  </si>
  <si>
    <t>Grafil 5,5 mm</t>
  </si>
  <si>
    <t>kg</t>
  </si>
  <si>
    <t>MAT708</t>
  </si>
  <si>
    <t>Piso en Baldosa en grano de mármol vibroprensado 30x30 cm, grano #1. Incluye, boquilla blanca, destronque (#36), 3 pulidas (#60,120,220) y brillo al plomo. Color blanco Huila fondo blanco</t>
  </si>
  <si>
    <t>Baldosa Grano Tradicional Blanco Huila BH5 de 30 x 30 cm. Tipo Alfa o Similar. Fondo Blanco</t>
  </si>
  <si>
    <t>ITE071</t>
  </si>
  <si>
    <t>Profesional en salud ocupacional</t>
  </si>
  <si>
    <t>Mes</t>
  </si>
  <si>
    <t>Programa salud ocupacional</t>
  </si>
  <si>
    <t>ITE170</t>
  </si>
  <si>
    <t>ITE400</t>
  </si>
  <si>
    <t>Cerámica piso Antique 30.5 x 30.5 cm.Tipo Alfa o Similar. Color Blanco o Beige</t>
  </si>
  <si>
    <t>MAT712</t>
  </si>
  <si>
    <t>MAT713</t>
  </si>
  <si>
    <t>Masilla para piso en vinilo</t>
  </si>
  <si>
    <t>Baldosa tipo Terrazzo No. 5 P5B de 30 x 30 cm</t>
  </si>
  <si>
    <t>EQU015</t>
  </si>
  <si>
    <t>Pulidora sin operario</t>
  </si>
  <si>
    <t>MAT385</t>
  </si>
  <si>
    <t>MAT130</t>
  </si>
  <si>
    <t>Granito por 25 Kg</t>
  </si>
  <si>
    <t>MAT012</t>
  </si>
  <si>
    <t>MAT126</t>
  </si>
  <si>
    <t>Dilatación PVC flexible ancha x 2 m</t>
  </si>
  <si>
    <t>MAT377</t>
  </si>
  <si>
    <t>MAT127</t>
  </si>
  <si>
    <t>MAT243</t>
  </si>
  <si>
    <t>Dilatación de vidrio</t>
  </si>
  <si>
    <t>MAT090</t>
  </si>
  <si>
    <t>MAT106</t>
  </si>
  <si>
    <t>Conjunto desagüe flexible para lavadero de 1 1/2" con canastillas</t>
  </si>
  <si>
    <t>MAT240</t>
  </si>
  <si>
    <t>MAT025</t>
  </si>
  <si>
    <t>MAT132</t>
  </si>
  <si>
    <t>MAT133</t>
  </si>
  <si>
    <t>Malla eslabonada 2" x 2" C 13</t>
  </si>
  <si>
    <t>MAT158</t>
  </si>
  <si>
    <t>Bloque de cemento de 0,14 x 0,19 x 0,39 m</t>
  </si>
  <si>
    <t>MAT177</t>
  </si>
  <si>
    <t>Soldadura para hierro estructural</t>
  </si>
  <si>
    <t>MAT336</t>
  </si>
  <si>
    <t>MAT072</t>
  </si>
  <si>
    <t>MAT073</t>
  </si>
  <si>
    <t>Pasador metálico de 3"</t>
  </si>
  <si>
    <t>MAT121</t>
  </si>
  <si>
    <t>MAT162</t>
  </si>
  <si>
    <t>Tableta tipo Tradicional de 0,30 x 0,30 m</t>
  </si>
  <si>
    <t>MAT175</t>
  </si>
  <si>
    <t>MAT166</t>
  </si>
  <si>
    <t>MAT205</t>
  </si>
  <si>
    <t>Ladrillo farol rayado de 0,12 x 0,20 x 0,30 m</t>
  </si>
  <si>
    <t>MAT226</t>
  </si>
  <si>
    <t>MAT227</t>
  </si>
  <si>
    <t>Tablón de 0,20 x 0,20 m rojo</t>
  </si>
  <si>
    <t>MAT229</t>
  </si>
  <si>
    <t>MAT231</t>
  </si>
  <si>
    <t>Cerámica de 1ra. de 20 x 20 cm tipo Ecocerámica</t>
  </si>
  <si>
    <t>MAT217</t>
  </si>
  <si>
    <t>Cerámica de 1ra. trafico 4 de 32 x 32 cm tipo Terranova</t>
  </si>
  <si>
    <t>MAT218</t>
  </si>
  <si>
    <t>Cerámica de 1ra. de 40 x 40 cm tipo Mangle Euro-cerámica</t>
  </si>
  <si>
    <t>MAT221</t>
  </si>
  <si>
    <t>MAT222</t>
  </si>
  <si>
    <t>MAT269</t>
  </si>
  <si>
    <t>Tableta tipo Portal de 0,30 x 0,15 m</t>
  </si>
  <si>
    <t>MAT270</t>
  </si>
  <si>
    <t>Tablón tipo Andino de 0,10 x 0,20 m</t>
  </si>
  <si>
    <t>MAT189</t>
  </si>
  <si>
    <t>Ángulo de 1 1/2" x 1/8"</t>
  </si>
  <si>
    <t>MAT180</t>
  </si>
  <si>
    <t>Anticorrosivo gris</t>
  </si>
  <si>
    <t>MAT008</t>
  </si>
  <si>
    <t>Manija (asa) para puerta</t>
  </si>
  <si>
    <t>MAT274</t>
  </si>
  <si>
    <t>MAT324</t>
  </si>
  <si>
    <t>MAT330</t>
  </si>
  <si>
    <t>MAT331</t>
  </si>
  <si>
    <t>MAT318</t>
  </si>
  <si>
    <t>Cinta de papel</t>
  </si>
  <si>
    <t>MAT397</t>
  </si>
  <si>
    <t>MAT425</t>
  </si>
  <si>
    <t>MAT423</t>
  </si>
  <si>
    <t>MAT428</t>
  </si>
  <si>
    <t>MAT432</t>
  </si>
  <si>
    <t>MAT251</t>
  </si>
  <si>
    <t>MAT433</t>
  </si>
  <si>
    <t>MAT113</t>
  </si>
  <si>
    <t>MAT144</t>
  </si>
  <si>
    <t>Yeso</t>
  </si>
  <si>
    <t>MAT040</t>
  </si>
  <si>
    <t>Barniz intemperie brillante</t>
  </si>
  <si>
    <t>MAT118</t>
  </si>
  <si>
    <t>Cñ</t>
  </si>
  <si>
    <t>MAT011</t>
  </si>
  <si>
    <t>MAT041</t>
  </si>
  <si>
    <t>MAT042</t>
  </si>
  <si>
    <t>MAT043</t>
  </si>
  <si>
    <t>MAT387</t>
  </si>
  <si>
    <t>MAT353</t>
  </si>
  <si>
    <t>MAT045</t>
  </si>
  <si>
    <t>MAT299</t>
  </si>
  <si>
    <t>MAT046</t>
  </si>
  <si>
    <t>MAT054</t>
  </si>
  <si>
    <t>MAT055</t>
  </si>
  <si>
    <t>Varilla esqueleto fina</t>
  </si>
  <si>
    <t>MAT293</t>
  </si>
  <si>
    <t>Guarda luz (varilla)</t>
  </si>
  <si>
    <t>MAT241</t>
  </si>
  <si>
    <t>Imprimante referencia 3501 o similar</t>
  </si>
  <si>
    <t>MAT307</t>
  </si>
  <si>
    <t>MAT058</t>
  </si>
  <si>
    <t>MAT485</t>
  </si>
  <si>
    <t>Tanque para agua plástico de 500 lt completo</t>
  </si>
  <si>
    <t>MAT280</t>
  </si>
  <si>
    <t>MAT108</t>
  </si>
  <si>
    <t>MAT249</t>
  </si>
  <si>
    <t>Incrustaciones tipo Acuacer (viene por 4 un)</t>
  </si>
  <si>
    <t>MAT094</t>
  </si>
  <si>
    <t>MAT098</t>
  </si>
  <si>
    <t>MAT096</t>
  </si>
  <si>
    <t>MAT161</t>
  </si>
  <si>
    <t>MAT101</t>
  </si>
  <si>
    <t>MAT374</t>
  </si>
  <si>
    <t>Pintura vinilo para exteriores koraza o similar</t>
  </si>
  <si>
    <t>MAT100</t>
  </si>
  <si>
    <t>MAT247</t>
  </si>
  <si>
    <t>MAT375</t>
  </si>
  <si>
    <t>MAT159</t>
  </si>
  <si>
    <t>MAT298</t>
  </si>
  <si>
    <t>Jg</t>
  </si>
  <si>
    <t>MAT078</t>
  </si>
  <si>
    <t>MAT160</t>
  </si>
  <si>
    <t>MAT185</t>
  </si>
  <si>
    <t>Acrílico lámpara fluorescente de 0.60 x 1.20 m</t>
  </si>
  <si>
    <t>MAT225</t>
  </si>
  <si>
    <t>MAT234</t>
  </si>
  <si>
    <t>MAT245</t>
  </si>
  <si>
    <t>Incrustaciones tipo Adhesivos (viene por 6 un)</t>
  </si>
  <si>
    <t>MAT122</t>
  </si>
  <si>
    <t>MAT278</t>
  </si>
  <si>
    <t>MAT290</t>
  </si>
  <si>
    <t>Microesferas reflectivas 25 kg</t>
  </si>
  <si>
    <t>MAT116</t>
  </si>
  <si>
    <t>Pintura tipo ministerio (trafico)</t>
  </si>
  <si>
    <t>MAT102</t>
  </si>
  <si>
    <t>MAT347</t>
  </si>
  <si>
    <t>Teja S l = 0,40 m a = 0,17 m</t>
  </si>
  <si>
    <t>MAT359</t>
  </si>
  <si>
    <t>MAT421</t>
  </si>
  <si>
    <t>MAT208</t>
  </si>
  <si>
    <t>Tapa poros referencia 7203 o similar</t>
  </si>
  <si>
    <t>MAT097</t>
  </si>
  <si>
    <t>MAT476</t>
  </si>
  <si>
    <t>Frescasa sin papel 2 1/2" x 15,24 x 1,22 m</t>
  </si>
  <si>
    <t>MAT511</t>
  </si>
  <si>
    <t>MAT067</t>
  </si>
  <si>
    <t>MAT069</t>
  </si>
  <si>
    <t>MAT071</t>
  </si>
  <si>
    <t>MAT209</t>
  </si>
  <si>
    <t>Tope para puerta (caucho - resorte)</t>
  </si>
  <si>
    <t>MAT114</t>
  </si>
  <si>
    <t>MAT366</t>
  </si>
  <si>
    <t>Nave metálica en lamina C 20 de 0,60 x 2,05 m, incluye anticorrosivo</t>
  </si>
  <si>
    <t>MAT068</t>
  </si>
  <si>
    <t>Nave metálica en lamina C 20 de 0,90 x 2,05 m, incluye anticorrosivo</t>
  </si>
  <si>
    <t>MAT063</t>
  </si>
  <si>
    <t>MAT373</t>
  </si>
  <si>
    <t>Nave metálica en lamina C 20 de 1,20 x 2,05 m (2 naves), incluye anticorrosivo</t>
  </si>
  <si>
    <t>MAT066</t>
  </si>
  <si>
    <t>Ventanería metálica en lámina C 20, incluye anticorrosivo</t>
  </si>
  <si>
    <t>MAT191</t>
  </si>
  <si>
    <t>Silicona transparente sellador de vidrios</t>
  </si>
  <si>
    <t>MAT297</t>
  </si>
  <si>
    <t>Ventanería metálica en lámina C 20 de seguridad, incluye anticorrosivo</t>
  </si>
  <si>
    <t>MAT300</t>
  </si>
  <si>
    <t>Ventanería en ángulo de 1" x 1/8", incluye anticorrosivo</t>
  </si>
  <si>
    <t>MAT074</t>
  </si>
  <si>
    <t>Ventanería corrediza en aluminio, incluye vidrio de 4 mm</t>
  </si>
  <si>
    <t>MAT355</t>
  </si>
  <si>
    <t>MAT358</t>
  </si>
  <si>
    <t>Puerta para división en lamina doble C 20 h = 1,60 m, incluye anticorrosivo</t>
  </si>
  <si>
    <t>MAT219</t>
  </si>
  <si>
    <t>MAT220</t>
  </si>
  <si>
    <t>MAT325</t>
  </si>
  <si>
    <t>MAT327</t>
  </si>
  <si>
    <t>MAT194</t>
  </si>
  <si>
    <t>MAT343</t>
  </si>
  <si>
    <t>MAT341</t>
  </si>
  <si>
    <t>Ángulo de 2" x 3/16"</t>
  </si>
  <si>
    <t>MAT050</t>
  </si>
  <si>
    <t>Cruces de HG 2"</t>
  </si>
  <si>
    <t>MAT379</t>
  </si>
  <si>
    <t>Codo de HG 2" x 90º</t>
  </si>
  <si>
    <t>MAT378</t>
  </si>
  <si>
    <t>Tee de HG 2"</t>
  </si>
  <si>
    <t>MAT138</t>
  </si>
  <si>
    <t>MAT232</t>
  </si>
  <si>
    <t>Codo de HG 3" x 90º</t>
  </si>
  <si>
    <t>MAT233</t>
  </si>
  <si>
    <t>Tee de HG 3"</t>
  </si>
  <si>
    <t>MAT350</t>
  </si>
  <si>
    <t>EQU019</t>
  </si>
  <si>
    <t>Finisher (pavimentadora) con operario</t>
  </si>
  <si>
    <t>MAT057</t>
  </si>
  <si>
    <t>Asfalto líquido MC-70 para imprimar</t>
  </si>
  <si>
    <t>EQU020</t>
  </si>
  <si>
    <t>Carrotanque asfalto</t>
  </si>
  <si>
    <t>MAT285</t>
  </si>
  <si>
    <t>Tubería PVC sanitaria de 3"</t>
  </si>
  <si>
    <t>MAT168</t>
  </si>
  <si>
    <t>Icopor e = 1"</t>
  </si>
  <si>
    <t>MAT202</t>
  </si>
  <si>
    <t>MAT187</t>
  </si>
  <si>
    <t>MAT252</t>
  </si>
  <si>
    <t>MAT346</t>
  </si>
  <si>
    <t>Guarda escobas en madera a = 0,10 m cedro blanco tintilla y laca</t>
  </si>
  <si>
    <t>MAT420</t>
  </si>
  <si>
    <t>MAT466</t>
  </si>
  <si>
    <t>MAT467</t>
  </si>
  <si>
    <t>MAT468</t>
  </si>
  <si>
    <t>MAT469</t>
  </si>
  <si>
    <t>MAT470</t>
  </si>
  <si>
    <t>MAT471</t>
  </si>
  <si>
    <t>MAT472</t>
  </si>
  <si>
    <t>MAT082</t>
  </si>
  <si>
    <t>Tubería PVC presión de 1"    rde 21</t>
  </si>
  <si>
    <t>MAT085</t>
  </si>
  <si>
    <t>%Tub</t>
  </si>
  <si>
    <t>MAT276</t>
  </si>
  <si>
    <t>MAT277</t>
  </si>
  <si>
    <t>MAT064</t>
  </si>
  <si>
    <t>MAT080</t>
  </si>
  <si>
    <t>Tubería PVC presión de 1/2" rde   9</t>
  </si>
  <si>
    <t>MAT099</t>
  </si>
  <si>
    <t>MAT083</t>
  </si>
  <si>
    <t>Tubería PVC presión de 2"    rde 21</t>
  </si>
  <si>
    <t>MAT304</t>
  </si>
  <si>
    <t>MAT301</t>
  </si>
  <si>
    <t>MAT145</t>
  </si>
  <si>
    <t>Tubería PF + UAD 1/2" (manguera)</t>
  </si>
  <si>
    <t>MAT418</t>
  </si>
  <si>
    <t>Tubería PVC acueducto unión platino de 8" rde 21</t>
  </si>
  <si>
    <t>MAT417</t>
  </si>
  <si>
    <t>Tubería PVC acueducto unión platino de 6" rde 21</t>
  </si>
  <si>
    <t>MAT416</t>
  </si>
  <si>
    <t>Tubería PVC acueducto unión platino de 4" rde 21</t>
  </si>
  <si>
    <t>MAT415</t>
  </si>
  <si>
    <t>Tubería PVC acueducto unión platino de 3" rde 21</t>
  </si>
  <si>
    <t>MAT384</t>
  </si>
  <si>
    <t>Tubería PVC acueducto unión platino de 2 1/2" red 21</t>
  </si>
  <si>
    <t>MAT368</t>
  </si>
  <si>
    <t>Tubería PVC acueducto unión platino de 2" rde 21</t>
  </si>
  <si>
    <t>MAT295</t>
  </si>
  <si>
    <t>MAT250</t>
  </si>
  <si>
    <t>MAT419</t>
  </si>
  <si>
    <t>MAT214</t>
  </si>
  <si>
    <t>MAT213</t>
  </si>
  <si>
    <t>MAT212</t>
  </si>
  <si>
    <t>MAT200</t>
  </si>
  <si>
    <t>Collar de derivación unión platino de 4" x 1/2"</t>
  </si>
  <si>
    <t>MAT199</t>
  </si>
  <si>
    <t>Collar de derivación unión platino de 3" x 1/2"</t>
  </si>
  <si>
    <t>MAT198</t>
  </si>
  <si>
    <t>Collar de derivación unión platino de 2 1/2" x 1/2"</t>
  </si>
  <si>
    <t>MAT197</t>
  </si>
  <si>
    <t>Collar de derivación unión platino de 2" x 1/2"</t>
  </si>
  <si>
    <t>MAT211</t>
  </si>
  <si>
    <t>MAT315</t>
  </si>
  <si>
    <t>MAT363</t>
  </si>
  <si>
    <t>MAT381</t>
  </si>
  <si>
    <t>Adaptador PVC macho de 1 1/2" presión</t>
  </si>
  <si>
    <t>MAT061</t>
  </si>
  <si>
    <t>Adaptador PVC macho de 1" presión</t>
  </si>
  <si>
    <t>MAT317</t>
  </si>
  <si>
    <t>Cheque de 1"    200 psi</t>
  </si>
  <si>
    <t>MAT312</t>
  </si>
  <si>
    <t>MAT365</t>
  </si>
  <si>
    <t>Adaptador PVC macho de 1/2" presión</t>
  </si>
  <si>
    <t>MAT201</t>
  </si>
  <si>
    <t>Adaptador macho PF + UAD 1/2"</t>
  </si>
  <si>
    <t>MAT311</t>
  </si>
  <si>
    <t>Registro de incorporación de 1/2"</t>
  </si>
  <si>
    <t>MAT356</t>
  </si>
  <si>
    <t>MAT376</t>
  </si>
  <si>
    <t>Llave de paso tipo Red White de 1 1/2"</t>
  </si>
  <si>
    <t>MAT284</t>
  </si>
  <si>
    <t>Llave de paso tipo Red White de 1"</t>
  </si>
  <si>
    <t>MAT286</t>
  </si>
  <si>
    <t>Codo PVC presión 1" x 45º</t>
  </si>
  <si>
    <t>MAT283</t>
  </si>
  <si>
    <t>Llave de paso tipo Red White de 3/4"</t>
  </si>
  <si>
    <t>MAT362</t>
  </si>
  <si>
    <t>Adaptador PVC macho de 3/4" presión</t>
  </si>
  <si>
    <t>MAT282</t>
  </si>
  <si>
    <t>Llave de paso tipo Red White de 1/2"</t>
  </si>
  <si>
    <t>MAT087</t>
  </si>
  <si>
    <t>MAT380</t>
  </si>
  <si>
    <t>Medidor de 1"    volumétrico tipo "B"</t>
  </si>
  <si>
    <t>MAT352</t>
  </si>
  <si>
    <t>MAT183</t>
  </si>
  <si>
    <t>MAT184</t>
  </si>
  <si>
    <t>MAT246</t>
  </si>
  <si>
    <t>Llave terminal roscada de 1/2" pesada</t>
  </si>
  <si>
    <t>MAT294</t>
  </si>
  <si>
    <t>MAT459</t>
  </si>
  <si>
    <t>Hidrante tipo Milán de 3" extremo brida, incluye kit de nivelación</t>
  </si>
  <si>
    <t>MAT464</t>
  </si>
  <si>
    <t>Válvula de 3" sello de bronce extremo liso o junta hidráulica PVC</t>
  </si>
  <si>
    <t>MAT460</t>
  </si>
  <si>
    <t>MAT473</t>
  </si>
  <si>
    <t>Válvula de 3" sello elástico extremo liso o junta hidráulica PVC</t>
  </si>
  <si>
    <t>MAT479</t>
  </si>
  <si>
    <t>Adaptador PVC macho de 2" presión</t>
  </si>
  <si>
    <t>MAT461</t>
  </si>
  <si>
    <t>Llave de paso tipo Red White de 2"</t>
  </si>
  <si>
    <t>MAT475</t>
  </si>
  <si>
    <t>Gabinete contra incendios completo tipo 3</t>
  </si>
  <si>
    <t>MAT496</t>
  </si>
  <si>
    <t>MAT364</t>
  </si>
  <si>
    <t>MAT369</t>
  </si>
  <si>
    <t>Accesorios PVC agua lluvia (% tubería)</t>
  </si>
  <si>
    <t>MAT062</t>
  </si>
  <si>
    <t>MAT292</t>
  </si>
  <si>
    <t>MAT302</t>
  </si>
  <si>
    <t xml:space="preserve">Soporte bajante PVC </t>
  </si>
  <si>
    <t>MAT065</t>
  </si>
  <si>
    <t>MAT060</t>
  </si>
  <si>
    <t>MAT316</t>
  </si>
  <si>
    <t>MAT429</t>
  </si>
  <si>
    <t>Tubería PVC de ventilación de 2"</t>
  </si>
  <si>
    <t>MAT430</t>
  </si>
  <si>
    <t>Tubería PVC de ventilación de 3"</t>
  </si>
  <si>
    <t>MAT103</t>
  </si>
  <si>
    <t>Tubería PVC sanitaria de 2"</t>
  </si>
  <si>
    <t>MAT104</t>
  </si>
  <si>
    <t>Tubería PVC sanitaria de 4"</t>
  </si>
  <si>
    <t>MAT105</t>
  </si>
  <si>
    <t>Tubería PVC sanitaria de 6"</t>
  </si>
  <si>
    <t>MAT334</t>
  </si>
  <si>
    <t>MAT111</t>
  </si>
  <si>
    <t>MAT326</t>
  </si>
  <si>
    <t>MAT149</t>
  </si>
  <si>
    <t>MAT150</t>
  </si>
  <si>
    <t>MAT151</t>
  </si>
  <si>
    <t>MAT125</t>
  </si>
  <si>
    <t>MAT029</t>
  </si>
  <si>
    <t>MAT070</t>
  </si>
  <si>
    <t>Vaselina</t>
  </si>
  <si>
    <t>MAT141</t>
  </si>
  <si>
    <t>MAT142</t>
  </si>
  <si>
    <t>EQU029</t>
  </si>
  <si>
    <t>Manejo de tubería</t>
  </si>
  <si>
    <t>MAT081</t>
  </si>
  <si>
    <t>Tubería de concreto vibrada de 16" unión caucho C 2</t>
  </si>
  <si>
    <t>MAT408</t>
  </si>
  <si>
    <t>Tubería de concreto vibrada de 18" unión caucho C 2</t>
  </si>
  <si>
    <t>MAT409</t>
  </si>
  <si>
    <t>Tubería de concreto vibrada de 21" unión caucho C 2</t>
  </si>
  <si>
    <t>MAT410</t>
  </si>
  <si>
    <t>Tubería de concreto vibrada de 24" unión caucho C 2</t>
  </si>
  <si>
    <t>MAT411</t>
  </si>
  <si>
    <t>Tubería de concreto vibrada reforzada de 24" unión caucho C 2</t>
  </si>
  <si>
    <t>MAT413</t>
  </si>
  <si>
    <t>Tubería de concreto vibrada reforzada de 30" unión caucho C 2</t>
  </si>
  <si>
    <t>MAT414</t>
  </si>
  <si>
    <t>Tubería de concreto vibrada reforzada de 36" unión caucho C 2</t>
  </si>
  <si>
    <t>MAT095</t>
  </si>
  <si>
    <t>Tubería de concreto vibrada reforzada de 40" unión caucho C 2</t>
  </si>
  <si>
    <t>MAT107</t>
  </si>
  <si>
    <t>Tubería de concreto vibrada reforzada de 48" unión caucho C 2</t>
  </si>
  <si>
    <t>MAT109</t>
  </si>
  <si>
    <t>Tubería de concreto vibrada reforzada de 52" unión caucho C 2</t>
  </si>
  <si>
    <t>MAT117</t>
  </si>
  <si>
    <t>Tubería de concreto vibrada reforzada de 60" unión caucho C 2</t>
  </si>
  <si>
    <t>MAT123</t>
  </si>
  <si>
    <t>MAT124</t>
  </si>
  <si>
    <t>MAT129</t>
  </si>
  <si>
    <t>MAT131</t>
  </si>
  <si>
    <t>MAT136</t>
  </si>
  <si>
    <t>MAT139</t>
  </si>
  <si>
    <t>MAT440</t>
  </si>
  <si>
    <t>Geodren circular de 4" l = 1,00 m</t>
  </si>
  <si>
    <t>MAT442</t>
  </si>
  <si>
    <t>Geodren circular de 2 1/2" l = 1 m</t>
  </si>
  <si>
    <t>MAT443</t>
  </si>
  <si>
    <t>Geodren circular de 6" l = 1,00 m</t>
  </si>
  <si>
    <t>MAT465</t>
  </si>
  <si>
    <t>Geodren circular de 8" l = 1,00 m</t>
  </si>
  <si>
    <t>MAT441</t>
  </si>
  <si>
    <t>Geodren planar l = 1,00 m</t>
  </si>
  <si>
    <t>MAT344</t>
  </si>
  <si>
    <t>Alambre cobre #   8 AWG</t>
  </si>
  <si>
    <t>MAT275</t>
  </si>
  <si>
    <t>Tubería PVC conduit de 3/4"</t>
  </si>
  <si>
    <t>MAT047</t>
  </si>
  <si>
    <t>MAT255</t>
  </si>
  <si>
    <t>Tubería PVC conduit de 1/2"</t>
  </si>
  <si>
    <t>MAT328</t>
  </si>
  <si>
    <t>Adaptador PVC terminal de 1/2" conduit</t>
  </si>
  <si>
    <t>MAT256</t>
  </si>
  <si>
    <t>Alambre cobre # 12 AWG</t>
  </si>
  <si>
    <t>MAT340</t>
  </si>
  <si>
    <t>Caja plástica conduit sencilla cumple norma Retie</t>
  </si>
  <si>
    <t>MAT263</t>
  </si>
  <si>
    <t>MAT492</t>
  </si>
  <si>
    <t>Cable duplex transparente 2 x 20</t>
  </si>
  <si>
    <t>MAT491</t>
  </si>
  <si>
    <t>Pulsador timbre con luz piloto</t>
  </si>
  <si>
    <t>MAT260</t>
  </si>
  <si>
    <t>MAT259</t>
  </si>
  <si>
    <t>Caja plástica conduit doble cumple norma Retie</t>
  </si>
  <si>
    <t>MAT190</t>
  </si>
  <si>
    <t>Interruptor sencillo</t>
  </si>
  <si>
    <t>MAT332</t>
  </si>
  <si>
    <t>Interruptor doble</t>
  </si>
  <si>
    <t>MAT088</t>
  </si>
  <si>
    <t>MAT262</t>
  </si>
  <si>
    <t>MAT265</t>
  </si>
  <si>
    <t>MAT371</t>
  </si>
  <si>
    <t>Alambre telefónico 2 pares</t>
  </si>
  <si>
    <t>MAT203</t>
  </si>
  <si>
    <t>MAT157</t>
  </si>
  <si>
    <t>Alambre cobre # 10 AWG</t>
  </si>
  <si>
    <t>MAT223</t>
  </si>
  <si>
    <t>Toma corriente doble polo a tierra</t>
  </si>
  <si>
    <t>MAT345</t>
  </si>
  <si>
    <t>Cable coaxial RG 8</t>
  </si>
  <si>
    <t>MAT224</t>
  </si>
  <si>
    <t>Toma terminal coaxial tv amer.75 OHM</t>
  </si>
  <si>
    <t>MAT487</t>
  </si>
  <si>
    <t>MAT488</t>
  </si>
  <si>
    <t>Bala incandescente especular prismática 9 cm</t>
  </si>
  <si>
    <t>MAT444</t>
  </si>
  <si>
    <t>Cable de cobre THWN No.   8</t>
  </si>
  <si>
    <t>MAT445</t>
  </si>
  <si>
    <t>Curva conduit PVC de 3/4"</t>
  </si>
  <si>
    <t>MAT446</t>
  </si>
  <si>
    <t>Cinta bandit de 3/4"</t>
  </si>
  <si>
    <t>MAT447</t>
  </si>
  <si>
    <t>Hebillas bandit 3/4"</t>
  </si>
  <si>
    <t>MAT448</t>
  </si>
  <si>
    <t>Tubo EMT 3/4" (por 3 m)</t>
  </si>
  <si>
    <t>MAT449</t>
  </si>
  <si>
    <t>Unión EMT 3/4"</t>
  </si>
  <si>
    <t>MAT450</t>
  </si>
  <si>
    <t>Cable de cobre THWN No. 12</t>
  </si>
  <si>
    <t>MAT451</t>
  </si>
  <si>
    <t>Poste de concreto 12 x 510 kg. Incluye transporte</t>
  </si>
  <si>
    <t>MAT452</t>
  </si>
  <si>
    <t>Percha de 2 puestos</t>
  </si>
  <si>
    <t>MAT453</t>
  </si>
  <si>
    <t>Aislador yoyo de 2 1/2"</t>
  </si>
  <si>
    <t>MOB020</t>
  </si>
  <si>
    <t>MOB021</t>
  </si>
  <si>
    <t>EQU039</t>
  </si>
  <si>
    <t>MAT454</t>
  </si>
  <si>
    <t>MAT258</t>
  </si>
  <si>
    <t>Cable de cobre # 4 desnudo  AWG</t>
  </si>
  <si>
    <t>MAT455</t>
  </si>
  <si>
    <t>MAT456</t>
  </si>
  <si>
    <t>Tubo EMT 1/2" (por 3 m)</t>
  </si>
  <si>
    <t>MAT486</t>
  </si>
  <si>
    <t>MAT489</t>
  </si>
  <si>
    <t>MAT230</t>
  </si>
  <si>
    <t>MAT266</t>
  </si>
  <si>
    <t>Toma corriente doble polo regulado a tierra</t>
  </si>
  <si>
    <t>MAT499</t>
  </si>
  <si>
    <t xml:space="preserve">Caja metálica C.18 con espacio para medidor electrónico  y totalizador </t>
  </si>
  <si>
    <t>MAT500</t>
  </si>
  <si>
    <t>Medidor electrónico trifásico medición directa</t>
  </si>
  <si>
    <t>MAT501</t>
  </si>
  <si>
    <t>Totalizador trifásico regulable 3 x 100 Amp de incrustar</t>
  </si>
  <si>
    <t>MAT502</t>
  </si>
  <si>
    <t>Tablero de 8 circuitos trifilar con tapa</t>
  </si>
  <si>
    <t>MAT503</t>
  </si>
  <si>
    <t>MAT504</t>
  </si>
  <si>
    <t>MAT505</t>
  </si>
  <si>
    <t>Reflector RRA 250W M.H completa con bombillo</t>
  </si>
  <si>
    <t>MAT506</t>
  </si>
  <si>
    <t>Accesorios para instalación y fijación de reflector RRA 250 W M. H.</t>
  </si>
  <si>
    <t>MAT507</t>
  </si>
  <si>
    <t>Conectores de resorte de 2 salidas</t>
  </si>
  <si>
    <t>MAT508</t>
  </si>
  <si>
    <t>Cable trenzado 1 x 4 + 4</t>
  </si>
  <si>
    <t>MAT478</t>
  </si>
  <si>
    <t>MAT490</t>
  </si>
  <si>
    <t>MAT287</t>
  </si>
  <si>
    <t>MAT288</t>
  </si>
  <si>
    <t>MAT437</t>
  </si>
  <si>
    <t>MAT438</t>
  </si>
  <si>
    <t>MAT439</t>
  </si>
  <si>
    <t>Semilla de grama</t>
  </si>
  <si>
    <t>MAT188</t>
  </si>
  <si>
    <t>MAT493</t>
  </si>
  <si>
    <t>Papel de colgadura a = 0,50 m x 10 m</t>
  </si>
  <si>
    <t>Rll</t>
  </si>
  <si>
    <t>MAT494</t>
  </si>
  <si>
    <t>MAT458</t>
  </si>
  <si>
    <t>MAT513</t>
  </si>
  <si>
    <t>Flexocreto</t>
  </si>
  <si>
    <t>MAT515</t>
  </si>
  <si>
    <t>Bomba para concreto</t>
  </si>
  <si>
    <t>MAT514</t>
  </si>
  <si>
    <t>MAT207</t>
  </si>
  <si>
    <t>Cañabrava</t>
  </si>
  <si>
    <t>MAT156</t>
  </si>
  <si>
    <t>Grapas</t>
  </si>
  <si>
    <t>MAT216</t>
  </si>
  <si>
    <t>MAT167</t>
  </si>
  <si>
    <t>MAT236</t>
  </si>
  <si>
    <t>Calfos</t>
  </si>
  <si>
    <t>MAT509</t>
  </si>
  <si>
    <t>Borax</t>
  </si>
  <si>
    <t>MAT242</t>
  </si>
  <si>
    <t>Insecticida</t>
  </si>
  <si>
    <t>EQU036</t>
  </si>
  <si>
    <t>Cortadora de ladrillo con disco</t>
  </si>
  <si>
    <t>MAT210</t>
  </si>
  <si>
    <t>MAT709</t>
  </si>
  <si>
    <t>Cenefas en tablon 26 x 6 x 3,5 cm</t>
  </si>
  <si>
    <t>Dilatación de bronce</t>
  </si>
  <si>
    <t>MAT710</t>
  </si>
  <si>
    <t>Granito blanco huila  Nº 1,2 y 3 (25 kg)</t>
  </si>
  <si>
    <t>Piso en granito pulido, incluye dilatación de bronce</t>
  </si>
  <si>
    <t>Coho Vineyard &amp; Winery</t>
  </si>
  <si>
    <t>Abu-Deyah, Ahmed</t>
  </si>
  <si>
    <t>Ackerman, Pilar</t>
  </si>
  <si>
    <t>Adams, Terry</t>
  </si>
  <si>
    <t>Agarwal, Nupur</t>
  </si>
  <si>
    <t>Barnett, Dave</t>
  </si>
  <si>
    <t>Datos de usuario</t>
  </si>
  <si>
    <t>A Datum Corporation</t>
  </si>
  <si>
    <t>123-555-0127</t>
  </si>
  <si>
    <t>123-555-0128</t>
  </si>
  <si>
    <t>123-555-0129</t>
  </si>
  <si>
    <t>MAT153</t>
  </si>
  <si>
    <t>hazem@example.com</t>
  </si>
  <si>
    <t>ahmed@example.com</t>
  </si>
  <si>
    <t>Tubo galvanizado para cerramiento de 2` x 3 m incluye tapa.</t>
  </si>
  <si>
    <t>Plántula (vetiver, limoncillo, lirio y afines), altura promedio 0.25 m</t>
  </si>
  <si>
    <t>MAT192</t>
  </si>
  <si>
    <t>Cepas, macollas o matas de pasto</t>
  </si>
  <si>
    <t>MAT033</t>
  </si>
  <si>
    <t>MAT030</t>
  </si>
  <si>
    <t>CANTIDAD</t>
  </si>
  <si>
    <t>CÓDIGO</t>
  </si>
  <si>
    <t>MOB011</t>
  </si>
  <si>
    <t>% MO</t>
  </si>
  <si>
    <t>EQU002</t>
  </si>
  <si>
    <t>MOB012</t>
  </si>
  <si>
    <t>MOB016</t>
  </si>
  <si>
    <t>Cuadrilla F 6 Of + 4 Ay (jornal + prestaciones)</t>
  </si>
  <si>
    <t>EQU001</t>
  </si>
  <si>
    <t>Control de agua</t>
  </si>
  <si>
    <t>EQU017</t>
  </si>
  <si>
    <t>EQU025</t>
  </si>
  <si>
    <t>Formaleta cono cámara</t>
  </si>
  <si>
    <t>EQU041</t>
  </si>
  <si>
    <t>RENDIMIENTO, USOS, DESPEDICIOS</t>
  </si>
  <si>
    <t>VALOR PARCIAL</t>
  </si>
  <si>
    <t>Herramienta menor (% mano obra)</t>
  </si>
  <si>
    <t>Andamio (% mano obra)</t>
  </si>
  <si>
    <t>Entibado (% mano obra)</t>
  </si>
  <si>
    <t>Herbicida</t>
  </si>
  <si>
    <t>EQUIPO</t>
  </si>
  <si>
    <t>M . O</t>
  </si>
  <si>
    <t>MATERIALES</t>
  </si>
  <si>
    <t>PERSONAL TÉCNICO, OPERATIVO
Riesgo Clase V</t>
  </si>
  <si>
    <t>PRESTACIONES SOCIALES</t>
  </si>
  <si>
    <t>Cesantías</t>
  </si>
  <si>
    <t>Intereses cesantías</t>
  </si>
  <si>
    <t>Vacaciones</t>
  </si>
  <si>
    <t>Prima</t>
  </si>
  <si>
    <t>SEGURIDAD SOCIAL</t>
  </si>
  <si>
    <t>Aportes régimen general de pensiones (I.V.M)</t>
  </si>
  <si>
    <t>OTROS APORTES</t>
  </si>
  <si>
    <t>I.C.B.F.</t>
  </si>
  <si>
    <t>Comfamiliar</t>
  </si>
  <si>
    <t>Aportes régimen contributivo de salud</t>
  </si>
  <si>
    <t>SALARIO &gt; 2 SMMLV</t>
  </si>
  <si>
    <t>NOMBRE</t>
  </si>
  <si>
    <t>ANÁLISIS MANO DE OBRA</t>
  </si>
  <si>
    <t>SALARIO MENSUAL</t>
  </si>
  <si>
    <t>Subsidio de transporte</t>
  </si>
  <si>
    <t>SALARIO + PRESTACIONES</t>
  </si>
  <si>
    <t>SALARIO DIA</t>
  </si>
  <si>
    <t>Ayudante</t>
  </si>
  <si>
    <t>Ayudante práctico</t>
  </si>
  <si>
    <t>Liniero cat 1</t>
  </si>
  <si>
    <t>Liniero cat 2</t>
  </si>
  <si>
    <t>Maestro de obra</t>
  </si>
  <si>
    <t>Minero</t>
  </si>
  <si>
    <t>Oficial eléctrico</t>
  </si>
  <si>
    <t>Oficial pintor</t>
  </si>
  <si>
    <t>Operador de maquinaria</t>
  </si>
  <si>
    <t>Soldador</t>
  </si>
  <si>
    <t>Topógrafo</t>
  </si>
  <si>
    <t>Oficial</t>
  </si>
  <si>
    <t>Cadenero 1</t>
  </si>
  <si>
    <t>Cadenero 2</t>
  </si>
  <si>
    <t>Ayudante eléctrico (jornal + prestaciones)</t>
  </si>
  <si>
    <t>MOB004</t>
  </si>
  <si>
    <t>Ayudante práctico (jornal + prestaciones)</t>
  </si>
  <si>
    <t>EQU014</t>
  </si>
  <si>
    <t>Guadaña</t>
  </si>
  <si>
    <t>Dia</t>
  </si>
  <si>
    <t>Valla de identificación de obra área menor a 4 m2, colocada en cerchas metálica, incluye mantenimiento durante la construcción</t>
  </si>
  <si>
    <t>Valla de identificación de obra área mayor a 4 m2, colocada en cerchas metálica, incluye mantenimiento durante la construcción</t>
  </si>
  <si>
    <t>MAT396</t>
  </si>
  <si>
    <t>Cerramiento provisional con guadua y tela de cerramiento h=2 m</t>
  </si>
  <si>
    <t>Alambre de púas C 14</t>
  </si>
  <si>
    <t>Tablilla machihembrada para cielo raso pino ciprés</t>
  </si>
  <si>
    <t>Accesorios PVC sanitaria 3" promedio</t>
  </si>
  <si>
    <t xml:space="preserve">Tablilla fina para piso </t>
  </si>
  <si>
    <t>Señal vertical con cinta reflectiva, D= 0,75 m</t>
  </si>
  <si>
    <t>Accesorios PVC sanitaria 4" promedio</t>
  </si>
  <si>
    <t>Accesorios PVC sanitaria 2" promedio</t>
  </si>
  <si>
    <t>Emulsión para pavimento asfáltico CRR 1</t>
  </si>
  <si>
    <t>Breaker monofásico de 60A</t>
  </si>
  <si>
    <t>Taco metálico de 2 - &gt;3 m</t>
  </si>
  <si>
    <t>Volqueta 7 m3</t>
  </si>
  <si>
    <t>MAT137</t>
  </si>
  <si>
    <t>EQU021</t>
  </si>
  <si>
    <t>Compresor pintura</t>
  </si>
  <si>
    <t>LT</t>
  </si>
  <si>
    <t>Equipo móvil pintura línea vías</t>
  </si>
  <si>
    <t>EQU037</t>
  </si>
  <si>
    <t>EQU040</t>
  </si>
  <si>
    <t>Equipo soldadura eléctrica</t>
  </si>
  <si>
    <t>MAT173</t>
  </si>
  <si>
    <t>Ladrillo visto 6x12x25 55u/m2</t>
  </si>
  <si>
    <t>MAT206</t>
  </si>
  <si>
    <t>MAT253</t>
  </si>
  <si>
    <t>MAT321</t>
  </si>
  <si>
    <t>MAT349</t>
  </si>
  <si>
    <t>Marmolina</t>
  </si>
  <si>
    <t>MAT463</t>
  </si>
  <si>
    <t>MAT474</t>
  </si>
  <si>
    <t>Pasacalle tela 6mx0,9m</t>
  </si>
  <si>
    <t>MAT477</t>
  </si>
  <si>
    <t>MAT480</t>
  </si>
  <si>
    <t>MAT481</t>
  </si>
  <si>
    <t>MAT482</t>
  </si>
  <si>
    <t>MAT483</t>
  </si>
  <si>
    <t>MAT497</t>
  </si>
  <si>
    <t>Tabla fina para piso</t>
  </si>
  <si>
    <t>EQU043</t>
  </si>
  <si>
    <t>Taco metálico de 2,6 - &gt;4 m</t>
  </si>
  <si>
    <t>EQU045</t>
  </si>
  <si>
    <t>EQU046</t>
  </si>
  <si>
    <t>Tablero formaleta 70*140</t>
  </si>
  <si>
    <t>EQU047</t>
  </si>
  <si>
    <t>Taladro percutor</t>
  </si>
  <si>
    <t>MAT498</t>
  </si>
  <si>
    <t>MAT510</t>
  </si>
  <si>
    <t>UN</t>
  </si>
  <si>
    <t>MAT516</t>
  </si>
  <si>
    <t>MAT517</t>
  </si>
  <si>
    <t>MAT518</t>
  </si>
  <si>
    <t>MAT519</t>
  </si>
  <si>
    <t>MAT520</t>
  </si>
  <si>
    <t>MAT521</t>
  </si>
  <si>
    <t>MAT522</t>
  </si>
  <si>
    <t>MAT523</t>
  </si>
  <si>
    <t>MAT531</t>
  </si>
  <si>
    <t>MAT545</t>
  </si>
  <si>
    <t>MAT546</t>
  </si>
  <si>
    <t>MAT547</t>
  </si>
  <si>
    <t>MAT548</t>
  </si>
  <si>
    <t>MAT549</t>
  </si>
  <si>
    <t>MAT551</t>
  </si>
  <si>
    <t>MAT552</t>
  </si>
  <si>
    <t>MAT554</t>
  </si>
  <si>
    <t>MAT555</t>
  </si>
  <si>
    <t>MAT556</t>
  </si>
  <si>
    <t>MAT557</t>
  </si>
  <si>
    <t>MAT558</t>
  </si>
  <si>
    <t>MAT559</t>
  </si>
  <si>
    <t>MAT560</t>
  </si>
  <si>
    <t>MAT561</t>
  </si>
  <si>
    <t>MAT562</t>
  </si>
  <si>
    <t>MAT563</t>
  </si>
  <si>
    <t>MAT564</t>
  </si>
  <si>
    <t>MAT565</t>
  </si>
  <si>
    <t>MAT566</t>
  </si>
  <si>
    <t>MAT567</t>
  </si>
  <si>
    <t>MAT568</t>
  </si>
  <si>
    <t>MAT569</t>
  </si>
  <si>
    <t>MAT570</t>
  </si>
  <si>
    <t>MAT571</t>
  </si>
  <si>
    <t>MAT572</t>
  </si>
  <si>
    <t>MAT573</t>
  </si>
  <si>
    <t>MAT574</t>
  </si>
  <si>
    <t>MAT581</t>
  </si>
  <si>
    <t>MAT582</t>
  </si>
  <si>
    <t>MAT583</t>
  </si>
  <si>
    <t>MAT584</t>
  </si>
  <si>
    <t>MAT585</t>
  </si>
  <si>
    <t>MAT586</t>
  </si>
  <si>
    <t>MAT587</t>
  </si>
  <si>
    <t>MAT588</t>
  </si>
  <si>
    <t>MAT589</t>
  </si>
  <si>
    <t>MAT590</t>
  </si>
  <si>
    <t>MAT591</t>
  </si>
  <si>
    <t>MAT592</t>
  </si>
  <si>
    <t>MAT593</t>
  </si>
  <si>
    <t>MAT594</t>
  </si>
  <si>
    <t>MAT595</t>
  </si>
  <si>
    <t>MAT596</t>
  </si>
  <si>
    <t>MAT597</t>
  </si>
  <si>
    <t>MAT608</t>
  </si>
  <si>
    <t>MAT609</t>
  </si>
  <si>
    <t>MAT610</t>
  </si>
  <si>
    <t>MAT611</t>
  </si>
  <si>
    <t>MAT612</t>
  </si>
  <si>
    <t>MAT613</t>
  </si>
  <si>
    <t>MAT614</t>
  </si>
  <si>
    <t>MAT630</t>
  </si>
  <si>
    <t>MAT632</t>
  </si>
  <si>
    <t>MAT634</t>
  </si>
  <si>
    <t>MAT635</t>
  </si>
  <si>
    <t>MAT636</t>
  </si>
  <si>
    <t>MAT637</t>
  </si>
  <si>
    <t>MAT638</t>
  </si>
  <si>
    <t>MAT639</t>
  </si>
  <si>
    <t>MAT640</t>
  </si>
  <si>
    <t>MAT641</t>
  </si>
  <si>
    <t>MAT642</t>
  </si>
  <si>
    <t>MAT643</t>
  </si>
  <si>
    <t>MAT644</t>
  </si>
  <si>
    <t>MAT645</t>
  </si>
  <si>
    <t>MAT646</t>
  </si>
  <si>
    <t>MAT647</t>
  </si>
  <si>
    <t>MAT648</t>
  </si>
  <si>
    <t>MAT649</t>
  </si>
  <si>
    <t>MAT650</t>
  </si>
  <si>
    <t>MAT651</t>
  </si>
  <si>
    <t>MAT653</t>
  </si>
  <si>
    <t>MAT654</t>
  </si>
  <si>
    <t>MAT655</t>
  </si>
  <si>
    <t>Codo Hg  1/2   90</t>
  </si>
  <si>
    <t>Codo Hg  3/4   90</t>
  </si>
  <si>
    <t>Codo Hg 1      90</t>
  </si>
  <si>
    <t>Codo Hg 1- 1/4 90</t>
  </si>
  <si>
    <t>Codo Hg 1-1/2  90</t>
  </si>
  <si>
    <t>Disolvente Esmalte Rf121001</t>
  </si>
  <si>
    <t>Disolvente Pintrafico Rf121004</t>
  </si>
  <si>
    <t>Esquinero Cieloraso Fino</t>
  </si>
  <si>
    <t>Esquinero Cieloraso Revoltura</t>
  </si>
  <si>
    <t>Niple Tub Hg  3/4  L=.15M</t>
  </si>
  <si>
    <t>Niple Tub Hg 1     L=.15M</t>
  </si>
  <si>
    <t>Niple Tub Hg 1- 1/4L=.15M</t>
  </si>
  <si>
    <t>Niple Tub Hg 1-1/2 L=.15M</t>
  </si>
  <si>
    <t>Niple Tub Hg 2     L=.15M</t>
  </si>
  <si>
    <t>Platina  1/2X 1/8</t>
  </si>
  <si>
    <t>Platina  3/4X 1/8</t>
  </si>
  <si>
    <t>Platina 1   X 1/4</t>
  </si>
  <si>
    <t>Platina 1-1/2   X   1/4</t>
  </si>
  <si>
    <t>Platina 2   X 1/4</t>
  </si>
  <si>
    <t>Tee Hg   1/2</t>
  </si>
  <si>
    <t>Tee Hg   3/4</t>
  </si>
  <si>
    <t>Tee Hg 1</t>
  </si>
  <si>
    <t>Transformador Monofásico Aceite  25 Kva</t>
  </si>
  <si>
    <t>Transformador Monofásico Aceite  37.5 Kva</t>
  </si>
  <si>
    <t>Transformador Trifilar Aceite  30 Kva</t>
  </si>
  <si>
    <t>Transformador Trifilar Aceite  45 Kva</t>
  </si>
  <si>
    <t>Transformador Trifilar Aceite  75 Kva</t>
  </si>
  <si>
    <t>Transformador Trifilar Aceite 112.5 Kva</t>
  </si>
  <si>
    <t>Viga Madera 2 X 3</t>
  </si>
  <si>
    <t>EQU048</t>
  </si>
  <si>
    <t>Malla gavión 2x1x1 7,5 C13 triple torsión</t>
  </si>
  <si>
    <t>Adaptador PVC hembra 3/4"</t>
  </si>
  <si>
    <t>Adaptador PVC hembra 1"</t>
  </si>
  <si>
    <t>Adaptador PVC hembra 1- 1/4"</t>
  </si>
  <si>
    <t>Adaptador PVC hembra 1-1/2"</t>
  </si>
  <si>
    <t>Adaptador PVC hembra 2"</t>
  </si>
  <si>
    <t>Adaptador PVC hembra 3"</t>
  </si>
  <si>
    <t>Carburo</t>
  </si>
  <si>
    <t>Gravilla #2</t>
  </si>
  <si>
    <t xml:space="preserve">Agua </t>
  </si>
  <si>
    <t>EQU049</t>
  </si>
  <si>
    <t>Barreno manual (hélice, cucharón)</t>
  </si>
  <si>
    <t>Chapa de bola fina de madera Schlage o similar</t>
  </si>
  <si>
    <t>Accesorios PVC presión</t>
  </si>
  <si>
    <t>Pirlán de bronce</t>
  </si>
  <si>
    <t xml:space="preserve">Timbre ding dong </t>
  </si>
  <si>
    <t>Caneca metálica 55 galones</t>
  </si>
  <si>
    <t>Adaptador PVC hembra 2-1/2"</t>
  </si>
  <si>
    <t>Adaptador PVC hembra Pvc 4"</t>
  </si>
  <si>
    <t>Lámina Alfajor 1/8</t>
  </si>
  <si>
    <t>Lámina C.R. Cal 18</t>
  </si>
  <si>
    <t>Lámina C.R. Cal 20 4'X8'</t>
  </si>
  <si>
    <t>Lámina C.R. Cal 22</t>
  </si>
  <si>
    <t>Lámina Galvan.Cal.22 4'X8'</t>
  </si>
  <si>
    <t>Lámina Galvan.Cal.24</t>
  </si>
  <si>
    <t>Plástico Cal 4</t>
  </si>
  <si>
    <t>Plástico Cal 6</t>
  </si>
  <si>
    <t>TableroTrifilar Tqsp  6 Circ Monofásico</t>
  </si>
  <si>
    <t>Tablero Trifilar Tqsp 12 Circ Monofásico</t>
  </si>
  <si>
    <t xml:space="preserve">Perfil C galvanizado C16 S=290mm </t>
  </si>
  <si>
    <t>Perfil C galvanizado C18 S=230mm</t>
  </si>
  <si>
    <t>Perfil C galvanizado C18 S=330mm</t>
  </si>
  <si>
    <t>Perfil O galvanizado C16 S=400mm</t>
  </si>
  <si>
    <t>MAT656</t>
  </si>
  <si>
    <t>MAT657</t>
  </si>
  <si>
    <t>MAT658</t>
  </si>
  <si>
    <t>MAT659</t>
  </si>
  <si>
    <t>MAT660</t>
  </si>
  <si>
    <t>Perfil aluminio sencillo D17</t>
  </si>
  <si>
    <t>Concretadora gasolina 1 o 1 1/2 sacos</t>
  </si>
  <si>
    <t>Cargador 930 1,5 yd3</t>
  </si>
  <si>
    <t xml:space="preserve">Vibrocompactador manual </t>
  </si>
  <si>
    <t>Transporte de materiales en mula</t>
  </si>
  <si>
    <t>Grua montacarga</t>
  </si>
  <si>
    <t>Grua telescópica</t>
  </si>
  <si>
    <t>Compactador neumático  con tractor</t>
  </si>
  <si>
    <t>MAT661</t>
  </si>
  <si>
    <t>Sellante flexible TOP 5010 SB</t>
  </si>
  <si>
    <t>Compactador  manual (canguro)</t>
  </si>
  <si>
    <t>MAT662</t>
  </si>
  <si>
    <t>MAT663</t>
  </si>
  <si>
    <t>Pintura exteriores (koraza o similar)</t>
  </si>
  <si>
    <t>Puerta de madera, marco en lámina C 20 de 0,9 x 2,05 m, incluye anticorrosivo, pintura, barniz, chapa de bola de madera, manija y tope</t>
  </si>
  <si>
    <t>Marco metálico en lámina C 20 de 0,80 x 2,05 m, incluye anticorrosivo</t>
  </si>
  <si>
    <t>Marco metálico en lámina C 20 de 1,20 x 2,05 m, incluye anticorrosivo</t>
  </si>
  <si>
    <t>Marco metálico en lámina C 20 de 0,90 x 2,05 m, incluye anticorrosivo</t>
  </si>
  <si>
    <t>MAT664</t>
  </si>
  <si>
    <t>Marco metálico en lámina C 20 de 0,60 x 2,05 m, incluye anticorrosivo</t>
  </si>
  <si>
    <t>Nave metálica en lamina C 20 de 0,80 x 2,05 m, incluye anticorrosivo</t>
  </si>
  <si>
    <t>MAT665</t>
  </si>
  <si>
    <t>Marco metálico en lámina C 20 de 1 x 2,05 m, incluye anticorrosivo</t>
  </si>
  <si>
    <t>Nave metálica en lamina C 20 de 1 x 2,05 m, incluye anticorrosivo</t>
  </si>
  <si>
    <t>MAT666</t>
  </si>
  <si>
    <t>MAT667</t>
  </si>
  <si>
    <t>Cruces de HG 3"</t>
  </si>
  <si>
    <t>MAT668</t>
  </si>
  <si>
    <t>Reinstalación puerta y marco en lámina 2 naves, incluye resane y pintura</t>
  </si>
  <si>
    <t>Reinstalación puerta en madera y marco en lámina, incluye resane, pintura y barniz</t>
  </si>
  <si>
    <t>Reinstalación puerta en madera, suministro de marco en lámina, incluye resane, anticorrosivo, pintura y barniz</t>
  </si>
  <si>
    <t>Reinstalación puerta en lámina, suministro de marco en lámina, incluye resane, anticorrosivo y pintura</t>
  </si>
  <si>
    <t>Reinstalación puerta, suministro de marco en lámina 2 naves, incluye resane, anticorrosivo y pintura</t>
  </si>
  <si>
    <t>ITEMS</t>
  </si>
  <si>
    <t>Cinta de señalización cal 6</t>
  </si>
  <si>
    <t>Retroexcavadora de orugas  capacidad 0,9 M3</t>
  </si>
  <si>
    <t>Cama baja</t>
  </si>
  <si>
    <t>Formaleta pavimento concreto 3 ml</t>
  </si>
  <si>
    <t xml:space="preserve">Motoniveladora </t>
  </si>
  <si>
    <t>EQU050</t>
  </si>
  <si>
    <t>EQU051</t>
  </si>
  <si>
    <t>Fresadora</t>
  </si>
  <si>
    <t>EQU052</t>
  </si>
  <si>
    <t>Recicladora de pavimento</t>
  </si>
  <si>
    <t>Excavación para conformación de taludes en roca manual</t>
  </si>
  <si>
    <t>Excavación para conformación de taludes en conglomerado manual</t>
  </si>
  <si>
    <t>Restitución con afirmado y cemento 5 % del peso</t>
  </si>
  <si>
    <t>Lleno compactado con material del sitio manual</t>
  </si>
  <si>
    <t>MAT</t>
  </si>
  <si>
    <t>Lleno compactado con afirmado manual, no incluye transporte</t>
  </si>
  <si>
    <t>Afirmado compactado e = 0.10 m manual, no incluye transporte</t>
  </si>
  <si>
    <t>Lleno material filtrante, no incluye transporte</t>
  </si>
  <si>
    <t>Cilindro compactador 2 toneladas</t>
  </si>
  <si>
    <t>Transporte maquinaría pesada</t>
  </si>
  <si>
    <t>Cerramiento con cinta de señalización, incluye señalizador tubular, dos cintas</t>
  </si>
  <si>
    <t>Punto hidráulico PVC de 1/2"  L prom = 3 m</t>
  </si>
  <si>
    <t>Punto hidráulico PVC de 3/4" L prom = 3 m</t>
  </si>
  <si>
    <t>Punto hidráulico PVC de 1"  L prom = 3 m</t>
  </si>
  <si>
    <t>Niple Tub Hg 1     L=.25M</t>
  </si>
  <si>
    <t>Niple Tub Hg 1- 1/4L=.25M</t>
  </si>
  <si>
    <t>Niple Tub Hg 1-1/2 L=.25M</t>
  </si>
  <si>
    <t>Niple Tub Hg 2     L=.25M</t>
  </si>
  <si>
    <t>Punto hidráulico PVC de 1 1/4"  L prom = 3 m</t>
  </si>
  <si>
    <t xml:space="preserve">Punto hidráulico PVC de 1 1/2" L prom = 3 m </t>
  </si>
  <si>
    <t>Punto hidráulico PVC de 2" L prom = 3 m</t>
  </si>
  <si>
    <t>MAT669</t>
  </si>
  <si>
    <t>Tubería PVC presión de 3"    rde 21</t>
  </si>
  <si>
    <t>Punto hidráulico PVC de 3" L prom = 3 m</t>
  </si>
  <si>
    <t>MAT670</t>
  </si>
  <si>
    <t>Niple Tub Hg 3"     L=.15M</t>
  </si>
  <si>
    <t>Hidrante tipo Milán de 3" extremo liso, incluye válvula sello elástico y kit de  nivelación</t>
  </si>
  <si>
    <t>Punto sanitario PVC de 2"  L prom = 3 m</t>
  </si>
  <si>
    <t>Punto sanitario PVC de 3"  L prom = 3 m</t>
  </si>
  <si>
    <t>Salida eléctrica alumbrado fluorescente, no incluye lámpara, longitud promedio 6 m</t>
  </si>
  <si>
    <t>Salida eléctrica alumbrado incandescente no incluye lámpara, longitud promedio 6 m</t>
  </si>
  <si>
    <t>Colocación de timbre, incluye pulsador longitud promedio 6 m</t>
  </si>
  <si>
    <t>Salida interruptor sencillo longitud promedio 4.5 m</t>
  </si>
  <si>
    <t>Salida interruptor doble longitud promedio 4,5 m</t>
  </si>
  <si>
    <t>Salida interruptor conmutable longitud promedio 4,5 m</t>
  </si>
  <si>
    <t>Tablero de 4 circuitos</t>
  </si>
  <si>
    <t>Salida toma doble con polo a tierra longitud promedio 6 m</t>
  </si>
  <si>
    <t>Salida para toma de estufa longitud promedio 4,5 m, incluye toma</t>
  </si>
  <si>
    <t>MAT671</t>
  </si>
  <si>
    <t>Toma especial estufa</t>
  </si>
  <si>
    <t>Salida audio y video longitud promedio 6 m</t>
  </si>
  <si>
    <t>Revisión punto eléctrico</t>
  </si>
  <si>
    <t>Ayudante eléctrico</t>
  </si>
  <si>
    <t>Cuadrilla K (1Of eléctrico+2Ay eléctricos) (jornal + prestaciones)</t>
  </si>
  <si>
    <t>Cuadrilla J (1 Of eléctrico+1Ay eléctrico) (jornal + prestaciones)</t>
  </si>
  <si>
    <t>MOB019</t>
  </si>
  <si>
    <t>MOB007</t>
  </si>
  <si>
    <t>Oficial eléctrico (jornal + prestaciones)</t>
  </si>
  <si>
    <t>Poste secundario 12 m x 510 kg, para iluminación lámpara (instalación y vestida)</t>
  </si>
  <si>
    <t>Varilla de cobre 5/8" x 2,40 m + conector</t>
  </si>
  <si>
    <t>Salida toma doble tipo GFCI longitud promedio 6 m</t>
  </si>
  <si>
    <t>Salida toma doble regulado con polo a tierra longitud promedio 6 m</t>
  </si>
  <si>
    <t>Tablero de 12 circuitos, incluye breakers</t>
  </si>
  <si>
    <t>Alambrado 2 # 12 AWG</t>
  </si>
  <si>
    <t>Poste secundario 12 m x 750 kg, para iluminación lámpara (instalación y vestida)</t>
  </si>
  <si>
    <t>MAT672</t>
  </si>
  <si>
    <t>MAT673</t>
  </si>
  <si>
    <t>Compañía</t>
  </si>
  <si>
    <t>Contacto</t>
  </si>
  <si>
    <t>Señal vertical con cinta reflectiva, D= 0,90 m</t>
  </si>
  <si>
    <t>123-555-0130</t>
  </si>
  <si>
    <t>Abolrous, Hazem</t>
  </si>
  <si>
    <t>Alexander, Sean P</t>
  </si>
  <si>
    <t>pilar@example.com</t>
  </si>
  <si>
    <t>terry@example.com</t>
  </si>
  <si>
    <t>nupur@example.com</t>
  </si>
  <si>
    <t>sean@example.com</t>
  </si>
  <si>
    <t>dave@example.com</t>
  </si>
  <si>
    <t>DATOS DE EJEMPLO</t>
  </si>
  <si>
    <t>NOTA: Esta hoja permanecerá oculta.</t>
  </si>
  <si>
    <t>Correo electrónico</t>
  </si>
  <si>
    <t>Sitio web</t>
  </si>
  <si>
    <t>Greg Akselrod</t>
  </si>
  <si>
    <t>AdventureWorks@live.com</t>
  </si>
  <si>
    <t>AdventureWrks</t>
  </si>
  <si>
    <t>@AdventureWrks</t>
  </si>
  <si>
    <t>AdventureWorks</t>
  </si>
  <si>
    <t>adventure-works.com</t>
  </si>
  <si>
    <t>Escribir Id.</t>
  </si>
  <si>
    <t>Escribir compañía</t>
  </si>
  <si>
    <t>1 Microsoft Way</t>
  </si>
  <si>
    <t>Redmond</t>
  </si>
  <si>
    <t>WA</t>
  </si>
  <si>
    <t>Estados Unidos</t>
  </si>
  <si>
    <t>Fax</t>
  </si>
  <si>
    <t>Personal</t>
  </si>
  <si>
    <t>ITEM</t>
  </si>
  <si>
    <t>DESCRIPCIÓN</t>
  </si>
  <si>
    <t>UNIDAD</t>
  </si>
  <si>
    <t>VALOR UNITARIO</t>
  </si>
  <si>
    <t>ITE191</t>
  </si>
  <si>
    <t>M</t>
  </si>
  <si>
    <t>ITE106</t>
  </si>
  <si>
    <t>Kg</t>
  </si>
  <si>
    <t>ITE107</t>
  </si>
  <si>
    <t>Acometida eléctrica 3 #8 3/4"</t>
  </si>
  <si>
    <t>ITE500</t>
  </si>
  <si>
    <t>Acometida hidráulica en tubería PVC de 1"</t>
  </si>
  <si>
    <t>ITE502</t>
  </si>
  <si>
    <t>Acometida hidráulica en tubería PVC de 1/2"</t>
  </si>
  <si>
    <t>ITE501</t>
  </si>
  <si>
    <t>Acometida hidráulica en tubería PVC de 3/4"</t>
  </si>
  <si>
    <t>Acrílico para lámpara slin line de 0,60 x 1,20 m</t>
  </si>
  <si>
    <t>M2</t>
  </si>
  <si>
    <t>ITE253</t>
  </si>
  <si>
    <t>ITE286</t>
  </si>
  <si>
    <t>Adoquín peatonal de gres</t>
  </si>
  <si>
    <t>ITE252</t>
  </si>
  <si>
    <t>ITE052</t>
  </si>
  <si>
    <t>ITE073</t>
  </si>
  <si>
    <t>Afirmado compactado para mantenimiento vial con transporte</t>
  </si>
  <si>
    <t>M3</t>
  </si>
  <si>
    <t>ITE154</t>
  </si>
  <si>
    <t>ITE155</t>
  </si>
  <si>
    <t>Un</t>
  </si>
  <si>
    <t>ITE090</t>
  </si>
  <si>
    <t>Alzaprimada provisional en madera</t>
  </si>
  <si>
    <t>ITE134</t>
  </si>
  <si>
    <t>ITE163</t>
  </si>
  <si>
    <t>ITE130</t>
  </si>
  <si>
    <t>ITE423</t>
  </si>
  <si>
    <t>Aterrizaje varilla 5/8" x 2,4 m No. 10</t>
  </si>
  <si>
    <t>Bajante de 3/4" cable 2 No. 8</t>
  </si>
  <si>
    <t>Bajante de 3/4" cable 3 No. 12</t>
  </si>
  <si>
    <t>Bajante PVC agua lluvia de 3"</t>
  </si>
  <si>
    <t>Bajante PVC agua lluvia de 4"</t>
  </si>
  <si>
    <t>Bala fluorescente 1 luz vidrio opaco</t>
  </si>
  <si>
    <t>Bala incandescente especular prismática</t>
  </si>
  <si>
    <t>ITE455</t>
  </si>
  <si>
    <t>ITE057</t>
  </si>
  <si>
    <t>Base granular, no incluye transporte</t>
  </si>
  <si>
    <t>ITE124</t>
  </si>
  <si>
    <t>ITE114</t>
  </si>
  <si>
    <t>ITE270</t>
  </si>
  <si>
    <t>ITE159</t>
  </si>
  <si>
    <t>ITE356</t>
  </si>
  <si>
    <t>ITE357</t>
  </si>
  <si>
    <t>Cable para reflector de 250W Metal-Halide 220V completa</t>
  </si>
  <si>
    <t>ITE110</t>
  </si>
  <si>
    <t>ITE111</t>
  </si>
  <si>
    <t>ITE112</t>
  </si>
  <si>
    <t>ITE113</t>
  </si>
  <si>
    <t>ITE182</t>
  </si>
  <si>
    <t>ITE287</t>
  </si>
  <si>
    <t>Calados de 20 x 20 x 10 cm en gres</t>
  </si>
  <si>
    <t>ITE015</t>
  </si>
  <si>
    <t>ITE123</t>
  </si>
  <si>
    <t>ITE120</t>
  </si>
  <si>
    <t>ITE174</t>
  </si>
  <si>
    <t>ITE308</t>
  </si>
  <si>
    <t>Carburo para canaleta (cal)</t>
  </si>
  <si>
    <t>ITE307</t>
  </si>
  <si>
    <t>Carburo para teja ondulada (cal)</t>
  </si>
  <si>
    <t>ITE059</t>
  </si>
  <si>
    <t>ITE296</t>
  </si>
  <si>
    <t>Cenefa en ladrillo visto en soga 2 hiladas</t>
  </si>
  <si>
    <t>Cerramiento en esterilla h = 1,80 m</t>
  </si>
  <si>
    <t>Cerramiento en guadua y zinc</t>
  </si>
  <si>
    <t>ITE244</t>
  </si>
  <si>
    <t>ITE245</t>
  </si>
  <si>
    <t>ITE246</t>
  </si>
  <si>
    <t>ITE299</t>
  </si>
  <si>
    <t>ITE280</t>
  </si>
  <si>
    <t>ITE247</t>
  </si>
  <si>
    <t>ITE092</t>
  </si>
  <si>
    <t>ITE093</t>
  </si>
  <si>
    <t>Cerramiento provisional con señalizador y tela de cerramiento</t>
  </si>
  <si>
    <t>ITE269</t>
  </si>
  <si>
    <t>ITE529</t>
  </si>
  <si>
    <t>Cheque de 1 1/2" 200 psi</t>
  </si>
  <si>
    <t>ITE530</t>
  </si>
  <si>
    <t>ITE531</t>
  </si>
  <si>
    <t>Cheque de 1/2" 200 psi</t>
  </si>
  <si>
    <t>ITE541</t>
  </si>
  <si>
    <t>Cheque de 3/4" 200 psi</t>
  </si>
  <si>
    <t>ITE319</t>
  </si>
  <si>
    <t>ITE321</t>
  </si>
  <si>
    <t>Cielo falso en aluminio anoloc e icopor perlita lisa</t>
  </si>
  <si>
    <t>Cielo falso en aluminio natural e icopor perlita lisa</t>
  </si>
  <si>
    <t>ITE322</t>
  </si>
  <si>
    <t>Cielo falso en aluminio natural e icopor perlita sintética</t>
  </si>
  <si>
    <t>ITE324</t>
  </si>
  <si>
    <t>ITE317</t>
  </si>
  <si>
    <t>Cielo falso en tablilla machihembrada, incluye guarda luz, imprimante y barniz</t>
  </si>
  <si>
    <t>Cinta antideslizante de 25 mm</t>
  </si>
  <si>
    <t>ITE072</t>
  </si>
  <si>
    <t>ITE275</t>
  </si>
  <si>
    <t>Claraboya de A. C. No. 6, incluye vidrio de 4 mm</t>
  </si>
  <si>
    <t>ITE526</t>
  </si>
  <si>
    <t>Collar de derivación de 2 1/2" x 1/2"</t>
  </si>
  <si>
    <t>ITE527</t>
  </si>
  <si>
    <t>Collar de derivación de 2" x 1/2"</t>
  </si>
  <si>
    <t>ITE525</t>
  </si>
  <si>
    <t>Collar de derivación de 3" x 1/2"</t>
  </si>
  <si>
    <t>ITE524</t>
  </si>
  <si>
    <t>Collar de derivación de 4" x 1/2"</t>
  </si>
  <si>
    <t>ITE180</t>
  </si>
  <si>
    <t>ITE181</t>
  </si>
  <si>
    <t>ITE178</t>
  </si>
  <si>
    <t>ITE179</t>
  </si>
  <si>
    <t>ITE140</t>
  </si>
  <si>
    <t>ITE141</t>
  </si>
  <si>
    <t>ITE138</t>
  </si>
  <si>
    <t>ITE139</t>
  </si>
  <si>
    <t>ITE453</t>
  </si>
  <si>
    <t>ITE452</t>
  </si>
  <si>
    <t>ITE444</t>
  </si>
  <si>
    <t>Concreto asfáltico para bacheo</t>
  </si>
  <si>
    <t>ITE200</t>
  </si>
  <si>
    <t>Concreto ciclópeo (producción)</t>
  </si>
  <si>
    <t>ITE103</t>
  </si>
  <si>
    <t>ITE102</t>
  </si>
  <si>
    <t>ITE101</t>
  </si>
  <si>
    <t>ITE104</t>
  </si>
  <si>
    <t>ITE100</t>
  </si>
  <si>
    <t>ITE116</t>
  </si>
  <si>
    <t>ITE416</t>
  </si>
  <si>
    <t>ITE417</t>
  </si>
  <si>
    <t>Corte con disco muro ambos lados</t>
  </si>
  <si>
    <t>ITE080</t>
  </si>
  <si>
    <t>ITE081</t>
  </si>
  <si>
    <t>Corte de baldosa existente</t>
  </si>
  <si>
    <t>ITE045</t>
  </si>
  <si>
    <t>Corte en conglomerado con máquina</t>
  </si>
  <si>
    <t>ITE046</t>
  </si>
  <si>
    <t>ITE044</t>
  </si>
  <si>
    <t>ITE127</t>
  </si>
  <si>
    <t>ITE207</t>
  </si>
  <si>
    <t>Cortina, muro y/o aletas en concreto ciclópeo</t>
  </si>
  <si>
    <t>ITE288</t>
  </si>
  <si>
    <t>ITE115</t>
  </si>
  <si>
    <t>ITE121</t>
  </si>
  <si>
    <t>Demolición anden</t>
  </si>
  <si>
    <t>Demolición baldosa</t>
  </si>
  <si>
    <t>Demolición calados en concreto o gres</t>
  </si>
  <si>
    <t>ITE094</t>
  </si>
  <si>
    <t>Demolición cono cámara</t>
  </si>
  <si>
    <t>ITE095</t>
  </si>
  <si>
    <t>Demolición cuerpo cámara</t>
  </si>
  <si>
    <t>Demolición de mesón</t>
  </si>
  <si>
    <t>ITE077</t>
  </si>
  <si>
    <t>Demolición enchape y/o revoque</t>
  </si>
  <si>
    <t>Demolición escaleras sobre terreno</t>
  </si>
  <si>
    <t>ITE010</t>
  </si>
  <si>
    <t>ITE008</t>
  </si>
  <si>
    <t>Demolición manual de concreto</t>
  </si>
  <si>
    <t>ITE009</t>
  </si>
  <si>
    <t>Demolición manual de concreto ciclópeo</t>
  </si>
  <si>
    <t>ITE007</t>
  </si>
  <si>
    <t>Demolición muro en pandereta, incluye revoque y/o enchape</t>
  </si>
  <si>
    <t>ITE006</t>
  </si>
  <si>
    <t>Demolición muro en soga, incluye revoque y/o enchape</t>
  </si>
  <si>
    <t>Demolición placa aligerada</t>
  </si>
  <si>
    <t>Demolición sardinel</t>
  </si>
  <si>
    <t>Demolición sumidero</t>
  </si>
  <si>
    <t>ITE011</t>
  </si>
  <si>
    <t>ITE096</t>
  </si>
  <si>
    <t>Desarme de gaviones</t>
  </si>
  <si>
    <t>ITE001</t>
  </si>
  <si>
    <t>Descapote y limpieza</t>
  </si>
  <si>
    <t>ITE002</t>
  </si>
  <si>
    <t>Desmonte aparatos sanitarios, con recuperación de ellos</t>
  </si>
  <si>
    <t>Desmonte canal en lámina o PVC</t>
  </si>
  <si>
    <t>ITE019</t>
  </si>
  <si>
    <t>ITE017</t>
  </si>
  <si>
    <t>Desmonte cielo falso</t>
  </si>
  <si>
    <t>Desmonte de adoquines</t>
  </si>
  <si>
    <t>Desmonte de canaleta 43 o 90</t>
  </si>
  <si>
    <t>ITE018</t>
  </si>
  <si>
    <t>Desmonte de cerramiento en poste de madera y alambre de púas</t>
  </si>
  <si>
    <t>Desmonte de división metálica</t>
  </si>
  <si>
    <t>ITE021</t>
  </si>
  <si>
    <t>Desmonte de tubería de alcantarillado de 14" a 24"</t>
  </si>
  <si>
    <t>Desmonte de tubería de alcantarillado hasta 12"</t>
  </si>
  <si>
    <t>ITE020</t>
  </si>
  <si>
    <t>Desmonte de ventana metálicas o de madera</t>
  </si>
  <si>
    <t>Desmonte malla eslabonada</t>
  </si>
  <si>
    <t>Desmonte redes eléctricas separadas de estructura</t>
  </si>
  <si>
    <t>Desmonte reja metálica</t>
  </si>
  <si>
    <t>ITE016</t>
  </si>
  <si>
    <t>ITE083</t>
  </si>
  <si>
    <t>Desmonte y limpieza en zona no boscosa</t>
  </si>
  <si>
    <t>Ha</t>
  </si>
  <si>
    <t>ITE153</t>
  </si>
  <si>
    <t>ITE410</t>
  </si>
  <si>
    <t>División para baño en aluminio anoloc y acrílico</t>
  </si>
  <si>
    <t>ITE183</t>
  </si>
  <si>
    <t>ITE069</t>
  </si>
  <si>
    <t>Empradización con prado kikuyo</t>
  </si>
  <si>
    <t>ITE067</t>
  </si>
  <si>
    <t>Empradización con prado trenza</t>
  </si>
  <si>
    <t>ITE066</t>
  </si>
  <si>
    <t>Empradización de taludes con trenza</t>
  </si>
  <si>
    <t>ITE449</t>
  </si>
  <si>
    <t>Emulsión para pavimento asfáltico</t>
  </si>
  <si>
    <t>ITE295</t>
  </si>
  <si>
    <t>ITE221</t>
  </si>
  <si>
    <t>Enchape en cerámica de 1ra. de 20,5 x 20,5 cm tipo Egeo</t>
  </si>
  <si>
    <t>ITE293</t>
  </si>
  <si>
    <t>ITE222</t>
  </si>
  <si>
    <t>Enchape en cerámica de 1ra. de 20,5 x 20,5 cm tipo Macedonia Acento</t>
  </si>
  <si>
    <t>ITE294</t>
  </si>
  <si>
    <t>ITE158</t>
  </si>
  <si>
    <t>ITE143</t>
  </si>
  <si>
    <t>ITE142</t>
  </si>
  <si>
    <t>ITE434</t>
  </si>
  <si>
    <t>ITE301</t>
  </si>
  <si>
    <t>ITE300</t>
  </si>
  <si>
    <t>ITE042</t>
  </si>
  <si>
    <t>ITE043</t>
  </si>
  <si>
    <t>ITE041</t>
  </si>
  <si>
    <t>ITE034</t>
  </si>
  <si>
    <t>ITE035</t>
  </si>
  <si>
    <t>ITE036</t>
  </si>
  <si>
    <t>ITE031</t>
  </si>
  <si>
    <t>ITE032</t>
  </si>
  <si>
    <t>ITE033</t>
  </si>
  <si>
    <t>ITE079</t>
  </si>
  <si>
    <t>ITE037</t>
  </si>
  <si>
    <t>ITE028</t>
  </si>
  <si>
    <t>ITE029</t>
  </si>
  <si>
    <t>ITE030</t>
  </si>
  <si>
    <t>ITE025</t>
  </si>
  <si>
    <t>ITE026</t>
  </si>
  <si>
    <t>ITE027</t>
  </si>
  <si>
    <t>ITE039</t>
  </si>
  <si>
    <t>ITE040</t>
  </si>
  <si>
    <t>ITE038</t>
  </si>
  <si>
    <t>ITE086</t>
  </si>
  <si>
    <t>ITE216</t>
  </si>
  <si>
    <t>Filos y dilataciones</t>
  </si>
  <si>
    <t>ITE065</t>
  </si>
  <si>
    <t>Filtro francés sin tubería, incluye piedra y geotextil NT 1.600</t>
  </si>
  <si>
    <t>ITE327</t>
  </si>
  <si>
    <t>Formaleta placa (básico)</t>
  </si>
  <si>
    <t>ITE556</t>
  </si>
  <si>
    <t>Gabinete contra incendios completo tipo 3, incluye válvula</t>
  </si>
  <si>
    <t>ITE064</t>
  </si>
  <si>
    <t>Gaviones en malla triple torsión C 13</t>
  </si>
  <si>
    <t>ITE652</t>
  </si>
  <si>
    <t>ITE654</t>
  </si>
  <si>
    <t>ITE655</t>
  </si>
  <si>
    <t>ITE078</t>
  </si>
  <si>
    <t>Geotextil no tejido 1,600</t>
  </si>
  <si>
    <t>ITE176</t>
  </si>
  <si>
    <t>ITE305</t>
  </si>
  <si>
    <t>Graniplast</t>
  </si>
  <si>
    <t>ITE234</t>
  </si>
  <si>
    <t>Granito pulido para paso de escalera h = 0,30 ch = 0,175 m</t>
  </si>
  <si>
    <t>ITE236</t>
  </si>
  <si>
    <t>Gravilla lavada para paso de escalera h = 0,30 ch = 0,175 m</t>
  </si>
  <si>
    <t>ITE265</t>
  </si>
  <si>
    <t>Gravilla lavada y tablón para paso de escalera h = 0,30 ch = 0,175 m</t>
  </si>
  <si>
    <t>ITE228</t>
  </si>
  <si>
    <t>Guarda escoba en baldosa tipo Terrazzo No. 5 P5B</t>
  </si>
  <si>
    <t>ITE233</t>
  </si>
  <si>
    <t>Guarda escoba en granito pulido, incluye dilatación de cobre</t>
  </si>
  <si>
    <t>ITE235</t>
  </si>
  <si>
    <t>ITE232</t>
  </si>
  <si>
    <t>Guarda escoba en mortero 1:3, incluye esmalte</t>
  </si>
  <si>
    <t>ITE257</t>
  </si>
  <si>
    <t>ITE263</t>
  </si>
  <si>
    <t>Guarda escobas en cerámica tipo Ecocerámica h = 0.08 m</t>
  </si>
  <si>
    <t>ITE443</t>
  </si>
  <si>
    <t>Guarda escobas en madera, incluye barniz</t>
  </si>
  <si>
    <t>ITE553</t>
  </si>
  <si>
    <t>Hidrante tipo Milán de 3" extremo brida, incluye válvula sello de bronce y kit de nivelación</t>
  </si>
  <si>
    <t>ITE554</t>
  </si>
  <si>
    <t>ITE162</t>
  </si>
  <si>
    <t>Imprimación con asfalto líquido</t>
  </si>
  <si>
    <t>Incrustaciones tipo Acuacer (viene por  4 unidades)</t>
  </si>
  <si>
    <t>ITE350</t>
  </si>
  <si>
    <t>ITE335</t>
  </si>
  <si>
    <t>Incrustaciones tipo Avanti (viene por 6 unidades)</t>
  </si>
  <si>
    <t>Incrustaciones tipo Tempo (viene por 6 unidades)</t>
  </si>
  <si>
    <t>ITE450</t>
  </si>
  <si>
    <t>Juego infantil en pino básico</t>
  </si>
  <si>
    <t>ITE451</t>
  </si>
  <si>
    <t>Juego infantil en pino completo</t>
  </si>
  <si>
    <t>ITE432</t>
  </si>
  <si>
    <t>Junta de icopor e = 1"</t>
  </si>
  <si>
    <t>Lagrimales en tubería PVC de 3" para puente o muro</t>
  </si>
  <si>
    <t>Lámpara fluorescente de incrustar celda T8 2 x 32"</t>
  </si>
  <si>
    <t>ITE125</t>
  </si>
  <si>
    <t>ITE238</t>
  </si>
  <si>
    <t>Lavado de paredes</t>
  </si>
  <si>
    <t>ITE239</t>
  </si>
  <si>
    <t>ITE334</t>
  </si>
  <si>
    <t>Lavamanos tipo Acuacer de colgar con grifería</t>
  </si>
  <si>
    <t>ITE336</t>
  </si>
  <si>
    <t>Lavamanos tipo Avanti de pedestal con grifería</t>
  </si>
  <si>
    <t>Lavamanos tipo Marsella de sobreponer con grifería</t>
  </si>
  <si>
    <t>Lavamanos tipo Milán de colgar con grifería</t>
  </si>
  <si>
    <t>ITE316</t>
  </si>
  <si>
    <t>Limpieza de alcantarillas (circular y de cajón),  incluye descole y retiro manual</t>
  </si>
  <si>
    <t>Limpieza de superficies de moho</t>
  </si>
  <si>
    <t>Limpieza manual de cunetas revestidas  y canales en concreto (disipador, zanjas de coronación),  incluye retiro manual</t>
  </si>
  <si>
    <t>ITE004</t>
  </si>
  <si>
    <t>Limpieza y nivelación</t>
  </si>
  <si>
    <t>Líneas de demarcación vial</t>
  </si>
  <si>
    <t>Llave de paso de 1 1/2" tipo Red White</t>
  </si>
  <si>
    <t>Llave de paso de 1" tipo Red White</t>
  </si>
  <si>
    <t>ITE537</t>
  </si>
  <si>
    <t>Llave de paso de 1/2" tipo Red White</t>
  </si>
  <si>
    <t>Llave de paso de 2" tipo Red White</t>
  </si>
  <si>
    <t>Llave de paso de 3/4" tipo Red White</t>
  </si>
  <si>
    <t>ITE538</t>
  </si>
  <si>
    <t>Llave terminal cromada de 1/2"</t>
  </si>
  <si>
    <t>ITE546</t>
  </si>
  <si>
    <t>Llave terminal de cobre roscada de 1/2"</t>
  </si>
  <si>
    <t>ITE051</t>
  </si>
  <si>
    <t>ITE048</t>
  </si>
  <si>
    <t>ITE050</t>
  </si>
  <si>
    <t>Lleno compactado con material granular, no incluye transporte</t>
  </si>
  <si>
    <t>ITE049</t>
  </si>
  <si>
    <t>ITE076</t>
  </si>
  <si>
    <t>Lleno con arena para tubería conduit</t>
  </si>
  <si>
    <t>Lleno con piedra, no incluye transporte</t>
  </si>
  <si>
    <t>ITE005</t>
  </si>
  <si>
    <t>Localización y replanteo</t>
  </si>
  <si>
    <t>ITE368</t>
  </si>
  <si>
    <t>Marcas viales</t>
  </si>
  <si>
    <t>Mateado</t>
  </si>
  <si>
    <t>ITE058</t>
  </si>
  <si>
    <t>Medidor de 1" volumétrico tipo "B"</t>
  </si>
  <si>
    <t>Medidor de 1/2" volumétrico tipo "C"</t>
  </si>
  <si>
    <t>ITE542</t>
  </si>
  <si>
    <t>Medidor de 3/4" volumétrico tipo "B"</t>
  </si>
  <si>
    <t>Medidor electrónico trifásico de medición eléctrica, incluye totalizador y caja metálica</t>
  </si>
  <si>
    <t>ITE240</t>
  </si>
  <si>
    <t>ITE438</t>
  </si>
  <si>
    <t>Mezcla abierta en caliente</t>
  </si>
  <si>
    <t>ITE201</t>
  </si>
  <si>
    <t>Mortero 1:2 (producción)</t>
  </si>
  <si>
    <t>ITE105</t>
  </si>
  <si>
    <t>Mortero 1:3 (producción)</t>
  </si>
  <si>
    <t>ITE203</t>
  </si>
  <si>
    <t>Mortero 1:3 impermeabilizado (producción)</t>
  </si>
  <si>
    <t>ITE202</t>
  </si>
  <si>
    <t>Mortero 1:4 (producción)</t>
  </si>
  <si>
    <t>ITE223</t>
  </si>
  <si>
    <t>Mortero de nivelación e = 0,05 m</t>
  </si>
  <si>
    <t>ITE289</t>
  </si>
  <si>
    <t>Mueble inferior en fórmica para mesón cocineta h = 0,90 m</t>
  </si>
  <si>
    <t>ITE187</t>
  </si>
  <si>
    <t>ITE186</t>
  </si>
  <si>
    <t>ITE283</t>
  </si>
  <si>
    <t>ITE249</t>
  </si>
  <si>
    <t>ITE282</t>
  </si>
  <si>
    <t>ITE070</t>
  </si>
  <si>
    <t>ITE212</t>
  </si>
  <si>
    <t>Muro en ladrillo farol pandereta e = 0,10 m</t>
  </si>
  <si>
    <t>ITE254</t>
  </si>
  <si>
    <t>Muro en ladrillo farol pandereta e = 0,12 m</t>
  </si>
  <si>
    <t>ITE213</t>
  </si>
  <si>
    <t>ITE210</t>
  </si>
  <si>
    <t>Muro en ladrillo tolete en pandereta</t>
  </si>
  <si>
    <t>ITE209</t>
  </si>
  <si>
    <t>Muro en ladrillo tolete en soga</t>
  </si>
  <si>
    <t>ITE211</t>
  </si>
  <si>
    <t>Muro en ladrillo tolete pandereta, impermeabilizado</t>
  </si>
  <si>
    <t>ITE273</t>
  </si>
  <si>
    <t>ITE284</t>
  </si>
  <si>
    <t>ITE272</t>
  </si>
  <si>
    <t>ITE274</t>
  </si>
  <si>
    <t>ITE003</t>
  </si>
  <si>
    <t>Nivelación terreno con material del sitio</t>
  </si>
  <si>
    <t>Ojo de buey dirigible blanco o níquel</t>
  </si>
  <si>
    <t>ITE242</t>
  </si>
  <si>
    <t>ITE342</t>
  </si>
  <si>
    <t xml:space="preserve">Orinal tipo Institucional con fluxómetro  </t>
  </si>
  <si>
    <t>Paleteros</t>
  </si>
  <si>
    <t>Jr</t>
  </si>
  <si>
    <t>ITE454</t>
  </si>
  <si>
    <t>ITE424</t>
  </si>
  <si>
    <t>Pasamanos en tubería de H. G. de 2", incluye accesorios</t>
  </si>
  <si>
    <t>Pasamanos en tubería de H. G. de 3", incluye accesorios</t>
  </si>
  <si>
    <t>ITE456</t>
  </si>
  <si>
    <t>ITE132</t>
  </si>
  <si>
    <t>ITE131</t>
  </si>
  <si>
    <t>ITE167</t>
  </si>
  <si>
    <t>ITE169</t>
  </si>
  <si>
    <t>ITE168</t>
  </si>
  <si>
    <t>ITE171</t>
  </si>
  <si>
    <t>ITE175</t>
  </si>
  <si>
    <t>ITE172</t>
  </si>
  <si>
    <t>Peldaños de acero de 3/4" l = 1,00 m, para cámara de inspección, incluye anticorrosivo y mortero 1:3</t>
  </si>
  <si>
    <t>ITE365</t>
  </si>
  <si>
    <t>ITE304</t>
  </si>
  <si>
    <t>Pintura con barniz</t>
  </si>
  <si>
    <t>ITE303</t>
  </si>
  <si>
    <t>Pintura con esmalte</t>
  </si>
  <si>
    <t>Pintura con esmalte estructura metálica</t>
  </si>
  <si>
    <t>Pintura con esmalte guarda escobas, h = 0,10 m, incluye resane</t>
  </si>
  <si>
    <t>ITE376</t>
  </si>
  <si>
    <t>ITE204</t>
  </si>
  <si>
    <t xml:space="preserve">Pintura con vinilo, incluye dilataciones y filos </t>
  </si>
  <si>
    <t>ITE363</t>
  </si>
  <si>
    <t>Pintura y resane con vinilo cielo raso, incluye dilataciones y filos</t>
  </si>
  <si>
    <t>ITE302</t>
  </si>
  <si>
    <t>Pintura y resane vinilo</t>
  </si>
  <si>
    <t>ITE422</t>
  </si>
  <si>
    <t>ITE224</t>
  </si>
  <si>
    <t>Piso en baldosa de cemento de 25 x 25 cm</t>
  </si>
  <si>
    <t>ITE255</t>
  </si>
  <si>
    <t>ITE227</t>
  </si>
  <si>
    <t>ITE268</t>
  </si>
  <si>
    <t>ITE260</t>
  </si>
  <si>
    <t>ITE261</t>
  </si>
  <si>
    <t>ITE225</t>
  </si>
  <si>
    <t>Piso en Duropiso de 33 x 33 cm</t>
  </si>
  <si>
    <t>ITE229</t>
  </si>
  <si>
    <t>ITE231</t>
  </si>
  <si>
    <t>ITE264</t>
  </si>
  <si>
    <t>ITE230</t>
  </si>
  <si>
    <t>Piso en gravilla lavada, incluye dilatación flexible</t>
  </si>
  <si>
    <t>ITE226</t>
  </si>
  <si>
    <t>Piso en Mayólica</t>
  </si>
  <si>
    <t>ITE220</t>
  </si>
  <si>
    <t>ITE276</t>
  </si>
  <si>
    <t>ITE251</t>
  </si>
  <si>
    <t>Piso en tableta tipo Tradicional</t>
  </si>
  <si>
    <t>Piso en tablilla machihembrada, incluye imprimante y barniz</t>
  </si>
  <si>
    <t>ITE281</t>
  </si>
  <si>
    <t>ITE256</t>
  </si>
  <si>
    <t>ITE262</t>
  </si>
  <si>
    <t>ITE146</t>
  </si>
  <si>
    <t>ITE184</t>
  </si>
  <si>
    <t>ITE147</t>
  </si>
  <si>
    <t>ITE185</t>
  </si>
  <si>
    <t>ITE148</t>
  </si>
  <si>
    <t>ITE144</t>
  </si>
  <si>
    <t>ITE145</t>
  </si>
  <si>
    <t>ITE166</t>
  </si>
  <si>
    <t>ITE129</t>
  </si>
  <si>
    <t>ITE137</t>
  </si>
  <si>
    <t>ITE160</t>
  </si>
  <si>
    <t>ITE165</t>
  </si>
  <si>
    <t>ITE241</t>
  </si>
  <si>
    <t>Poceta de aluminio, incluye grifería, sifón y canastilla</t>
  </si>
  <si>
    <t>ITE208</t>
  </si>
  <si>
    <t>Pocetas y cabezotes en concreto ciclópeo</t>
  </si>
  <si>
    <t>Polietileno negro C 4 a = 3 m</t>
  </si>
  <si>
    <t>Poste secundario 9 m x 510 kg, para iluminación lámpara (instalación y vestida)</t>
  </si>
  <si>
    <t>Puerta en lámina C 20 0,60 x 2,05 m, incluye anticorrosivo, pintura, chapa, manija y tope</t>
  </si>
  <si>
    <t>Puerta en lámina C 20 0,80 x 2,05 m, incluye anticorrosivo, pintura, chapa portón, manija y tope</t>
  </si>
  <si>
    <t>Puerta en lámina C 20 0,90 x 2,05 m, incluye anticorrosivo, pintura, chapa portón, manija y tope</t>
  </si>
  <si>
    <t>Puerta en lámina C 20 1,00 x 2,05 m, incluye anticorrosivo, pintura, chapa portón, manija y tope</t>
  </si>
  <si>
    <t>Puerta en lámina C 20 1,20 x 2,05 m (2 naves), incluye anticorrosivo, pintura, chapa tipo portón, manija y tope</t>
  </si>
  <si>
    <t>ITE248</t>
  </si>
  <si>
    <t>Pto</t>
  </si>
  <si>
    <t>ITE549</t>
  </si>
  <si>
    <t>ITE544</t>
  </si>
  <si>
    <t>ITE551</t>
  </si>
  <si>
    <t>ITE503</t>
  </si>
  <si>
    <t>ITE613</t>
  </si>
  <si>
    <t>ITE614</t>
  </si>
  <si>
    <t>ITE615</t>
  </si>
  <si>
    <t>ITE164</t>
  </si>
  <si>
    <t>ITE189</t>
  </si>
  <si>
    <t>ITE024</t>
  </si>
  <si>
    <t>ITE013</t>
  </si>
  <si>
    <t>ITE161</t>
  </si>
  <si>
    <t>Recubrimiento de muros en geotextil con costal de fique y tierra abonada con semilla</t>
  </si>
  <si>
    <t>Recubrimiento de muros en geotextil con malla de vena y mortero</t>
  </si>
  <si>
    <t>ITE330</t>
  </si>
  <si>
    <t>ITE348</t>
  </si>
  <si>
    <t>ITE014</t>
  </si>
  <si>
    <t>Regata de muros</t>
  </si>
  <si>
    <t>Registro de corte de 1/2"</t>
  </si>
  <si>
    <t>Reinstalación cielo falso en icopor, duracustic o similar, con junta, incluye estructura de aluminio, reposiciones y pintura</t>
  </si>
  <si>
    <t>ITE439</t>
  </si>
  <si>
    <t>ITE446</t>
  </si>
  <si>
    <t>ITE441</t>
  </si>
  <si>
    <t>ITE440</t>
  </si>
  <si>
    <t>ITE448</t>
  </si>
  <si>
    <t>ITE447</t>
  </si>
  <si>
    <t>Reinstalación ventana de aluminio</t>
  </si>
  <si>
    <t>ITE442</t>
  </si>
  <si>
    <t>Reinstalación ventana metálica en lámina, incluye pintura</t>
  </si>
  <si>
    <t>ITE190</t>
  </si>
  <si>
    <t>Reja metálica de seguridad de 1/2" en varilla cuadrada, incluye anticorrosivo y pintura</t>
  </si>
  <si>
    <t>Remoción manual de derrumbes, no incluye retiro</t>
  </si>
  <si>
    <t>ITE087</t>
  </si>
  <si>
    <t>Renivelación banca incluye escarificación y conformación</t>
  </si>
  <si>
    <t>Km</t>
  </si>
  <si>
    <t>ITE278</t>
  </si>
  <si>
    <t>Resane cielo raso con malla</t>
  </si>
  <si>
    <t>ITE271</t>
  </si>
  <si>
    <t>Resane con malla para fijación redes a muros</t>
  </si>
  <si>
    <t>ITE277</t>
  </si>
  <si>
    <t>Resane muro con malla</t>
  </si>
  <si>
    <t>ITE279</t>
  </si>
  <si>
    <t>Resane muro cosido y malla</t>
  </si>
  <si>
    <t>ITE047</t>
  </si>
  <si>
    <t>ITE063</t>
  </si>
  <si>
    <t>ITE068</t>
  </si>
  <si>
    <t>Revisión de lámparas fluorescentes</t>
  </si>
  <si>
    <t>ITE217</t>
  </si>
  <si>
    <t>Revoque cielo raso, incluye dilataciones y filos</t>
  </si>
  <si>
    <t>ITE219</t>
  </si>
  <si>
    <t>Revoque de bajantes, incluye malla</t>
  </si>
  <si>
    <t>ITE218</t>
  </si>
  <si>
    <t>Revoque muro impermeabilizado, incluye dilataciones y filos</t>
  </si>
  <si>
    <t>ITE215</t>
  </si>
  <si>
    <t>Revoque muro incluye dilataciones y filos</t>
  </si>
  <si>
    <t>ITE445</t>
  </si>
  <si>
    <t>Riego con asfalto</t>
  </si>
  <si>
    <t>Rocería alta para cultivos leñosos diferentes a maderables (café, frutales, etc.), incluye tala de árboles, derrame y apilada de material vegetal</t>
  </si>
  <si>
    <t>ITE082</t>
  </si>
  <si>
    <t>Salida telefónica longitud promedio 6 m</t>
  </si>
  <si>
    <t>ITE371</t>
  </si>
  <si>
    <t>ITE337</t>
  </si>
  <si>
    <t>ITE339</t>
  </si>
  <si>
    <t>ITE173</t>
  </si>
  <si>
    <t>ITE133</t>
  </si>
  <si>
    <t>Señal vertical de 0,60 m (con cinta reflectiva)</t>
  </si>
  <si>
    <t>Señal vertical de 0,75 m (con cinta reflectiva)</t>
  </si>
  <si>
    <t>Señal vertical de 0,90 m (con cinta reflectiva)</t>
  </si>
  <si>
    <t>ITE214</t>
  </si>
  <si>
    <t>ITE109</t>
  </si>
  <si>
    <t>ITE055</t>
  </si>
  <si>
    <t>ITE056</t>
  </si>
  <si>
    <t>ITE119</t>
  </si>
  <si>
    <t>Suministro e instalación de flexocreto con bomba</t>
  </si>
  <si>
    <t>Suministro e instalación de flexocreto manual</t>
  </si>
  <si>
    <t>Suministro y colocación de frescasa</t>
  </si>
  <si>
    <t>Tablero de 8 circuitos, incluye breakers</t>
  </si>
  <si>
    <t>ITE243</t>
  </si>
  <si>
    <t>ITE329</t>
  </si>
  <si>
    <t>Tanque para agua, plástico de 500 lt, completo (flotador)</t>
  </si>
  <si>
    <t>Tapa de H. F. para cámara de inspección sin cuello</t>
  </si>
  <si>
    <t>ITE188</t>
  </si>
  <si>
    <t>ITE118</t>
  </si>
  <si>
    <t>Tapa plástica de registro de 0,20 x 0,20 m</t>
  </si>
  <si>
    <t>ITE361</t>
  </si>
  <si>
    <t>ITE362</t>
  </si>
  <si>
    <t>Techo en teja de barro, incluye manto impermeabilizante, esterilla y mortero 1:3 impermeabilizado</t>
  </si>
  <si>
    <t>Techo en teja de zinc, incluye entramado de madera</t>
  </si>
  <si>
    <t>ITE309</t>
  </si>
  <si>
    <t>ITE091</t>
  </si>
  <si>
    <t>Tela para protección de edificios</t>
  </si>
  <si>
    <t>ITE053</t>
  </si>
  <si>
    <t>ITE054</t>
  </si>
  <si>
    <t>ITE156</t>
  </si>
  <si>
    <t>ITE075</t>
  </si>
  <si>
    <t>ITE074</t>
  </si>
  <si>
    <t>ITE061</t>
  </si>
  <si>
    <t>ITE060</t>
  </si>
  <si>
    <t>ITE062</t>
  </si>
  <si>
    <t>Transporte material asfáltico</t>
  </si>
  <si>
    <t>ITE089</t>
  </si>
  <si>
    <t>Transporte materiales a hombro (carga = 30 kg/km)</t>
  </si>
  <si>
    <t>ITE088</t>
  </si>
  <si>
    <t>Transporte materiales en mula (carga = 100 kg/km)</t>
  </si>
  <si>
    <t>Trinchos doble en guadua h libre = 1,00 m</t>
  </si>
  <si>
    <t>Trinchos en cañabrava</t>
  </si>
  <si>
    <t>Trinchos en esterilla h libre = 0,60 m</t>
  </si>
  <si>
    <t>Trinchos en guadua h libre = 1,00 m</t>
  </si>
  <si>
    <t>ITE634</t>
  </si>
  <si>
    <t>Tubería en concreto vibrada reforzada unión caucho de 24" C 2</t>
  </si>
  <si>
    <t>ITE635</t>
  </si>
  <si>
    <t>Tubería en concreto vibrada reforzada unión caucho de 30" C 2</t>
  </si>
  <si>
    <t>Tubería en concreto vibrada reforzada unión caucho de 36" C 2</t>
  </si>
  <si>
    <t>Tubería en concreto vibrada reforzada unión caucho de 40" C 2</t>
  </si>
  <si>
    <t>Tubería en concreto vibrada reforzada unión caucho de 48" C 2</t>
  </si>
  <si>
    <t>ITE639</t>
  </si>
  <si>
    <t>Tubería en concreto vibrada reforzada unión caucho de 52" C 2</t>
  </si>
  <si>
    <t>Tubería en concreto vibrada reforzada unión caucho de 60" C 2</t>
  </si>
  <si>
    <t>Tubería en concreto vibrada unión caucho de 16" C 2</t>
  </si>
  <si>
    <t>Tubería en concreto vibrada unión caucho de 18" C 2</t>
  </si>
  <si>
    <t>Tubería en concreto vibrada unión caucho de 21" C 2</t>
  </si>
  <si>
    <t>Tubería en concreto vibrada unión caucho de 24" C 2</t>
  </si>
  <si>
    <t>ITE511</t>
  </si>
  <si>
    <t>Tubería PF + UAD de 1/2"</t>
  </si>
  <si>
    <t>Tubería PVC agua lluvia de 2"</t>
  </si>
  <si>
    <t>Tubería PVC agua lluvia de 3"</t>
  </si>
  <si>
    <t>Tubería PVC agua lluvia de 4"</t>
  </si>
  <si>
    <t>Tubería PVC de ventilación de 2", incluye accesorios</t>
  </si>
  <si>
    <t>ITE608</t>
  </si>
  <si>
    <t>Tubería PVC de ventilación de 3", incluye accesorios</t>
  </si>
  <si>
    <t>ITE645</t>
  </si>
  <si>
    <t>ITE646</t>
  </si>
  <si>
    <t>Tubería PVC perforada de 2 1/2" ( 65 mm)</t>
  </si>
  <si>
    <t>Tubería PVC perforada de 4" (100 mm)</t>
  </si>
  <si>
    <t>Tubería PVC perforada de 6" (160 mm)</t>
  </si>
  <si>
    <t>ITE619</t>
  </si>
  <si>
    <t>Tubería PVC perforada de 8" (200 mm)</t>
  </si>
  <si>
    <t>ITE506</t>
  </si>
  <si>
    <t>Tubería PVC presión de 1 1/2" rde 21</t>
  </si>
  <si>
    <t>ITE507</t>
  </si>
  <si>
    <t>Tubería PVC presión de 1 1/4" rde 21</t>
  </si>
  <si>
    <t>ITE508</t>
  </si>
  <si>
    <t>Tubería PVC presión de 1" rde 21</t>
  </si>
  <si>
    <t>ITE510</t>
  </si>
  <si>
    <t>Tubería PVC presión de 1/2" rde 9</t>
  </si>
  <si>
    <t>ITE509</t>
  </si>
  <si>
    <t>Tubería PVC presión de 3/4" rde 21</t>
  </si>
  <si>
    <t>ITE609</t>
  </si>
  <si>
    <t>Tubería PVC sanitaria de 2", incluye accesorios</t>
  </si>
  <si>
    <t>Tubería PVC sanitaria de 3", incluye accesorios</t>
  </si>
  <si>
    <t>Tubería PVC sanitaria de 4", incluye accesorios</t>
  </si>
  <si>
    <t>ITE612</t>
  </si>
  <si>
    <t>Tubería PVC sanitaria de 6", incluye accesorios</t>
  </si>
  <si>
    <t>ITE516</t>
  </si>
  <si>
    <t>ITE515</t>
  </si>
  <si>
    <t>ITE514</t>
  </si>
  <si>
    <t>ITE513</t>
  </si>
  <si>
    <t>ITE512</t>
  </si>
  <si>
    <t>ITE522</t>
  </si>
  <si>
    <t>Unión de reparación de 2 1/2"</t>
  </si>
  <si>
    <t>Unión de reparación de 2"</t>
  </si>
  <si>
    <t>ITE521</t>
  </si>
  <si>
    <t>Unión de reparación de 3"</t>
  </si>
  <si>
    <t>Unión de reparación de 4"</t>
  </si>
  <si>
    <t>Unión de reparación de 6"</t>
  </si>
  <si>
    <t>ITE518</t>
  </si>
  <si>
    <t>Unión de reparación de 8"</t>
  </si>
  <si>
    <t>ITE085</t>
  </si>
  <si>
    <t>ITE084</t>
  </si>
  <si>
    <t>Ventana en aluminio anoloc, incluye vidrio de 4 mm</t>
  </si>
  <si>
    <t>Ventana metálica en ángulo 1" x 1/8", incluye anticorrosivo, pintura y vidrio de 4 mm</t>
  </si>
  <si>
    <t>Ventana metálica en lámina C 20 de seguridad, incluye anticorrosivo, pintura y vidrio de 4 mm</t>
  </si>
  <si>
    <t>Ventana metálica en lámina C 20, incluye anticorrosivo, pintura y vidrio de 4 mm</t>
  </si>
  <si>
    <t>ITE436</t>
  </si>
  <si>
    <t>Vidrio de 4 mm esmerilado</t>
  </si>
  <si>
    <t>ITE435</t>
  </si>
  <si>
    <t>Vidrio de 4 mm transparente</t>
  </si>
  <si>
    <t>ITE150</t>
  </si>
  <si>
    <t>ITE152</t>
  </si>
  <si>
    <t>ITE177</t>
  </si>
  <si>
    <t>ITE151</t>
  </si>
  <si>
    <t>ITE136</t>
  </si>
  <si>
    <t>ITE149</t>
  </si>
  <si>
    <t>ITE128</t>
  </si>
  <si>
    <t>ITE122</t>
  </si>
  <si>
    <t>ITE135</t>
  </si>
  <si>
    <t>ITE205</t>
  </si>
  <si>
    <t>ITE126</t>
  </si>
  <si>
    <t>ITE206</t>
  </si>
  <si>
    <t>ITE237</t>
  </si>
  <si>
    <t>Zócalo en gravilla lavada, incluye dilataciones de vidrio</t>
  </si>
  <si>
    <t>MOB003</t>
  </si>
  <si>
    <t>Ayudante (jornal + prestaciones)</t>
  </si>
  <si>
    <t>Día</t>
  </si>
  <si>
    <t>%MO</t>
  </si>
  <si>
    <t>MOB005</t>
  </si>
  <si>
    <t>Cuadrilla A 1 Of + 4 Ay (jornal + prestaciones)</t>
  </si>
  <si>
    <t>Lb</t>
  </si>
  <si>
    <t>MAT020</t>
  </si>
  <si>
    <t>Guadua basa longitud promedio = 5 m</t>
  </si>
  <si>
    <t>MAT018</t>
  </si>
  <si>
    <t>Cuartón de sajo 2" x 4" x 2,9 m</t>
  </si>
  <si>
    <t>MAT019</t>
  </si>
  <si>
    <t>Listón sajo de 5 x 3 cm x 2,5 m (varilla)</t>
  </si>
  <si>
    <t>MOB010</t>
  </si>
  <si>
    <t>EQU011</t>
  </si>
  <si>
    <t>Equipo completo de topografía</t>
  </si>
  <si>
    <t>MOB018</t>
  </si>
  <si>
    <t>Cuadrilla H 4 Ay (jornal + prestaciones)</t>
  </si>
  <si>
    <t>EQU006</t>
  </si>
  <si>
    <t>MOB002</t>
  </si>
  <si>
    <t>Oficial (jornal + prestaciones)</t>
  </si>
  <si>
    <t>MAT006</t>
  </si>
  <si>
    <t>Material de peña (recebo) en cantera</t>
  </si>
  <si>
    <t>MAT303</t>
  </si>
  <si>
    <t>MAT021</t>
  </si>
  <si>
    <t>Puntilla (promedio)</t>
  </si>
  <si>
    <t>MAT022</t>
  </si>
  <si>
    <t>MAT077</t>
  </si>
  <si>
    <t>MOB014</t>
  </si>
  <si>
    <t>Cuadrilla D 2 Of + 4 Ay (jornal + prestaciones)</t>
  </si>
  <si>
    <t>MOB017</t>
  </si>
  <si>
    <t>Cuadrilla G 1 Of + 2 Ay (jornal + prestaciones)</t>
  </si>
  <si>
    <t>EQU016</t>
  </si>
  <si>
    <t>Motobomba sumergible 3" con manguera</t>
  </si>
  <si>
    <t>MAT026</t>
  </si>
  <si>
    <t>Dinamita indugel plus</t>
  </si>
  <si>
    <t>MAT027</t>
  </si>
  <si>
    <t>Fulminante</t>
  </si>
  <si>
    <t>MAT028</t>
  </si>
  <si>
    <t>Cordón detonante de 12 gm</t>
  </si>
  <si>
    <t>MOB006</t>
  </si>
  <si>
    <t>Cuadrilla B 1 Min + 2 Ay (jornal + prestaciones)</t>
  </si>
  <si>
    <t>EQU005</t>
  </si>
  <si>
    <t>Compresor 185 pies3 CFM de 2 martillos, incluye 2 operarios y combustible</t>
  </si>
  <si>
    <t>Hr</t>
  </si>
  <si>
    <t>EQU004</t>
  </si>
  <si>
    <t>Buldózer D65-8</t>
  </si>
  <si>
    <t>MAT001</t>
  </si>
  <si>
    <t>Cemento gris saco por 50 kilos, incluye cargue, descargue y transporte</t>
  </si>
  <si>
    <t>Sc</t>
  </si>
  <si>
    <t>MAT013</t>
  </si>
  <si>
    <t>Lt</t>
  </si>
  <si>
    <t>MOB013</t>
  </si>
  <si>
    <t>Cuadrilla C 1 Of + 7 Ay (jornal + prestaciones)</t>
  </si>
  <si>
    <t>EQU003</t>
  </si>
  <si>
    <t>EQU012</t>
  </si>
  <si>
    <t>MAT164</t>
  </si>
  <si>
    <t>Tierra no vegetal</t>
  </si>
  <si>
    <t>MAT010</t>
  </si>
  <si>
    <t>EQU022</t>
  </si>
  <si>
    <t>MAT239</t>
  </si>
  <si>
    <t>EQU008</t>
  </si>
  <si>
    <t>EQU013</t>
  </si>
  <si>
    <t>EQU023</t>
  </si>
  <si>
    <t>Carrotanque agua</t>
  </si>
  <si>
    <t>MAT271</t>
  </si>
  <si>
    <t>Afirmado</t>
  </si>
  <si>
    <t>MAT165</t>
  </si>
  <si>
    <t>MAT009</t>
  </si>
  <si>
    <t>Material seleccionado para filtro</t>
  </si>
  <si>
    <t>EQU009</t>
  </si>
  <si>
    <t>EQU010</t>
  </si>
  <si>
    <t>MAT005</t>
  </si>
  <si>
    <t>Piedra media zonga</t>
  </si>
  <si>
    <t>MAT017</t>
  </si>
  <si>
    <t>Tabla para formaleta de 1" x 10" x 2,9 m</t>
  </si>
  <si>
    <t>MAT171</t>
  </si>
  <si>
    <t>MAT148</t>
  </si>
  <si>
    <t xml:space="preserve">Alambre galvanizado C 12 </t>
  </si>
  <si>
    <t>MAT120</t>
  </si>
  <si>
    <t>Geotextil no tejido 1,600 a = 3,50 m</t>
  </si>
  <si>
    <t>MAT254</t>
  </si>
  <si>
    <t>MAT388</t>
  </si>
  <si>
    <t>Estacas de guadua</t>
  </si>
  <si>
    <t>MAT007</t>
  </si>
  <si>
    <t>Tierra vegetal</t>
  </si>
  <si>
    <t>MAT155</t>
  </si>
  <si>
    <t>Arenón</t>
  </si>
  <si>
    <t>MAT193</t>
  </si>
  <si>
    <t>Prado kikuyo</t>
  </si>
  <si>
    <t>MAT170</t>
  </si>
  <si>
    <t>MAT034</t>
  </si>
  <si>
    <t>ACPM</t>
  </si>
  <si>
    <t>Gl</t>
  </si>
  <si>
    <t>MAT112</t>
  </si>
  <si>
    <t>Pintura esmalte para exteriores</t>
  </si>
  <si>
    <t>MOB015</t>
  </si>
  <si>
    <t>Cuadrilla E 1 Of + 1 Ay (jornal + prestaciones)</t>
  </si>
  <si>
    <t>MAT268</t>
  </si>
  <si>
    <t>EQU030</t>
  </si>
  <si>
    <t>EQU031</t>
  </si>
  <si>
    <t>MAT003</t>
  </si>
  <si>
    <t>Arena</t>
  </si>
  <si>
    <t>EQU033</t>
  </si>
  <si>
    <t>EQU032</t>
  </si>
  <si>
    <t>MAT395</t>
  </si>
  <si>
    <t>Conos viales de 70 cm Norma Invías Cap. IV</t>
  </si>
  <si>
    <t>MAT360</t>
  </si>
  <si>
    <t>Paleta pare - siga en polietileno y texto reflectivo, de 40 cm</t>
  </si>
  <si>
    <t>MAT281</t>
  </si>
  <si>
    <t>EQU034</t>
  </si>
  <si>
    <t>Alquiler de campero o camioneta Mod. &gt; 1999 de 2.600 o mas c. c., con conductor</t>
  </si>
  <si>
    <t>EQU035</t>
  </si>
  <si>
    <t>MAT398</t>
  </si>
  <si>
    <t>EQU024</t>
  </si>
  <si>
    <t>EQU038</t>
  </si>
  <si>
    <t>MAT305</t>
  </si>
  <si>
    <t>Telera de 3,5 x 24 cm x 2,9 m de sajo</t>
  </si>
  <si>
    <t>MAT422</t>
  </si>
  <si>
    <t>MAT181</t>
  </si>
  <si>
    <t>MAT412</t>
  </si>
  <si>
    <t>Tela de cerramiento a = 2,10 m (rollo por 100 m)</t>
  </si>
  <si>
    <t>MAT004</t>
  </si>
  <si>
    <t>MAT370</t>
  </si>
  <si>
    <t>MAT015</t>
  </si>
  <si>
    <t>MAT016</t>
  </si>
  <si>
    <t>MAT091</t>
  </si>
  <si>
    <t>Varillón de sajo</t>
  </si>
  <si>
    <t>EQU007</t>
  </si>
  <si>
    <t>MAT134</t>
  </si>
  <si>
    <t>Ángulo de 1" x 1/8"</t>
  </si>
  <si>
    <t>MAT023</t>
  </si>
  <si>
    <t>Ladrillo tolete común</t>
  </si>
  <si>
    <t>EQU028</t>
  </si>
  <si>
    <t>Formaleta cuerpo cámara inspección 1,20 m</t>
  </si>
  <si>
    <t>MAT014</t>
  </si>
  <si>
    <t>MAT235</t>
  </si>
  <si>
    <t>Reja para sumidero de 40 x 70 cm y ángulo de 2" x 2" x 1/4", incluye anticorrosivo y pintura</t>
  </si>
  <si>
    <t>EQU018</t>
  </si>
  <si>
    <t>Vibrador eléctrico o a gasolina</t>
  </si>
  <si>
    <t>MAT051</t>
  </si>
  <si>
    <t>Antisol blanco</t>
  </si>
  <si>
    <t>MAT237</t>
  </si>
  <si>
    <t>Manguera negra 1" rollo x 100 m</t>
  </si>
  <si>
    <t>MAT238</t>
  </si>
  <si>
    <t>Asfalto para liga 70 / 90</t>
  </si>
  <si>
    <t>EQU026</t>
  </si>
  <si>
    <t>Regla vibradora</t>
  </si>
  <si>
    <t>EQU027</t>
  </si>
  <si>
    <t>MAT036</t>
  </si>
  <si>
    <t>Malla de gallinero o hexagonal</t>
  </si>
  <si>
    <t>MAT024</t>
  </si>
  <si>
    <t>MAT348</t>
  </si>
  <si>
    <t>MAT354</t>
  </si>
  <si>
    <t>MAT426</t>
  </si>
  <si>
    <t>MAT351</t>
  </si>
  <si>
    <t>MAT427</t>
  </si>
  <si>
    <t>MAT128</t>
  </si>
  <si>
    <t>MAT037</t>
  </si>
  <si>
    <t>MAT196</t>
  </si>
  <si>
    <t>MAT038</t>
  </si>
  <si>
    <t>Poste para cerramiento en concreto de 2,50 m recto</t>
  </si>
  <si>
    <t>MAT031</t>
  </si>
  <si>
    <t>MAT032</t>
  </si>
  <si>
    <t>MAT115</t>
  </si>
  <si>
    <t>Boca puerta en granito pulido, incluye dilataciones de bronce, a = 0,15 m</t>
  </si>
  <si>
    <t>MAT711</t>
  </si>
  <si>
    <t>MAT002</t>
  </si>
  <si>
    <t>Cemento blanco</t>
  </si>
  <si>
    <t>MAT337</t>
  </si>
  <si>
    <t>MAT093</t>
  </si>
  <si>
    <t>MAT119</t>
  </si>
  <si>
    <t>MAT110</t>
  </si>
  <si>
    <t>MAT273</t>
  </si>
  <si>
    <t>Piso tipo Mayólica</t>
  </si>
  <si>
    <t>MAT195</t>
  </si>
  <si>
    <t>Cera</t>
  </si>
  <si>
    <t>MAT357</t>
  </si>
  <si>
    <t>Certificado trabajo seguro en alturas</t>
  </si>
  <si>
    <t>Examenes medicos de ingreso y egreso</t>
  </si>
  <si>
    <t>Placa steeldeck en concreto de 20,7 Mpa (3.000 psi) de e = 0,10 m, incluye malla electrosoldada</t>
  </si>
  <si>
    <t>ITE657</t>
  </si>
  <si>
    <t>ITE660</t>
  </si>
  <si>
    <t>m</t>
  </si>
  <si>
    <t xml:space="preserve">Lavadero prefabricado en granito pulido. </t>
  </si>
  <si>
    <t>Cielo falso en panel de yeso, Incluye pintura</t>
  </si>
  <si>
    <t>MOB022</t>
  </si>
  <si>
    <t>Cuadrilla L 2 Of + 8 Ay (jornal + prestaciones)</t>
  </si>
  <si>
    <t>Placa Huellas (par) en concreto de 20,7 Mpa (3000 psi) e = 0,15 m a c/u = 0,90 m,( TIPO INVIAS)</t>
  </si>
  <si>
    <t>ANALISIS DE MANO DE OBRA CORPORACIÓN AUTÓNOMA REGIONAL DE RISARALDA - CARDER -</t>
  </si>
  <si>
    <t>Dotación y elementos de seguridad</t>
  </si>
  <si>
    <t>Concreto premezclado 20,7 Mpa (3000 psi) acelerado 7 días</t>
  </si>
  <si>
    <t>Ladrillo liviano prensado  24x 12 x 5,5 cm</t>
  </si>
  <si>
    <t>Cinta PVC Sika Waterbar O-22</t>
  </si>
  <si>
    <t>Cinta PVC Sika Waterbar V-15</t>
  </si>
  <si>
    <t>Amarras con tapa plástica para teja</t>
  </si>
  <si>
    <t>Canal PVC Amazonas</t>
  </si>
  <si>
    <t>Unión a  bajante Canal Amazonas PVC</t>
  </si>
  <si>
    <t>Unión a  bajante PVC Amazonas</t>
  </si>
  <si>
    <t>Tubería PVC agua lluvia cuadrada Amazonas</t>
  </si>
  <si>
    <t>Bajante PVC agua lluvia cuadrado Amazonas</t>
  </si>
  <si>
    <t>Bisagra de acero 3x3"</t>
  </si>
  <si>
    <t>Bisagra de cobre 3x3"</t>
  </si>
  <si>
    <t>Lavadero en fibra de vidrio con tanque de 60 x 60 cm</t>
  </si>
  <si>
    <t>Rejilla piso corriente de 3" x 2" bronce/aluminio</t>
  </si>
  <si>
    <t>Tubería PVC de alcantarillado de pared estructural d =  4", exterior corrugado (Novafort)</t>
  </si>
  <si>
    <t>Tubería PVC de alcantarillado de pared estructural d =  6", exterior corrugado (Novafort)</t>
  </si>
  <si>
    <t>Tubería PVC de alcantarillado de pared estructural d =  8", exterior corrugado (Novafort)</t>
  </si>
  <si>
    <t>Tubería PVC de alcantarillado de pared estructural d =  10", exterior corrugado (Novafort)</t>
  </si>
  <si>
    <t>Tubería PVC de alcantarillado de pared estructural d =  12", exterior corrugado (Novafort)</t>
  </si>
  <si>
    <t>Tubería PVC de alcantarillado de pared estructural d =  16", exterior corrugado (Novafort)</t>
  </si>
  <si>
    <t>Tubería PVC de alcantarillado de pared estructural d =  14", exterior corrugado (Novafort)</t>
  </si>
  <si>
    <t>Señalizador tubular trafico (2 líneas de cinta)</t>
  </si>
  <si>
    <t>Ducha niquelada de 1/2" sencilla+ llave</t>
  </si>
  <si>
    <t>Regadera corriente + llave   (tipo Grival)</t>
  </si>
  <si>
    <t>Lámina de fibrocemento e =  8mm (Superboard)</t>
  </si>
  <si>
    <t>Cinta PVC Sika Waterbar V-10</t>
  </si>
  <si>
    <t>Perlín promedio (C 12- (2,0mm))</t>
  </si>
  <si>
    <t>Accesorios y soportes canal PVC Amazonas promedio</t>
  </si>
  <si>
    <t>Lámina de fibrocemento de 10 mm (Superboard)</t>
  </si>
  <si>
    <t>Muro en placa de fibrocemento e=8 mm (Superboard) similar 1 cara incluye pintura</t>
  </si>
  <si>
    <t>Muro en placa de fibrocemento e=10 mm (Superboard) o similar 1 cara incluye pintura</t>
  </si>
  <si>
    <t>Lavaplatos en aluminio de 0,4 x 0,6 m</t>
  </si>
  <si>
    <t>Omega  liviana en 2,44</t>
  </si>
  <si>
    <t>Vigueta principal en 2,44</t>
  </si>
  <si>
    <t>Loceta tableta romana</t>
  </si>
  <si>
    <t>Piso en gravilla lavada y loceta romana, incluye dilatación flexible</t>
  </si>
  <si>
    <t>Piso en loceta tableta romana</t>
  </si>
  <si>
    <t>Adoquín de gres peatonal 0,20*0,10*0,05</t>
  </si>
  <si>
    <t>Cubierta en acero inoxidable para mesón cocineta, incluye poceta y grifería completa a = 0.60 m, L= 1,50</t>
  </si>
  <si>
    <t>Mueble inferior en formica para mesón cocineta h = 0,90 m, L0 1,50</t>
  </si>
  <si>
    <t>Polietileno negro C 3.5 a = 3 m</t>
  </si>
  <si>
    <t>Concreto premezclado de 20,7 Mpa (3000 psi)</t>
  </si>
  <si>
    <t>Concreto premezclado 27,6 Mpa (4000 psi) acelerado 7 días</t>
  </si>
  <si>
    <t>Concreto premezclado 20,7 Mpa (3000 psi)  acelerado 7 días</t>
  </si>
  <si>
    <t>Paral 59 en 2,44 m calibre 26</t>
  </si>
  <si>
    <t>Canal 60 en 2,44 m calibre 26</t>
  </si>
  <si>
    <t>Kit Silla Yee PVC de pared estructural 160X110</t>
  </si>
  <si>
    <t>Kit Silla Yee PVC de pared estructural 200X110</t>
  </si>
  <si>
    <t>Kit Silla Yee PVC de pared estructural 200X160</t>
  </si>
  <si>
    <t>Kit Silla Yee PVC de pared estructural 250X110</t>
  </si>
  <si>
    <t>Kit Silla Yee PVC de pared estructural 250X160</t>
  </si>
  <si>
    <t>Kit Silla Yee PVC de pared estructural 315X110</t>
  </si>
  <si>
    <t>Kit Silla Yee PVC de pared estructural 315X160</t>
  </si>
  <si>
    <t>Viga Chanul 3X6 L=6.00</t>
  </si>
  <si>
    <t>Tubería PVC de alcantarillado de pared estructural d = 24", exterior corrugado (Novafort)</t>
  </si>
  <si>
    <t>Tubería PVC de alcantarillado de pared estructural d = 27", exterior corrugado (Novafort)</t>
  </si>
  <si>
    <t>Tubería PVC de alcantarillado de pared estructural d = 30", exterior corrugado (Novafort)</t>
  </si>
  <si>
    <t>Tubería PVC de alcantarillado de pared estructural d = 36", exterior corrugado (Novafort)</t>
  </si>
  <si>
    <t>Tubería PVC de alcantarillado de pared estructural d = 18", exterior corrugado (Novafort)</t>
  </si>
  <si>
    <t>Tubería PVC de alcantarillado de pared estructural d = 20", exterior corrugado (Novafort)</t>
  </si>
  <si>
    <t>Valla informativa lona imopresa full color</t>
  </si>
  <si>
    <t>ITE012</t>
  </si>
  <si>
    <t>ITE108</t>
  </si>
  <si>
    <t>ITE117</t>
  </si>
  <si>
    <t>ITE250</t>
  </si>
  <si>
    <t>ITE267</t>
  </si>
  <si>
    <t>ITE291</t>
  </si>
  <si>
    <t>ITE285</t>
  </si>
  <si>
    <t>ITE290</t>
  </si>
  <si>
    <t>ITE292</t>
  </si>
  <si>
    <t>ITE297</t>
  </si>
  <si>
    <t>ITE298</t>
  </si>
  <si>
    <t>ITE325</t>
  </si>
  <si>
    <t>ITE326</t>
  </si>
  <si>
    <t>ITE328</t>
  </si>
  <si>
    <t>ITE351</t>
  </si>
  <si>
    <t>ITE352</t>
  </si>
  <si>
    <t>ITE383</t>
  </si>
  <si>
    <t>ITE384</t>
  </si>
  <si>
    <t>ITE386</t>
  </si>
  <si>
    <t>ITE388</t>
  </si>
  <si>
    <t>ITE389</t>
  </si>
  <si>
    <t>ITE390</t>
  </si>
  <si>
    <t>ITE392</t>
  </si>
  <si>
    <t>ITE393</t>
  </si>
  <si>
    <t>ITE394</t>
  </si>
  <si>
    <t>ITE395</t>
  </si>
  <si>
    <t>ITE396</t>
  </si>
  <si>
    <t>ITE397</t>
  </si>
  <si>
    <t>ITE398</t>
  </si>
  <si>
    <t>ITE427</t>
  </si>
  <si>
    <t>ITE437</t>
  </si>
  <si>
    <t>ITE457</t>
  </si>
  <si>
    <t>ITE458</t>
  </si>
  <si>
    <t>ITE459</t>
  </si>
  <si>
    <t>ITE460</t>
  </si>
  <si>
    <t>ITE461</t>
  </si>
  <si>
    <t>ITE462</t>
  </si>
  <si>
    <t>ITE463</t>
  </si>
  <si>
    <t>ITE464</t>
  </si>
  <si>
    <t>ITE466</t>
  </si>
  <si>
    <t>ITE467</t>
  </si>
  <si>
    <t>ITE468</t>
  </si>
  <si>
    <t>ITE469</t>
  </si>
  <si>
    <t>ITE470</t>
  </si>
  <si>
    <t>ITE471</t>
  </si>
  <si>
    <t>ITE472</t>
  </si>
  <si>
    <t>ITE473</t>
  </si>
  <si>
    <t>ITE474</t>
  </si>
  <si>
    <t>ITE475</t>
  </si>
  <si>
    <t>ITE476</t>
  </si>
  <si>
    <t>ITE477</t>
  </si>
  <si>
    <t>ITE478</t>
  </si>
  <si>
    <t>ITE479</t>
  </si>
  <si>
    <t>ITE480</t>
  </si>
  <si>
    <t>ITE481</t>
  </si>
  <si>
    <t>ITE482</t>
  </si>
  <si>
    <t>ITE483</t>
  </si>
  <si>
    <t>ITE484</t>
  </si>
  <si>
    <t>ITE485</t>
  </si>
  <si>
    <t>ITE486</t>
  </si>
  <si>
    <t>ITE487</t>
  </si>
  <si>
    <t>ITE488</t>
  </si>
  <si>
    <t>ITE489</t>
  </si>
  <si>
    <t>ITE490</t>
  </si>
  <si>
    <t>ITE491</t>
  </si>
  <si>
    <t>ITE492</t>
  </si>
  <si>
    <t>ITE493</t>
  </si>
  <si>
    <t>ITE494</t>
  </si>
  <si>
    <t>ITE495</t>
  </si>
  <si>
    <t>ITE496</t>
  </si>
  <si>
    <t>ITE497</t>
  </si>
  <si>
    <t>ITE498</t>
  </si>
  <si>
    <t>ITE499</t>
  </si>
  <si>
    <t>ITE504</t>
  </si>
  <si>
    <t>ITE552</t>
  </si>
  <si>
    <t>ITE567</t>
  </si>
  <si>
    <t>ITE568</t>
  </si>
  <si>
    <t>ITE570</t>
  </si>
  <si>
    <t>ITE575</t>
  </si>
  <si>
    <t>ITE582</t>
  </si>
  <si>
    <t>ITE583</t>
  </si>
  <si>
    <t>ITE585</t>
  </si>
  <si>
    <t>ITE588</t>
  </si>
  <si>
    <t>ITE591</t>
  </si>
  <si>
    <t>ITE595</t>
  </si>
  <si>
    <t>ITE598</t>
  </si>
  <si>
    <t>ITE599</t>
  </si>
  <si>
    <t>Placa maciza para puente en concreto de 20,7 Mpa (3000 psi) e = 0,30 m</t>
  </si>
  <si>
    <t>Solado en concreto de 10,3 Mpa (1500 psi)</t>
  </si>
  <si>
    <t>Caja de inspección de 0,60 x 0,60 x 0,60 m en concreto de 17,2 Mpa, tapa reforzada en concreto de 20,7 Mpa (3000 psi)</t>
  </si>
  <si>
    <t>Caja de inspección de 0,80 x 0,80 x 0,80 m en concreto de 17,2 Mpa (2500 psi), tapa reforzada en concreto de 20,7 Mpa (3000 psi)</t>
  </si>
  <si>
    <t>Cuerpo para cámara de inspección d = 1,20 m, en concreto de 20,7 Mpa (3000 psi), no incluye refuerzo</t>
  </si>
  <si>
    <t>Muro de contención en concreto 27,6 Mpa (4000 psi), no incluye refuerzo</t>
  </si>
  <si>
    <t>Malla electrosoldada Φ: 6mm c/.15m</t>
  </si>
  <si>
    <t xml:space="preserve">Concertina inoxidable d = 0,45 m </t>
  </si>
  <si>
    <t>Concertina inoxidable d = 0,45 m</t>
  </si>
  <si>
    <t>Trinchos en guadua h libre = 0,60 m</t>
  </si>
  <si>
    <t>Canal disipador en concreto de 20,7 Mpa (3000 psi) (Pantallas deflectoras)</t>
  </si>
  <si>
    <t xml:space="preserve">Canal de rapidas con tapa en concreto de 20,7 Mpa (3000 psi) </t>
  </si>
  <si>
    <t>Concreto de 27,6 Mpa (4000 psi) (producción)</t>
  </si>
  <si>
    <t>Concreto de 10,3 Mpa (1500 psi) (producción)</t>
  </si>
  <si>
    <t>Concreto de 20,7 Mpa (3000 psi) impermeabilizado (producción)</t>
  </si>
  <si>
    <t>Zanja colectora en concreto de 20,7 Mpa (3000 psi)</t>
  </si>
  <si>
    <t>Kit de herrajes para tapas de angulo de 0,60x0,60x1/8"x1 1/2"-1 1/4" para STARD</t>
  </si>
  <si>
    <t>Manguera polipropileno de 3" para descole</t>
  </si>
  <si>
    <t>Placa en concreto 20,7 Mpa (3000 psi) e=0,08 m incluye refuerzo</t>
  </si>
  <si>
    <t>Lleno con arena</t>
  </si>
  <si>
    <t>MAT035</t>
  </si>
  <si>
    <t>Material Filtrante Guadua picada</t>
  </si>
  <si>
    <t>MOB023</t>
  </si>
  <si>
    <t>Mulero</t>
  </si>
  <si>
    <t>Cg/km</t>
  </si>
  <si>
    <t>Sistema de Tratamiento de Aguas Residuales Domesticas prefabricado de 2000 lts, incluye trampa de grasas de 250 lts, tanque séptico de 2000 lts, tanque anaeróbico de 1000 lts y falso fondo</t>
  </si>
  <si>
    <t>Suministro e instalación kit Sistema de Tratamineto de Aguas Residuales Domomesticas Prefabricado de 2000 lts, incluye trampa de grasas de 250 lts, tanque séptico de 2000 lts, tanque anaeróbico de 1000 lts y falso fondo</t>
  </si>
  <si>
    <t>Sello logo CARDER STARD</t>
  </si>
  <si>
    <t>Transporte STARD, materiales y accesorios</t>
  </si>
  <si>
    <t>EQU058</t>
  </si>
  <si>
    <t>Diferencial 5 Toneladas</t>
  </si>
  <si>
    <t>Concreto fluido 13,8 Mpa (2000 psi) tamaño máximo 1/2"</t>
  </si>
  <si>
    <t xml:space="preserve">Transporte material &gt; 40 Km </t>
  </si>
  <si>
    <t xml:space="preserve">Transporte material &lt; 40 Km </t>
  </si>
  <si>
    <t>Cg/Km</t>
  </si>
  <si>
    <t>Hexápodos de 2*2*0,40 m en concreto 27,6 Mpa (4000 psi), no incluye refuerzo</t>
  </si>
  <si>
    <t>Suministro e instalación Bonbillo LED 13,5 V</t>
  </si>
  <si>
    <t>Suministro e instalación Tubería PVC de alcantarillado de pared estructural d =  4", exterior corrugado (Novafort)</t>
  </si>
  <si>
    <t>Suministro e instalaciónTubería PVC de alcantarillado de pared estructural d =  6", exterior corrugado (Novafort)</t>
  </si>
  <si>
    <t>Suministro e instalación Tubería PVC de alcantarillado de pared estructural d =  8", exterior corrugado (Novafort)</t>
  </si>
  <si>
    <t>Suministro e instalación Tubería PVC de alcantarillado de pared estructural d =  10", exterior corrugado (Novafort)</t>
  </si>
  <si>
    <t>Suministro e instalación Tubería PVC de alcantarillado de pared estructural d =  12", exterior corrugado (Novafort)</t>
  </si>
  <si>
    <t>Suministro e instalación Tubería PVC de alcantarillado de pared estructural d =  14", exterior corrugado (Novafort)</t>
  </si>
  <si>
    <t>Suministro e instalación Tubería PVC de alcantarillado de pared estructural d =  16", exterior corrugado (Novafort)</t>
  </si>
  <si>
    <t>Suministro e instalación Tubería PVC de alcantarillado de pared estructural d = 24", exterior corrugado (Novafort)</t>
  </si>
  <si>
    <t>Suministro e instalación Tubería PVC de alcantarillado de pared estructural d = 27", exterior corrugado (Novafort)</t>
  </si>
  <si>
    <t>Suministro e instalación Tubería PVC de alcantarillado de pared estructural d = 30", exterior corrugado (Novafort)</t>
  </si>
  <si>
    <t>Suministro e instalación Tubería PVC de alcantarillado de pared estructural d = 36", exterior corrugado (Novafort)</t>
  </si>
  <si>
    <t>Suministro e instalación Tubería PVC de alcantarillado de pared estructural d = 18", exterior corrugado (Novafort)</t>
  </si>
  <si>
    <t>Suministro e instalación Tubería PVC de alcantarillado de pared estructural d = 20", exterior corrugado (Novafort)</t>
  </si>
  <si>
    <t>Equipo perforación</t>
  </si>
  <si>
    <t>EQU059</t>
  </si>
  <si>
    <t>Equipo de perforación (Tipo piloteadora)</t>
  </si>
  <si>
    <t>Lateral y tapa para box-culvert en concreto impermeabilizado de 27,6 Mpa (4,000 psi), no incluye refuerzo</t>
  </si>
  <si>
    <t>Pilote de concreto D = 1 ,2 m, incluye excavación manual, No incluye refuerzo</t>
  </si>
  <si>
    <t>Pilote de concreto D = 1 m, incluye excavación manual. No incluye refuerzo</t>
  </si>
  <si>
    <t>Cerca viva (planta cada 2.5 m) especies diferentes</t>
  </si>
  <si>
    <t>Esterilla longitud promedio = 4 m</t>
  </si>
  <si>
    <t>Barrera viva doble con vetiver, limoncillo, lirio y afines. Cada 20 cm</t>
  </si>
  <si>
    <t>ITE620</t>
  </si>
  <si>
    <t>ITE621</t>
  </si>
  <si>
    <t>ITE625</t>
  </si>
  <si>
    <t>ITE630</t>
  </si>
  <si>
    <t>ITE631</t>
  </si>
  <si>
    <t>MAT 044</t>
  </si>
  <si>
    <t>Llanta reutilizada</t>
  </si>
  <si>
    <t>MAT 048</t>
  </si>
  <si>
    <t>Cable de baja relajación 1/2"</t>
  </si>
  <si>
    <t>MAT049</t>
  </si>
  <si>
    <t>Cable de baja relajación 1"</t>
  </si>
  <si>
    <t>Muro en llanta inc malla - anclaje cable- lleno</t>
  </si>
  <si>
    <t>Muro de contención en concreto 20,7 Mpa (3000 psi), no incluye refuerzo</t>
  </si>
  <si>
    <t>Salario Mínimo Mensual Legal Vigente año 2017</t>
  </si>
  <si>
    <r>
      <t xml:space="preserve">SALARIO </t>
    </r>
    <r>
      <rPr>
        <b/>
        <sz val="8"/>
        <color theme="0"/>
        <rFont val="Calibri"/>
        <family val="2"/>
      </rPr>
      <t>≤</t>
    </r>
    <r>
      <rPr>
        <b/>
        <sz val="8"/>
        <color theme="0"/>
        <rFont val="Arial"/>
        <family val="2"/>
      </rPr>
      <t xml:space="preserve"> 2 SMMLV</t>
    </r>
  </si>
  <si>
    <r>
      <t xml:space="preserve">Subsidio de Transporte (salario </t>
    </r>
    <r>
      <rPr>
        <sz val="12"/>
        <rFont val="Calibri"/>
        <family val="2"/>
      </rPr>
      <t>≤</t>
    </r>
    <r>
      <rPr>
        <sz val="12"/>
        <rFont val="Arial"/>
        <family val="2"/>
      </rPr>
      <t xml:space="preserve"> 2 SMMLV)</t>
    </r>
  </si>
  <si>
    <t>Suministro e instalación de tapa+aro en polipropileno, incluye losa. No incluye refuerzo</t>
  </si>
  <si>
    <t>Revegetalización H:1,00 m para recuperación paisajistica y/o urbana</t>
  </si>
  <si>
    <t>Plántulas  altura &gt; 1.00 m para recuperación paisajistica y/o urbana</t>
  </si>
  <si>
    <t xml:space="preserve">Poste de madera dura de 0.08 x 0.08 x 3 m </t>
  </si>
  <si>
    <t>MAT052</t>
  </si>
  <si>
    <t>MAT053</t>
  </si>
  <si>
    <t>Plántula con especies diferentes, altura promedio 1.00 m</t>
  </si>
  <si>
    <t>Plántula con especies diferentes, altura promedio 0.50 m</t>
  </si>
  <si>
    <t>Residente de obra</t>
  </si>
  <si>
    <t xml:space="preserve">Profesional Ambiental </t>
  </si>
  <si>
    <t xml:space="preserve">Profesional Trabajo Social </t>
  </si>
  <si>
    <t xml:space="preserve">Director </t>
  </si>
  <si>
    <t>Ingeniero Forestal</t>
  </si>
  <si>
    <t>Tecnólogo Forestal o Agroforestal</t>
  </si>
  <si>
    <t>Manejo de aguas CAUCE</t>
  </si>
  <si>
    <t>MAT361</t>
  </si>
  <si>
    <t>Impermeabilizante elástico base acrilica (Tipo sikafill)</t>
  </si>
  <si>
    <t>Malla electrosoldada Φ: 5mm c/.15m en ambos sentidos (incluye alambre negro, colocación y traslapo).</t>
  </si>
  <si>
    <t>Costal de fibra</t>
  </si>
  <si>
    <t>Manejo de aguas</t>
  </si>
  <si>
    <t>Trasiego de material</t>
  </si>
  <si>
    <t>Ton</t>
  </si>
  <si>
    <t>MAT075</t>
  </si>
  <si>
    <t>MAT076</t>
  </si>
  <si>
    <t>MAT079</t>
  </si>
  <si>
    <t>MAT084</t>
  </si>
  <si>
    <t>Acometida hidráulica Manguera de polietileno de alta densidad PN 10 ø: 32 mm</t>
  </si>
  <si>
    <t>ITE664</t>
  </si>
  <si>
    <t>Acometida hidráulica Manguera de polietileno de alta densidad PN 10 ø: 63 mm</t>
  </si>
  <si>
    <t>Pantalla anclada en concreto 20,7 Mpa (3000 psi), no incluye refuerzo</t>
  </si>
  <si>
    <t>Pantalla anclada en concreto 27,6 Mpa (4000 psi), no incluye refuerzo</t>
  </si>
  <si>
    <t>Micropilote D = 0,3 m (20,7 Mpa (3000 psi)), excavación mecánica</t>
  </si>
  <si>
    <t>Concreto fluido 17,2 Mpa (2500 psi) tamaño máximo 1/2"</t>
  </si>
  <si>
    <t>Concreto fluido 20,7 Mpa (3000 psi) tamaño máximo 1/2"</t>
  </si>
  <si>
    <t>Zarpa para estribos y/o aletas en concreto  de 20,7 Mpa (3000 psi) impermeabilizado</t>
  </si>
  <si>
    <t>Trinchos en guadua h libre = 1,00 m, incluye geotextil y emulsión asfaltica</t>
  </si>
  <si>
    <t>ITE671</t>
  </si>
  <si>
    <t>EQUIÓ</t>
  </si>
  <si>
    <t>Recubrimiento en mortero para talud, incluye malla</t>
  </si>
  <si>
    <t>Malla electrosoldada Φ: 7.5 mm c/.15m</t>
  </si>
  <si>
    <t>Micropilote D = 0,5 m, excavación mecánica</t>
  </si>
  <si>
    <t>ITE673</t>
  </si>
  <si>
    <t>ITE674</t>
  </si>
  <si>
    <t>Lleno en costales con material del sitio</t>
  </si>
  <si>
    <t>ITE676</t>
  </si>
  <si>
    <t>Gaviones provisional en malla triple torsión C 13, para manejo de cauce y estabilización</t>
  </si>
  <si>
    <t>Malla electrosoldada Φ: 7,5 mm c/.15m en ambos sentidos (incluye alambre negro, colocación y traslapo).</t>
  </si>
  <si>
    <t>Acarreo Horizontal (% mano obra)</t>
  </si>
  <si>
    <t>Gravilla de río y/o triturado</t>
  </si>
  <si>
    <t>Ángulo 2" X 1/8"</t>
  </si>
  <si>
    <t>M.O</t>
  </si>
  <si>
    <t>Adoquín vehicular gris de concreto e = 0,06 m</t>
  </si>
  <si>
    <t>Alambre negro calibre 17</t>
  </si>
  <si>
    <t xml:space="preserve">Tubería galvanizada para cerramiento de 1 1/2" </t>
  </si>
  <si>
    <t xml:space="preserve">
Excavación manual en roca con cuña hidráulica entre 0 y 2 mts de Ø &gt; 0,50 m3
 </t>
  </si>
  <si>
    <t>Excavación manual en roca con cuña hidráulica entre 2 y 4 mts de Ø &gt; 0,50 m3</t>
  </si>
  <si>
    <t>Excavación manual en roca con cuña hidráulica &gt; a 4 mts de Ø &gt; 0,50 m3</t>
  </si>
  <si>
    <t>Perforacion</t>
  </si>
  <si>
    <t>Operario maquinaria equipo (jornal + prestaciones)</t>
  </si>
  <si>
    <t>MOB009</t>
  </si>
  <si>
    <t>EQU060</t>
  </si>
  <si>
    <t xml:space="preserve">Martillo electrico rotopercutor demolicion </t>
  </si>
  <si>
    <t>Excavación manual en roca con martillo</t>
  </si>
  <si>
    <t xml:space="preserve">Prado </t>
  </si>
  <si>
    <t>Sanitario tipo tabo single de bajo consumo</t>
  </si>
  <si>
    <t>Sanitario tipo acuaplus de bajo consumo</t>
  </si>
  <si>
    <t>und</t>
  </si>
  <si>
    <t>Piso en baldosa tipo britania</t>
  </si>
  <si>
    <t>Baldosa tipo britania</t>
  </si>
  <si>
    <t>Toma corriente doble tipo GFCI polo a tierra tipo luminex</t>
  </si>
  <si>
    <t>Toma telefónico de 4 conductos tipo luminex</t>
  </si>
  <si>
    <t>Juegos infantiles de madera en pino, básico</t>
  </si>
  <si>
    <t>Juegos infantiles de madera en pino completo</t>
  </si>
  <si>
    <t>Juegos infantiles metálicos incluyen instalación wash primer y pintura: Columpio de 3 puestos</t>
  </si>
  <si>
    <t>Juegos infantiles metálicos incluyen instalación wash primer y pintura: Columpio de 2 puestos</t>
  </si>
  <si>
    <t>Juegos infantiles metálicos incluyen instalación wash primer y pintura: Pasamanos casita</t>
  </si>
  <si>
    <t>Juegos infantiles metálicos incluyen instalación wash primer y pintura: Balancín triple</t>
  </si>
  <si>
    <t>Juegos infantiles metálicos incluyen instalación wash primer y pintura: Pasamanos sencillo</t>
  </si>
  <si>
    <t>Lampara Panel Led Incrustar 60x60 46W Blanca</t>
  </si>
  <si>
    <t>Lámpara led incrustar</t>
  </si>
  <si>
    <t>Fijador de cerámica tipo pegacor o similar</t>
  </si>
  <si>
    <t>Entibado de zanjas y/o excavación</t>
  </si>
  <si>
    <t>Accesorios tubería PVC Novafort (% tubería)</t>
  </si>
  <si>
    <t>Lleno compactado material producto de excavación y prestamo 70-30%</t>
  </si>
  <si>
    <t>m3</t>
  </si>
  <si>
    <t>hora</t>
  </si>
  <si>
    <t>Viga en concreto impermeabilizado de 4000 psi, no incluye refuerzo</t>
  </si>
  <si>
    <t>m2</t>
  </si>
  <si>
    <t>Conformación de jarillon provisional, desvio de aguas y excavación mecanica</t>
  </si>
  <si>
    <t>hr</t>
  </si>
  <si>
    <t>Máquina hidrosembradora</t>
  </si>
  <si>
    <t>Instalación de malla geomanta flexible tridimencional.</t>
  </si>
  <si>
    <t>Perno de anclaje con varrilla de 7/8 de Diametro.</t>
  </si>
  <si>
    <t>ml</t>
  </si>
  <si>
    <t>Equipo de perforación hidroneumático</t>
  </si>
  <si>
    <t>Equipo para inyección lechada</t>
  </si>
  <si>
    <t>Platinas de apoyo</t>
  </si>
  <si>
    <t xml:space="preserve">Caisson en concreto 27,4 Mpa (4000 psi)   </t>
  </si>
  <si>
    <t>Muro de contención y viga cimentacion en concreto 27,4 Mpa impermeabilizado (4000 psi), no incluye refuerzo, Bombeado</t>
  </si>
  <si>
    <t>ITE683</t>
  </si>
  <si>
    <t>ITE684</t>
  </si>
  <si>
    <t>ITE685</t>
  </si>
  <si>
    <t>ITE686</t>
  </si>
  <si>
    <t>ITE688</t>
  </si>
  <si>
    <t>ITE689</t>
  </si>
  <si>
    <t>ITE690</t>
  </si>
  <si>
    <t>ITE691</t>
  </si>
  <si>
    <t>Manejo de aguas CAUCE con tuberia sanitaria d=6"</t>
  </si>
  <si>
    <r>
      <t>M</t>
    </r>
    <r>
      <rPr>
        <vertAlign val="superscript"/>
        <sz val="9"/>
        <rFont val="Arial"/>
        <family val="2"/>
      </rPr>
      <t>2</t>
    </r>
  </si>
  <si>
    <r>
      <t>M</t>
    </r>
    <r>
      <rPr>
        <vertAlign val="superscript"/>
        <sz val="9"/>
        <rFont val="Arial"/>
        <family val="2"/>
      </rPr>
      <t>3</t>
    </r>
  </si>
  <si>
    <r>
      <t>M</t>
    </r>
    <r>
      <rPr>
        <vertAlign val="superscript"/>
        <sz val="9"/>
        <rFont val="Arial"/>
        <family val="2"/>
      </rPr>
      <t>3</t>
    </r>
    <r>
      <rPr>
        <sz val="9"/>
        <rFont val="Arial"/>
        <family val="2"/>
      </rPr>
      <t>-Km</t>
    </r>
  </si>
  <si>
    <r>
      <t>Sardinel en concreto de 20,7 Mpa 0,03 m</t>
    </r>
    <r>
      <rPr>
        <vertAlign val="superscript"/>
        <sz val="9"/>
        <rFont val="Arial"/>
        <family val="2"/>
      </rPr>
      <t>3</t>
    </r>
    <r>
      <rPr>
        <sz val="9"/>
        <rFont val="Arial"/>
        <family val="2"/>
      </rPr>
      <t>/ml, incluye refuerzo, sobre placa</t>
    </r>
  </si>
  <si>
    <r>
      <t>Viga canal en concreto impermeabilizado de 20,7 Mpa sección &lt; 2.001 cm</t>
    </r>
    <r>
      <rPr>
        <vertAlign val="superscript"/>
        <sz val="9"/>
        <rFont val="Arial"/>
        <family val="2"/>
      </rPr>
      <t>2</t>
    </r>
  </si>
  <si>
    <t>poste en guadua h=2m</t>
  </si>
  <si>
    <t xml:space="preserve">Estacon tipo cerco vivo h=1,8  m d=5-6 cm </t>
  </si>
  <si>
    <t xml:space="preserve">Cerramiento en poste de guadua  3 hilos de alambre de púas con estacon </t>
  </si>
  <si>
    <t xml:space="preserve">Cerramiento en poste de guadua  3 hilos de alambre de púas sin estacon </t>
  </si>
  <si>
    <t>Hidrosiembra</t>
  </si>
  <si>
    <t>EQU061</t>
  </si>
  <si>
    <t>Excavación con máquina</t>
  </si>
  <si>
    <t>EQU062</t>
  </si>
  <si>
    <t>EQU063</t>
  </si>
  <si>
    <t>EQU064</t>
  </si>
  <si>
    <t>Cuña hidráulica  con compresor (5 tiros dia)</t>
  </si>
  <si>
    <t>Muro de contención en concreto 20,7 Mpa (3000 psi), impermeabilizado, no incluye refuerzo</t>
  </si>
  <si>
    <t>Muro de contención en concreto 27,6 Mpa (4000 psi), impermeabilizado, no incluye refuerzo</t>
  </si>
  <si>
    <t>Silcoplast</t>
  </si>
  <si>
    <t>Barrera viva con vetiver, limoncillo, lirio y afines. Cada 20 cm</t>
  </si>
  <si>
    <t xml:space="preserve">Roceria y limpieza </t>
  </si>
  <si>
    <t>Establecimiento plantación+ dos mantenimientos</t>
  </si>
  <si>
    <t>Mantenimiento Plantación Segundo año (tres mantenimientos)</t>
  </si>
  <si>
    <t>Mantenimiento Plantación Tercer año (tres mantenimientos)</t>
  </si>
  <si>
    <t>Cerramiento en poste de madera  3 hilos de alambre de púas sin estacon</t>
  </si>
  <si>
    <t>Aportes FIC (S.M/40)</t>
  </si>
  <si>
    <t>SM</t>
  </si>
  <si>
    <t>AT</t>
  </si>
  <si>
    <t>Salario minimo (S.M)</t>
  </si>
  <si>
    <t>Aporte riesgos profesionales A.R.L.</t>
  </si>
  <si>
    <t>VALOR SALARIO + PRESTACIONES</t>
  </si>
  <si>
    <t>158,47%*S.M+117,66% A.T</t>
  </si>
  <si>
    <t>157,32%*S.M+0A.T</t>
  </si>
  <si>
    <t>Soldadura liquida para PVC 1/4 GL</t>
  </si>
  <si>
    <t>LISTA DE INSUMOS</t>
  </si>
  <si>
    <t>Sección completa de andamio 1.2 x 1.5 m.</t>
  </si>
  <si>
    <t>Zarpa en concreto ciclópeo fondo</t>
  </si>
  <si>
    <t>Zarpa en concreto ciclópeo elevación</t>
  </si>
  <si>
    <t>Geomanta frexible tridimensional</t>
  </si>
  <si>
    <t>Lleno compactado  manual con material transportado, no incluye transporte</t>
  </si>
  <si>
    <t>Sumidero en concreto de 20,7 Mpa (3000 psi)</t>
  </si>
  <si>
    <t>Cuneta revestida en concreto 20,7 Mpa (3000 psi)</t>
  </si>
  <si>
    <t>Box coulvert en concreto impermeabilizado de 27,6 Mpa (4000 psi), no incluye refuerzo</t>
  </si>
  <si>
    <t>Tablero de 6 circuitos</t>
  </si>
  <si>
    <t>Sumidero transversal en concreto de 20,7 Mpa (3000 psi)</t>
  </si>
  <si>
    <t xml:space="preserve">Estufa eficiente </t>
  </si>
  <si>
    <t>Kit de herrajes para estufa eficiente incluye la chimenea</t>
  </si>
  <si>
    <t>Und</t>
  </si>
  <si>
    <t>Ladrillo refractario(medidas 5,5*12*20) temperaturas hasta 1400°C color terrecota, liso por las cuatro caras)</t>
  </si>
  <si>
    <t>Ladrillo sencillo tres huecos(medidas10*20*40) cocido</t>
  </si>
  <si>
    <t>Tableta de gres vitrificada de 25*25</t>
  </si>
  <si>
    <t>Melaza( Miel de purga)</t>
  </si>
  <si>
    <t>Transporte de materiales desde cabecera municipal al beneficiario</t>
  </si>
  <si>
    <t>VIAJE</t>
  </si>
  <si>
    <t>MAT774</t>
  </si>
  <si>
    <t>MAT775</t>
  </si>
  <si>
    <t>MAT776</t>
  </si>
  <si>
    <t>MAT777</t>
  </si>
  <si>
    <t>MAT778</t>
  </si>
  <si>
    <t>MAT779</t>
  </si>
  <si>
    <t>Sello logo CARDER para STARD en Acero inoxidable de 20*20 cm inc. Instalación</t>
  </si>
  <si>
    <t>MAT780</t>
  </si>
  <si>
    <t>ITEM701</t>
  </si>
  <si>
    <t>Viaje</t>
  </si>
  <si>
    <t>Alquiler andamio tubular</t>
  </si>
  <si>
    <t>M3/km</t>
  </si>
  <si>
    <t xml:space="preserve">Poste de concreto 12 x 750 kg. </t>
  </si>
  <si>
    <t xml:space="preserve">Poste de concreto 9 x 510 kg. </t>
  </si>
  <si>
    <t>Ensayo resistencia concretos (un testigo)</t>
  </si>
  <si>
    <t>Tubería de HG de 2" de 1,5 mm</t>
  </si>
  <si>
    <t>Impermeabilizante para mortero (Sika 1 o similar)</t>
  </si>
  <si>
    <t>Tubería de HG de 3" de 1,9 mm</t>
  </si>
  <si>
    <t>Teja termoacustica Forte UPVC</t>
  </si>
  <si>
    <t>Conjunto fijación cubierta forte</t>
  </si>
  <si>
    <t>Cuadrilla E 1 Of + 2 Ay (jornal + prestaciones)</t>
  </si>
  <si>
    <t xml:space="preserve">Acequia de corona, a = 0.30, h = 0.25 e = 0.08 m, en concreto de 10,3 Mpa (1.500 psi), incluye excavación, retiro y nivelación </t>
  </si>
  <si>
    <t>Cañuela labrada en suelo, recubierta en concreto 20,7 Mpa, semicircular d interno = 0,20 m, a = 0,40 m, e = 0,05 m, no incluye excavación</t>
  </si>
  <si>
    <t>Ensayo de Percolación por Organismo Competente, incluye recomendaciones y diseño del Postratamiento</t>
  </si>
  <si>
    <t>TRATAMIENTO COMPLEMENTARIO DEL EFLUENTE SEGÚN RAS 2017</t>
  </si>
  <si>
    <t>ESY003</t>
  </si>
  <si>
    <t>ML</t>
  </si>
  <si>
    <t>Ml</t>
  </si>
  <si>
    <t>Ajuste puerta de madera - metálica salon,  incluye  pintura, barniz, Cerrojo Seguridad 170 1/4 Plus Llave-Llave Dorado</t>
  </si>
  <si>
    <t>MAT069-1</t>
  </si>
  <si>
    <t>Cerrojo Seguridad 170 1/4 Plus Llave-Llave Dorado</t>
  </si>
  <si>
    <t>Guarda goteras ( Flanche) base muros en concreto  de 20,7 Mpa (3000 psi) impermeabilizado</t>
  </si>
  <si>
    <t>Suministro e instalación toma corriente doble  con polo a tierra</t>
  </si>
  <si>
    <t>MAT504-1</t>
  </si>
  <si>
    <t>Suministro e instalación Lampara Led 100 w  exterior</t>
  </si>
  <si>
    <t>Suministro e instalación Lampara Panel Led Incrustar 60x60 46W Blanca</t>
  </si>
  <si>
    <t>Tablero 6 Circuitos Square Za000611015 Schneider</t>
  </si>
  <si>
    <t>MAT203-1</t>
  </si>
  <si>
    <t>Tablero 4 Circuitos Square 75a Za000611010</t>
  </si>
  <si>
    <t>Pintura gris basalto bases de columnas</t>
  </si>
  <si>
    <t>Pintura demarcación señalización discapacitados en azul y puntos de encuentro</t>
  </si>
  <si>
    <t>Mantenimiento de escalera principal protección con laca en poliuretano pasos de madera.incluye lijado resane y pintura.</t>
  </si>
  <si>
    <t>Limpieza y protección con aceite de linaza mas  trementina proporción 2:1 elementos estructurales (guaduas y Mangles), inc guardaescobas y ventanas</t>
  </si>
  <si>
    <t xml:space="preserve">Ajuste y pintura cerramiento externo en guadua sede </t>
  </si>
  <si>
    <t>Recuperación y mantenimiento de adoquin vehícular, Paqueadero</t>
  </si>
  <si>
    <t>Montaje y adecuación cableado datos oficinas 112-113-114-115-116-212-213-214-215</t>
  </si>
  <si>
    <t xml:space="preserve">Resane y pintura muros con cal hidratada mas imprimante muros interiores </t>
  </si>
  <si>
    <t>MAT113-1</t>
  </si>
  <si>
    <t>Aceite de Linaza</t>
  </si>
  <si>
    <t>MAT113-2</t>
  </si>
  <si>
    <t>Aceite de Trementina Gal de 3,5 Lts</t>
  </si>
  <si>
    <t>Barniz intemperie brillante Pintuco</t>
  </si>
  <si>
    <t>Pintura de trafico amarillo (tipo ministerio) para demarcación de parqueaderos</t>
  </si>
  <si>
    <t>MAT113-3</t>
  </si>
  <si>
    <t>Pintura de trafico  (tipo ministerio)</t>
  </si>
  <si>
    <t>MAT160-1</t>
  </si>
  <si>
    <t>Teja española 42 x 21 cm</t>
  </si>
  <si>
    <t>EQUO006</t>
  </si>
  <si>
    <t>pintura esmalte para exteriores</t>
  </si>
  <si>
    <t>Aceite de Linaza Gal de 3,5 Lts</t>
  </si>
  <si>
    <t>MAT17-1</t>
  </si>
  <si>
    <t>Lata de guadua inmunizada L=3,5</t>
  </si>
  <si>
    <t>MAT025-1</t>
  </si>
  <si>
    <t>Sikaflex Construcción Plus I-Cure Blanco X300ml</t>
  </si>
  <si>
    <t>MAT258-1</t>
  </si>
  <si>
    <t>Cable UTP 6A</t>
  </si>
  <si>
    <t>MAT258-2</t>
  </si>
  <si>
    <t>Faceplat</t>
  </si>
  <si>
    <t>MAT258-3</t>
  </si>
  <si>
    <t xml:space="preserve">Jack 6A doble </t>
  </si>
  <si>
    <t>MAT258-4</t>
  </si>
  <si>
    <t>Bandeja cablofil cf54/300bl 3,05*0,30</t>
  </si>
  <si>
    <t>Adoquin de arcilla</t>
  </si>
  <si>
    <t xml:space="preserve">Aceite de Trementina </t>
  </si>
  <si>
    <t xml:space="preserve">Pintura de trafico ( Tipo Ministerio ) </t>
  </si>
  <si>
    <t>Teja española 42*21</t>
  </si>
  <si>
    <t>Laca Catalizada Poliuretano Mate 4 Litros</t>
  </si>
  <si>
    <t>MAT040-1</t>
  </si>
  <si>
    <t>MAT040-2</t>
  </si>
  <si>
    <t>MAT040-3</t>
  </si>
  <si>
    <t>MAT017-1</t>
  </si>
  <si>
    <t>Lata de Guadua Inmunizada L: 3,5 m</t>
  </si>
  <si>
    <t>MAT783</t>
  </si>
  <si>
    <t>Manejo de aguas CAUCE  con tuberia alcantarillado de pared estructural d=6"</t>
  </si>
  <si>
    <t>MAT784</t>
  </si>
  <si>
    <t>MAT785</t>
  </si>
  <si>
    <t>Lamina galvanizada cal 18 1,22*2,44</t>
  </si>
  <si>
    <t>Canal en lamina cal 18 desarrollo L:1,2</t>
  </si>
  <si>
    <t>Guadua Inmunizada estructural</t>
  </si>
  <si>
    <t>MAT017-2</t>
  </si>
  <si>
    <t>Guadua inmunizada longitud promedio = 6 m</t>
  </si>
  <si>
    <t>Lamina marmol 20 cms tipo cocina</t>
  </si>
  <si>
    <t>Mantenimiento Baño lamina marmol lavamanos.incluye ajuste , lamina.</t>
  </si>
  <si>
    <t>MAT 787</t>
  </si>
  <si>
    <t>Bulto</t>
  </si>
  <si>
    <r>
      <t>ADHESIVO ESPECIAL PARA INSTALACIÓN DE </t>
    </r>
    <r>
      <rPr>
        <b/>
        <sz val="10"/>
        <color rgb="FF6A6A6A"/>
        <rFont val="Arial"/>
        <family val="2"/>
      </rPr>
      <t>MÁRMOL 50Kilos</t>
    </r>
  </si>
  <si>
    <t>MAT511-1</t>
  </si>
  <si>
    <t>Varilla Roscada de 5/8"</t>
  </si>
  <si>
    <t>MAT512</t>
  </si>
  <si>
    <t>Tuerca Hexagonal y Arandela Plana 5/8 10un Fixser</t>
  </si>
  <si>
    <t>MAT524</t>
  </si>
  <si>
    <t>MAT525</t>
  </si>
  <si>
    <t>MAT526</t>
  </si>
  <si>
    <t>MAT527</t>
  </si>
  <si>
    <t>MAT528</t>
  </si>
  <si>
    <t>MAT529</t>
  </si>
  <si>
    <t>MAT530</t>
  </si>
  <si>
    <t>MAT532</t>
  </si>
  <si>
    <t>MAT533</t>
  </si>
  <si>
    <t>MAT534</t>
  </si>
  <si>
    <t>MAT535</t>
  </si>
  <si>
    <t>MAT536</t>
  </si>
  <si>
    <t>MAT537</t>
  </si>
  <si>
    <t>MAT538</t>
  </si>
  <si>
    <t>MAT539</t>
  </si>
  <si>
    <t>MAT540</t>
  </si>
  <si>
    <t>MAT541</t>
  </si>
  <si>
    <t>MAT542</t>
  </si>
  <si>
    <t>MAT543</t>
  </si>
  <si>
    <t>MAT544</t>
  </si>
  <si>
    <t>MAT550</t>
  </si>
  <si>
    <t>MAT553</t>
  </si>
  <si>
    <t>MAT575</t>
  </si>
  <si>
    <t>MAT576</t>
  </si>
  <si>
    <t>MAT577</t>
  </si>
  <si>
    <t>MAT578</t>
  </si>
  <si>
    <t>MAT579</t>
  </si>
  <si>
    <t>MAT580</t>
  </si>
  <si>
    <t>MAT598</t>
  </si>
  <si>
    <t>MAT599</t>
  </si>
  <si>
    <t>MAT600</t>
  </si>
  <si>
    <t>MAT601</t>
  </si>
  <si>
    <t>MAT602</t>
  </si>
  <si>
    <t>MAT603</t>
  </si>
  <si>
    <t>MAT604</t>
  </si>
  <si>
    <t>MAT605</t>
  </si>
  <si>
    <t>MAT606</t>
  </si>
  <si>
    <t>MAT607</t>
  </si>
  <si>
    <t>MAT615</t>
  </si>
  <si>
    <t>MAT616</t>
  </si>
  <si>
    <t>MAT617</t>
  </si>
  <si>
    <t>MAT618</t>
  </si>
  <si>
    <t>MAT619</t>
  </si>
  <si>
    <t>MAT620</t>
  </si>
  <si>
    <t>MAT621</t>
  </si>
  <si>
    <t>MAT622</t>
  </si>
  <si>
    <t>MAT623</t>
  </si>
  <si>
    <t>MAT624</t>
  </si>
  <si>
    <t>MAT625</t>
  </si>
  <si>
    <t>MAT626</t>
  </si>
  <si>
    <t>MAT627</t>
  </si>
  <si>
    <t>MAT628</t>
  </si>
  <si>
    <t>MAT629</t>
  </si>
  <si>
    <t>MAT631</t>
  </si>
  <si>
    <t>MAT633</t>
  </si>
  <si>
    <t>MAT652</t>
  </si>
  <si>
    <t>MAT679</t>
  </si>
  <si>
    <t>MAT680</t>
  </si>
  <si>
    <t>MAT706</t>
  </si>
  <si>
    <t>MAT718</t>
  </si>
  <si>
    <t>Resane y pintura muros,con barniz mas imprimante muros interiores inc techos guadua</t>
  </si>
  <si>
    <t xml:space="preserve">Ajuste y montaje estructura madera vivienda celaduría </t>
  </si>
  <si>
    <t>Galon</t>
  </si>
  <si>
    <t xml:space="preserve">Suministro y Montaje Estructura en Guadua Techo </t>
  </si>
  <si>
    <t>MAT020-1</t>
  </si>
  <si>
    <t>Demolición vivienda Bahareque - Guadua de 2 niveles manual, con recuperación de materiales</t>
  </si>
  <si>
    <t>Resane y pintura techos con cal hidratada inc imprimante</t>
  </si>
  <si>
    <t>Poda y mejoramiento de arboles inc abonos, herramientas, limpieza vegetal, asistencia técnica</t>
  </si>
  <si>
    <t>MO</t>
  </si>
  <si>
    <t>MOB024</t>
  </si>
  <si>
    <t>Asistencia técnica manejo zonas verdes</t>
  </si>
  <si>
    <t>Tela poliéster 10m2 30 gramos/m2</t>
  </si>
  <si>
    <t>MAT727</t>
  </si>
  <si>
    <t>MAT728</t>
  </si>
  <si>
    <t>Broncoelástico gris 1 galón</t>
  </si>
  <si>
    <t>Reparación viga canal en concreto</t>
  </si>
  <si>
    <t>Cerramiento en tubería galvanizada, malla eslabonada</t>
  </si>
  <si>
    <t>MAT729</t>
  </si>
  <si>
    <t>Frescasa con foil Fiberglass</t>
  </si>
  <si>
    <t>Suministro e instalación frescasa</t>
  </si>
  <si>
    <t>Viga Madera 2 X 5 fina</t>
  </si>
  <si>
    <t>Matera arcilla 60*25*25 inc tierra y especie vegetal</t>
  </si>
  <si>
    <t>Matera Arcilla 60*25*25</t>
  </si>
  <si>
    <t>MAT437A</t>
  </si>
  <si>
    <t>MAT730</t>
  </si>
  <si>
    <t>MAT731</t>
  </si>
  <si>
    <t>Plàntulas para jardìn</t>
  </si>
  <si>
    <t xml:space="preserve">Plántulas especies forestales altura max: 0,4 </t>
  </si>
  <si>
    <t>asistencia tècnica manejo zonas verdes</t>
  </si>
  <si>
    <t>Estructura Metàlica losa techo sobre estructura concreto existente inc calculo y montaje</t>
  </si>
  <si>
    <t>Demoliciòn y Lleno Piscina existente</t>
  </si>
  <si>
    <t>MAT042-1</t>
  </si>
  <si>
    <t>MAT045-1</t>
  </si>
  <si>
    <t>Material banco prestamo  no incluye transporte</t>
  </si>
  <si>
    <t>Ajuste ventana de madera - incluye  pintura, barniz</t>
  </si>
  <si>
    <t>Barra de agarre abatible en acero</t>
  </si>
  <si>
    <t>MAT047-1</t>
  </si>
  <si>
    <t xml:space="preserve">Cerradura tipo manija </t>
  </si>
  <si>
    <t>MAT631-1</t>
  </si>
  <si>
    <t>Griferia lavamanos automatica</t>
  </si>
  <si>
    <t>MAT047-2</t>
  </si>
  <si>
    <t>Barra de agarre de seguridad fija en acero</t>
  </si>
  <si>
    <t>Alarma de asistencia</t>
  </si>
  <si>
    <t xml:space="preserve">Alarma de asistencia </t>
  </si>
  <si>
    <t>MAT047-3</t>
  </si>
  <si>
    <t>Hidrante tipo Columna Seca 4" carrete de 300 mm</t>
  </si>
  <si>
    <t>Hidrante tipo vatago 4"</t>
  </si>
  <si>
    <t>MAT378-1</t>
  </si>
  <si>
    <t>Accesorios Instalaciòn Hidrante</t>
  </si>
  <si>
    <t>Techo en teja UPVC</t>
  </si>
  <si>
    <t xml:space="preserve">Lampara Led Solar Alumbrado Público 100w </t>
  </si>
  <si>
    <t>Mejoramiento , poda de zonas verdes inc podas, abonos , limpieza vegetal, asistencia tècnica</t>
  </si>
  <si>
    <t>Mejoramiento de senderos ecològicos inc limpieza vegetal , asistencia tècncica</t>
  </si>
  <si>
    <t>Techo en teja thermoacustic UPVC</t>
  </si>
  <si>
    <t xml:space="preserve">Plántulas para jardín </t>
  </si>
  <si>
    <t>Piedra blanca ornamentación jardín 10 kilos</t>
  </si>
  <si>
    <t>MAT733</t>
  </si>
  <si>
    <t>Construcción oasis inc piedras y especies ornamentales además de otros elementos que embellezcan Díametro 4 mts</t>
  </si>
  <si>
    <t>Recuperaciòn subbase senderos E:15 cm</t>
  </si>
  <si>
    <t xml:space="preserve">Mejoramiento de plantaciones protectoras inc insumos y replanteo de especies , recolecciòn de basuras , poda , limpieza vegetal y asistencia tècnica </t>
  </si>
  <si>
    <t>MAT124-1</t>
  </si>
  <si>
    <t>Demolición losa sobre terreno e:12 cm</t>
  </si>
  <si>
    <t>Demolición viga estructural en concreto secciòn ,40*,40</t>
  </si>
  <si>
    <t>Teja Zinc Ondulada 3.058x0.80mt Cal 34 0.20mm</t>
  </si>
  <si>
    <t>Lija de agua No. 280 a 1500</t>
  </si>
  <si>
    <t>Cerradura YALE Tipo 31610 Izquierda 50mm Sobreponer</t>
  </si>
  <si>
    <t xml:space="preserve">Interruptor conmutable sencillo </t>
  </si>
  <si>
    <t>Lavamanos Providence de Sobreponer 18cm Alto x 42cm Ancho x 47cm Largo Blanco</t>
  </si>
  <si>
    <t>Lavamanos tipo Acuacer de colgar blanco</t>
  </si>
  <si>
    <t>Sanitario tipo acuaplus ultrablanco</t>
  </si>
  <si>
    <t>MAT100-1</t>
  </si>
  <si>
    <t>Combo Sanitario Acuaplus Ultra sin pedestal Blanco</t>
  </si>
  <si>
    <t>Sanitario tao single Blanco</t>
  </si>
  <si>
    <t>Piso Cerámica Carmina Terracota 45.8x45.8 cm caja 1.89 m2</t>
  </si>
  <si>
    <t>MAT112-1</t>
  </si>
  <si>
    <t>Graniplast Blanco 30Kg Esgrafiado Antihongos</t>
  </si>
  <si>
    <t>Piso Baldosa Roseta Negra 30x30cm</t>
  </si>
  <si>
    <t>Bisagra de acero 2"</t>
  </si>
  <si>
    <t>Lavamanos tipo Miláno blanco de colgar</t>
  </si>
  <si>
    <t>Baldosa Insolux 20 X 20 cm</t>
  </si>
  <si>
    <t xml:space="preserve">Grapas galvanizada </t>
  </si>
  <si>
    <t>Faceplate 1 Puerto x5 Und</t>
  </si>
  <si>
    <t>Bombillo LED 30 W</t>
  </si>
  <si>
    <t>Plafon E27 Con Socket Pbt Accesorios Veto</t>
  </si>
  <si>
    <t>Pisofuerte tipo Corona EXTERIOR TURIN 55X55</t>
  </si>
  <si>
    <t xml:space="preserve">Sanitario tipo punta sal </t>
  </si>
  <si>
    <t>Ducha Mezclador de 8plg + Regadera Monza Cruz</t>
  </si>
  <si>
    <t>Senalizador Trafico 1.3m Base Caucho</t>
  </si>
  <si>
    <t>Platina tropicalizada x 2 unidades</t>
  </si>
  <si>
    <t>Placa Fibrocemento 10mm 244x122cm 42.93kg aprox.</t>
  </si>
  <si>
    <t>Tubo galvanizadoNIC 505-
001 para cerramiento de 2` x 3 m incluye tapa.</t>
  </si>
  <si>
    <t xml:space="preserve">Cerámica blanca </t>
  </si>
  <si>
    <t>Concreto premezclado de 27,6 Mpa (4000 psi) plastico</t>
  </si>
  <si>
    <t>Medidor Agua Volumetrico R160 Magnetico L110mm AF de 1/2 Pulgadas</t>
  </si>
  <si>
    <t>Teja greca cristal N10 3.05x0.99cm 0.5mm policarbonato</t>
  </si>
  <si>
    <t>Malla Electr 4x4mm 15x15cm 2.35x6m Diaco</t>
  </si>
  <si>
    <t>Baldosa tipo TORAZO BEIGE 60X60</t>
  </si>
  <si>
    <t>Manto Asfáltico Metal FL-100 BS 10m2 3mm FV-AL</t>
  </si>
  <si>
    <t>Cinta Teflón 1/2" x 10 m x 0.30 Densidad</t>
  </si>
  <si>
    <t>MALLA VENA 0.60x2mt Cal. 34</t>
  </si>
  <si>
    <t>Orinal Arrecife Para Fluxómetro Blanco</t>
  </si>
  <si>
    <t>Topex Set Acelerante 2.5kg</t>
  </si>
  <si>
    <t>Bloque de cemento de 0,15 x 0,20 x 0,40 m estructural</t>
  </si>
  <si>
    <t>Tela para protección de edificios- polisombra 80%</t>
  </si>
  <si>
    <t>Masilla Texplaca 1Gl 6.8kg Uso Exterior</t>
  </si>
  <si>
    <t>Cinta de Enmascarar 50m Ancho 12mm</t>
  </si>
  <si>
    <t>Lavadero 80x60x50cm Granito</t>
  </si>
  <si>
    <t>Niple Tub Hg  3/4  L=.25M</t>
  </si>
  <si>
    <t>Lija de agua No. 280 -1500</t>
  </si>
  <si>
    <t xml:space="preserve">Perfil aluminio natural Tipo U :2,5 </t>
  </si>
  <si>
    <t>Perfil T-20 Cenizo Cepillado 2.5 Metros</t>
  </si>
  <si>
    <t xml:space="preserve">Lámina de icopor 1*1 10mm </t>
  </si>
  <si>
    <t>Tubo cerramiento galvanizado 1 1/2" x 1.5mm Z180  incluye tapa. L=3m</t>
  </si>
  <si>
    <t>Sistema Séptico Integrado 3000 Litros</t>
  </si>
  <si>
    <t>MAT688-1</t>
  </si>
  <si>
    <t>Sistema Séptico Integrado 4000 Litros</t>
  </si>
  <si>
    <t>MAT687-1</t>
  </si>
  <si>
    <t>Sistema Séptico Integrado 2400 Litros</t>
  </si>
  <si>
    <t>MAT688-2</t>
  </si>
  <si>
    <t>Trampa de Grasa 250 Litros</t>
  </si>
  <si>
    <t>Tubería PVC de alcantarillado de pared estructural d = 33", exterior corrugado (Novafort)</t>
  </si>
  <si>
    <t>Tubería PVC de alcantarillado de pared estructural d = 39", exterior corrugado (Novafort)</t>
  </si>
  <si>
    <t>Material granular seleccionado Tipo BG A</t>
  </si>
  <si>
    <t>Material granular tipo BG A</t>
  </si>
  <si>
    <t>Geomalla biaxial para refuerzo pbx 11</t>
  </si>
  <si>
    <t>Alambre de púas C 12,5</t>
  </si>
  <si>
    <t>Poste para cerramiento en concreto 2,2 m</t>
  </si>
  <si>
    <t>MAT133-1</t>
  </si>
  <si>
    <t>Poste para cerramiento en madera plàstica 2,2 m</t>
  </si>
  <si>
    <t xml:space="preserve">Pintura vinilo </t>
  </si>
  <si>
    <t>Suministro e instalación Tubería PVC de alcantarillado de pared estructural d = 33", exterior corrugado (Novafort)</t>
  </si>
  <si>
    <t xml:space="preserve">Suministro e instalación Sistema de Tratamineto de Aguas Residuales Domesticas Integrados horizontal  de 3000 lts, incluye trampa de grasas de 250 lts, </t>
  </si>
  <si>
    <t>%MAT</t>
  </si>
  <si>
    <t xml:space="preserve">Suministro e instalación Sistema de Tratamineto de Aguas Residuales Domesticas Integrados horizontal  de 2400 lts, incluye trampa de grasas de 250 lts, </t>
  </si>
  <si>
    <t xml:space="preserve">Suministro e instalación Sistema de Tratamineto de Aguas Residuales Domesticas Integrados horizontal  de 4000 lts, incluye trampa de grasas de 250 lts, </t>
  </si>
  <si>
    <t>ALQUILER BODEGA</t>
  </si>
  <si>
    <t>MES</t>
  </si>
  <si>
    <t>Base y cañuela para cámara de inspección d = 1,50 m en concreto de 20,7 Mpa (3000 psi)</t>
  </si>
  <si>
    <t>Losa para cámara de inspección d = 1,50 m, en concreto de 20,7 Mpa, incluye refuerzo</t>
  </si>
  <si>
    <t>ITE022</t>
  </si>
  <si>
    <t>ITE023</t>
  </si>
  <si>
    <t>ITE96</t>
  </si>
  <si>
    <t>ITE97</t>
  </si>
  <si>
    <t>ITE98</t>
  </si>
  <si>
    <t>ITE99</t>
  </si>
  <si>
    <t>ITE258</t>
  </si>
  <si>
    <t>ITE259</t>
  </si>
  <si>
    <t>un</t>
  </si>
  <si>
    <t>Dìa</t>
  </si>
  <si>
    <t>Pozo de Absorción para tratamiento complementario STARD</t>
  </si>
  <si>
    <t>Zanja de infiltración para tratamiento complementario STARD incluye la Caja de Distribución</t>
  </si>
  <si>
    <t xml:space="preserve">Excavación en material común seco de 0 - 2 m </t>
  </si>
  <si>
    <t>Placa concreto contrapiso de 20,7 Mpa  e = 0,07 m</t>
  </si>
  <si>
    <t>MAT734</t>
  </si>
  <si>
    <t>MAT735</t>
  </si>
  <si>
    <t>MAT736</t>
  </si>
  <si>
    <t>kit Sistema de Tratamineto de Aguas Residuales Domesticas Prefabricado de 1000 lts ( Tanque 1000lts, tanque 1000 lts, falso fondo, trampa grasas 250 lts)</t>
  </si>
  <si>
    <t>MAT737</t>
  </si>
  <si>
    <t>Material filtrante Plastico (Roseton )</t>
  </si>
  <si>
    <t>ITE306</t>
  </si>
  <si>
    <t>ITE310</t>
  </si>
  <si>
    <t>ITE311</t>
  </si>
  <si>
    <t>ITE312</t>
  </si>
  <si>
    <t>ITE313</t>
  </si>
  <si>
    <t>ITE314</t>
  </si>
  <si>
    <t>ITE315</t>
  </si>
  <si>
    <t>ITE318</t>
  </si>
  <si>
    <t>ITE320</t>
  </si>
  <si>
    <t>ITE323</t>
  </si>
  <si>
    <t>ITE331</t>
  </si>
  <si>
    <t>ITE332</t>
  </si>
  <si>
    <t>ITE333</t>
  </si>
  <si>
    <t>ITE338</t>
  </si>
  <si>
    <t>ITE340</t>
  </si>
  <si>
    <t>ITE341</t>
  </si>
  <si>
    <t>ITE343</t>
  </si>
  <si>
    <t>ITE344</t>
  </si>
  <si>
    <t>ITE345</t>
  </si>
  <si>
    <t>ITE346</t>
  </si>
  <si>
    <t>ITE347</t>
  </si>
  <si>
    <t>ITE349</t>
  </si>
  <si>
    <t>ITE353</t>
  </si>
  <si>
    <t>ITE354</t>
  </si>
  <si>
    <t>ITE355</t>
  </si>
  <si>
    <t>ITE358</t>
  </si>
  <si>
    <t>ITE359</t>
  </si>
  <si>
    <t>ITE360</t>
  </si>
  <si>
    <t>ITE364</t>
  </si>
  <si>
    <t>ITE366</t>
  </si>
  <si>
    <t>ITE367</t>
  </si>
  <si>
    <t>ITE369</t>
  </si>
  <si>
    <t>ITE370</t>
  </si>
  <si>
    <t>ITE372</t>
  </si>
  <si>
    <t>ITE373</t>
  </si>
  <si>
    <t>ITE374</t>
  </si>
  <si>
    <t>ITE375</t>
  </si>
  <si>
    <t>ITE377</t>
  </si>
  <si>
    <t>ITE378</t>
  </si>
  <si>
    <t>ITE379</t>
  </si>
  <si>
    <t>ITE380</t>
  </si>
  <si>
    <t>ITE381</t>
  </si>
  <si>
    <t>ITE382</t>
  </si>
  <si>
    <t>ITE385</t>
  </si>
  <si>
    <t>ITE387</t>
  </si>
  <si>
    <t>ITE391</t>
  </si>
  <si>
    <t>ITE399</t>
  </si>
  <si>
    <t>ITE401</t>
  </si>
  <si>
    <t>ITE402</t>
  </si>
  <si>
    <t>ITE403</t>
  </si>
  <si>
    <t>ITE404</t>
  </si>
  <si>
    <t>ITE405</t>
  </si>
  <si>
    <t>ITE406</t>
  </si>
  <si>
    <t>ITE407</t>
  </si>
  <si>
    <t>ITE408</t>
  </si>
  <si>
    <t>ITE409</t>
  </si>
  <si>
    <t>ITE411</t>
  </si>
  <si>
    <t>ITE412</t>
  </si>
  <si>
    <t>ITE414</t>
  </si>
  <si>
    <t>ITE415</t>
  </si>
  <si>
    <t>ITE418</t>
  </si>
  <si>
    <t>ITE419</t>
  </si>
  <si>
    <t>ITE420</t>
  </si>
  <si>
    <t>ITE421</t>
  </si>
  <si>
    <t>ITE425</t>
  </si>
  <si>
    <t>ITE426</t>
  </si>
  <si>
    <t>ITE428</t>
  </si>
  <si>
    <t>ITE429</t>
  </si>
  <si>
    <t>ITE430</t>
  </si>
  <si>
    <t>ITE431</t>
  </si>
  <si>
    <t>ITE433</t>
  </si>
  <si>
    <t>ITE505</t>
  </si>
  <si>
    <t>ITE519</t>
  </si>
  <si>
    <t>ITE520</t>
  </si>
  <si>
    <t>ITE523</t>
  </si>
  <si>
    <t>ITE528</t>
  </si>
  <si>
    <t>ITE532</t>
  </si>
  <si>
    <t>Limpieza y pintura de mangles estructura principal con rojo colonial aceite de linaza y trementina Inc Decapado retiro pintura de los elementos</t>
  </si>
  <si>
    <t xml:space="preserve">Mantenimiento y limpieza conservación pasamanos en macana y cedro inc lijada sin decapado </t>
  </si>
  <si>
    <t xml:space="preserve">Pintura módulos gabinetes contra incendio inc protecciòn </t>
  </si>
  <si>
    <t>Reparación de puerta de  acceso, auditorio, dirección y sala de juntas refuerzo de bisagras, ajuste de madera y pintura (Se incluuye el arreglo de funcionamiento pero se debe incluir, el manenimiento de pintura. Lijado, impra y mezcla de aceite de linaza y trementina ( cambiar por bisagras pivotiadas))</t>
  </si>
  <si>
    <t>MOB025</t>
  </si>
  <si>
    <t>Cuadrilla L 1 Ebanista + 2 Ay (jornal + prestaciones)</t>
  </si>
  <si>
    <t>Ebanista</t>
  </si>
  <si>
    <t>Reparación y pintura puertas metálicas inc mantenimiento , funcionamiento y acabado</t>
  </si>
  <si>
    <t>Ajuste y Pintura puerta oficinas inc mantenimiento , funcionamiento y acabado</t>
  </si>
  <si>
    <t xml:space="preserve">Lavado interior y exterior del lucernario central de la cubierta y sellado de juntas de unión y remates con masilla de poliuretano tipo Sikaflex o similar incluye el servicio de alquiler de plataformas de trabajo articuladas certificadas y elementos de proteccion personal para el personal ( INTERNO Y EXTERNO) </t>
  </si>
  <si>
    <t>Recorrido de techos en teja de barro, debe incluir plataformas de acceso, y plataforma de circulación</t>
  </si>
  <si>
    <t>ITE533</t>
  </si>
  <si>
    <t>Desmonte techo y estructura de madera inc recuperaciòn</t>
  </si>
  <si>
    <t>Limpieza y pintura alero gris basalto estructura L= 0,40 altura de 8 mts del piso</t>
  </si>
  <si>
    <t>MAT738</t>
  </si>
  <si>
    <t xml:space="preserve">Perlinerìa metàlica Cal 14 </t>
  </si>
  <si>
    <t>MAT739</t>
  </si>
  <si>
    <t xml:space="preserve">Vigas IP alma llena </t>
  </si>
  <si>
    <t>MAT740</t>
  </si>
  <si>
    <t xml:space="preserve">Soldadura </t>
  </si>
  <si>
    <t>Cuadrilla Estructura Metalica de Soporte (jornal + prestaciones)</t>
  </si>
  <si>
    <t>Revisión y ajuste de tornillería Inc la revision del ajuste y control de torque</t>
  </si>
  <si>
    <t>Suministro de TAPA y CUELLO MH 70 MACIZA en polipropileno 100% recuperado COLOR VERDES</t>
  </si>
  <si>
    <t>Mantenimiento tanque recirculación espejo de agua</t>
  </si>
  <si>
    <t xml:space="preserve">Empaques arandelas y tuercas equipo recirculación lamina de agua </t>
  </si>
  <si>
    <t>ITE534</t>
  </si>
  <si>
    <t>MAT741</t>
  </si>
  <si>
    <t>Arena de silice o silica</t>
  </si>
  <si>
    <t>Empaques arandelas y tuercas equipo recirculación lamina de agua</t>
  </si>
  <si>
    <t>MAT742</t>
  </si>
  <si>
    <t>Impulsores motobombas de recirculación agua lamina de agua tipo monoblock marca IHM tipo caracol modelo 15H-2TW RSS</t>
  </si>
  <si>
    <t>MAT743</t>
  </si>
  <si>
    <t>Suministro e instalaciòn Impulsores motobombas de recirculación agua lamina de agua tipo monoblock marca IHM tipo caracol modelo 15H-2TW RSS</t>
  </si>
  <si>
    <t>ITE535</t>
  </si>
  <si>
    <t>ITE536</t>
  </si>
  <si>
    <t>Contactores SCHNEIDER LCD40+Amperaje 40</t>
  </si>
  <si>
    <t>MAT744</t>
  </si>
  <si>
    <t>Suministro e instalaciòn Contactores SCHNEIDER LCD40+Amperaje 40</t>
  </si>
  <si>
    <t>Suministro e instalaciòn pintura epòxica tuberìa</t>
  </si>
  <si>
    <t>MAT745</t>
  </si>
  <si>
    <t>Pintura alta temperatura</t>
  </si>
  <si>
    <t>Gal</t>
  </si>
  <si>
    <t xml:space="preserve">Suministro e Intalación Tubería 2" RDE 11 -llave de paso Tipo Cortina </t>
  </si>
  <si>
    <t>Suministro e Intalación Aireador para acuicultura con inyector agua aire tipo venturi caudal de 30 a 150 l/min</t>
  </si>
  <si>
    <t>Aireador para acuicultura con inyector agua aire tipo venturi caudal de 30 a 150 l/min</t>
  </si>
  <si>
    <t>Suministro e Intalación Tanque Hidrfloo</t>
  </si>
  <si>
    <t>Lavado y desinfección tanque almacenamiento agua</t>
  </si>
  <si>
    <t>Revisión y Mantenimiento Planta eléctrica principal Cumins 153 HP Modelo S023014</t>
  </si>
  <si>
    <t>Revisión y Mantenimiento Planta eléctrica Portatil Honda GX 270 9HP 5,8 KVA</t>
  </si>
  <si>
    <t>Revisión y Mantenimiento planta portatil Honda GX 200 6,5 HP 3 KVA</t>
  </si>
  <si>
    <t xml:space="preserve">Revisión y Mantenimiento Motobomba y sistema hidráulico de bombeo agua potable y sistema contra incendios </t>
  </si>
  <si>
    <t xml:space="preserve">Reparación y Ajuste plantas electricas, plantas portatiles, bombas, sistemas hidráulicos y sistemas contra incendios </t>
  </si>
  <si>
    <t>Aceite para motor 15w40 diessel</t>
  </si>
  <si>
    <t>Filtro de aire AH100</t>
  </si>
  <si>
    <t>Filtro de aceite LF3000</t>
  </si>
  <si>
    <t>Filtro de combustible FS1280</t>
  </si>
  <si>
    <t>Filtro de combustible BF988</t>
  </si>
  <si>
    <t>Filtro de agua P552171</t>
  </si>
  <si>
    <t>Rodamiento 6307</t>
  </si>
  <si>
    <t>Rodamiento 6208</t>
  </si>
  <si>
    <t>Rodamiento 6206</t>
  </si>
  <si>
    <t>Rodamiento 6205</t>
  </si>
  <si>
    <t>MAT746</t>
  </si>
  <si>
    <t>Rodamiento 6202</t>
  </si>
  <si>
    <t>MAT747</t>
  </si>
  <si>
    <t>Rodamiento 6203</t>
  </si>
  <si>
    <t>Sellos mecánicos 11/4" RL</t>
  </si>
  <si>
    <t>MAT749</t>
  </si>
  <si>
    <t>Sellos mecánicos 5/8" RL</t>
  </si>
  <si>
    <t>MAT751</t>
  </si>
  <si>
    <t xml:space="preserve">Bujes en bronce para sellos mecánicos </t>
  </si>
  <si>
    <t>Pintura epoxica tuberia y recuperación soportes</t>
  </si>
  <si>
    <t>MAT752</t>
  </si>
  <si>
    <t>Reparación soportes y bases exosto</t>
  </si>
  <si>
    <t>Soportes y bases exosto</t>
  </si>
  <si>
    <t>Construcción tanque contención derrames</t>
  </si>
  <si>
    <t>Recuperación piso cuarto de maquinas</t>
  </si>
  <si>
    <t>ITE539</t>
  </si>
  <si>
    <t>ITE540</t>
  </si>
  <si>
    <t>Tanque hidroneumatico 500 lts con membrana intercambiable, presion maxima 116 PSI y temperatura maxima de 99°C Modelo VT500</t>
  </si>
  <si>
    <t>ITE543</t>
  </si>
  <si>
    <t>ITE545</t>
  </si>
  <si>
    <t>MAT750</t>
  </si>
  <si>
    <t>MAT754</t>
  </si>
  <si>
    <t>MAT755</t>
  </si>
  <si>
    <t>MAT756</t>
  </si>
  <si>
    <t>MAT757</t>
  </si>
  <si>
    <t>MAT758</t>
  </si>
  <si>
    <t>MAT759</t>
  </si>
  <si>
    <t>MAT760</t>
  </si>
  <si>
    <t>MAT761</t>
  </si>
  <si>
    <t>MAT762</t>
  </si>
  <si>
    <t>MAT763</t>
  </si>
  <si>
    <t>ITE547</t>
  </si>
  <si>
    <t>ITE548</t>
  </si>
  <si>
    <t>ITE550</t>
  </si>
  <si>
    <t>MAT764</t>
  </si>
  <si>
    <t>MAT765</t>
  </si>
  <si>
    <t>Solenoide planta electrica Cumins</t>
  </si>
  <si>
    <t>Baterìa 8D-1800</t>
  </si>
  <si>
    <t>MAT766</t>
  </si>
  <si>
    <t>Baterìa 8D-1500</t>
  </si>
  <si>
    <t>Suministro e instalaciòn solenoide regulador y 2 baterias para planta elèctrica cumins</t>
  </si>
  <si>
    <t>Suministro e instalaciòn  solenoide regulador para planta electrica cumins</t>
  </si>
  <si>
    <t>MAT768</t>
  </si>
  <si>
    <t>Led Driver 40W 1000mA 100-277v silvana</t>
  </si>
  <si>
    <t>MAT769</t>
  </si>
  <si>
    <t xml:space="preserve">Reflector JETA LED 30W 2550 Lm 6500K 100 - 240 v </t>
  </si>
  <si>
    <t>GL</t>
  </si>
  <si>
    <t>Formaleta Metalica</t>
  </si>
  <si>
    <t>EQU065</t>
  </si>
  <si>
    <t>%</t>
  </si>
  <si>
    <t>Comisión topografía (topógrafo + Cadenero 1 + 2 Cadeneros 2) inc escolta</t>
  </si>
  <si>
    <t>Vigilante</t>
  </si>
  <si>
    <t>Comisión topografía (topógrafo + Cadenero 1 + 2 Cadeneros 2) Inc escolta</t>
  </si>
  <si>
    <t>eslinga y arnes</t>
  </si>
  <si>
    <t>Excavación en material común seco de 1,5 - 4 m manual</t>
  </si>
  <si>
    <t>Excavación en material común seco de 0 - 1,5 m manual</t>
  </si>
  <si>
    <t>Excavación en material común bajo agua de 0 - 1,5 m manual</t>
  </si>
  <si>
    <t>Excavación en material común bajo agua de 1,5 - 4 m manual</t>
  </si>
  <si>
    <t>Excavación en conglomerado seco de 0 - 1,5 m manual</t>
  </si>
  <si>
    <t>Excavación en conglomerado seco de 1,5 - 4 m manual</t>
  </si>
  <si>
    <t>Excavación en conglomerado bajo agua de 0 - 1,5 m manual</t>
  </si>
  <si>
    <t>Excavación en conglomerado bajo agua de 1,5 - 4 m manual</t>
  </si>
  <si>
    <t>Terraplén con material del sitio mecanico</t>
  </si>
  <si>
    <t>Terraplén con material transportado mecanico</t>
  </si>
  <si>
    <t>Material granular SBG A TIPO INVIAS</t>
  </si>
  <si>
    <t>Cilindro compactador vibratorio Dynapac 7 ton</t>
  </si>
  <si>
    <t>Retiro de material sobrante cargue manual y disposiciòn en sitio autorizado</t>
  </si>
  <si>
    <t>EQU066</t>
  </si>
  <si>
    <t xml:space="preserve">Costo sitio de disposiciòn </t>
  </si>
  <si>
    <t>Retiro de material con cargue mecánico y disposiciòn en sitio autorizado</t>
  </si>
  <si>
    <t>Alquiler de  camioneta Mod. &gt; 2018 de 3.000 o mas c. c., con conductor</t>
  </si>
  <si>
    <t>Malla de gallinero 3/4 hexagonal</t>
  </si>
  <si>
    <t>https://www.homecenter.com.co/homecenter-co/category/cat1680188</t>
  </si>
  <si>
    <t xml:space="preserve">Removedor para pinturasacas acrílicas, Nitrocelulósicas, barnices, pinturas alquídicas, epoxipoliamida, etc  1/4 Gl </t>
  </si>
  <si>
    <t>Teja ondulada de fibrocemento</t>
  </si>
  <si>
    <t xml:space="preserve">set de fijaciòn teja </t>
  </si>
  <si>
    <t>Teja PVC espesor 1,3mm o similar</t>
  </si>
  <si>
    <t>MAT045-2</t>
  </si>
  <si>
    <t>https://pinturasalgreco.com</t>
  </si>
  <si>
    <t> info@ingepol.com</t>
  </si>
  <si>
    <t>www.canteracombia.co</t>
  </si>
  <si>
    <t>Cinta aislante 3/4 15m 18mm</t>
  </si>
  <si>
    <t>Vidrio de 4 mm templado</t>
  </si>
  <si>
    <t>http://www.colombia.generadordeprecios.info/obra_nueva</t>
  </si>
  <si>
    <t>https://aconstructoras.com/product_info.php?products_id=5073</t>
  </si>
  <si>
    <t>https://www.easy.com.co/</t>
  </si>
  <si>
    <t>file:///C:/Users/57310/Desktop/CARDER-trabajo%20en%20casa/Precios%20unitarios/listadepreciosDurman%20Tuberias%20concreto.pdf</t>
  </si>
  <si>
    <t>https://www.concisa.com.co/portafolio-de-productos/alcantarillado/</t>
  </si>
  <si>
    <t>https://pavcowavin.com.co/lista-de-precios</t>
  </si>
  <si>
    <t>Niple de HG de 1/2" de 38 cm</t>
  </si>
  <si>
    <t>https://www.invesa.com/product/triple-duty/</t>
  </si>
  <si>
    <t>https://www.iesacr.com/shop?search=precio+Led+Driver+40W+1000mA+100-277v+silvana&amp;order=</t>
  </si>
  <si>
    <t>https://www.ledbox.es/iluminacion-led/driver-led</t>
  </si>
  <si>
    <t>https://toolman.com.mx/tanques-pedrollo/145-tanque-hidroneumatico-pedrollo-500-litros-vertical.html</t>
  </si>
  <si>
    <t>https://www.agriexpo.online/es/prod/acquaeco/product-185909-106295.html</t>
  </si>
  <si>
    <t>https://www.hydroflomen.com/tienda/categoria/repuestos/impulsores-bombas/</t>
  </si>
  <si>
    <t>https://www.almacencanaima.com/producto/948/pirlan-en-bronce</t>
  </si>
  <si>
    <t>https://www.prepeniel.com/postes/postes-para-cerca</t>
  </si>
  <si>
    <t>https://tienda.fajobe.com.co/producto/lamina-cold-rolled-calibre-22-4x8/</t>
  </si>
  <si>
    <t>https://www.almacencanaima.com/producto/487/tablon-romano</t>
  </si>
  <si>
    <t>https://www.grival.com/soluciones-para-agua/llaves-terminales/llaves-para-jardin/llave-jardin-pesada/</t>
  </si>
  <si>
    <t>https://www.ceramicaitalia.com/ceramica-italia/2068-exterior-turin</t>
  </si>
  <si>
    <t>niples pereira</t>
  </si>
  <si>
    <t>http://madelistas.blogspot.com/p/medidas-largueros-alfardas-351-mt-8.html</t>
  </si>
  <si>
    <t>https://www.ceramicaitalia.com/ceramica-italia/2098-torazo-beige-60x60-</t>
  </si>
  <si>
    <t>https://www.coursehero.com/file/p3vg4rp1/Tuber%C3%ADa-en-concreto-vibrada-reforzada-uni%C3%B3n-caucho-de-30-C-2-M-498496-ITE636/</t>
  </si>
  <si>
    <t>https://interelectricas.com.co/postes-de-concreto-y-metalicos/2398-poste-de-concreto-pretensado-de-12-metros-510-kg.html</t>
  </si>
  <si>
    <t>https://formaselectricas.com/producto/varilla-cooper-weld-de-14-28mm-x-240-de-cobre-macizo/</t>
  </si>
  <si>
    <t>http://www.colombia.generadordeprecios.info/obra_nueva/Instalaciones/Contra_incendios/Sistemas_de_abastecimiento_de_agua/Hidrante.html</t>
  </si>
  <si>
    <t>https://www.apolo.net.co/wp-content/uploads/2021/03/LISTA-DE-PRECIOS-APOLO-2021-PDF-1.pdf</t>
  </si>
  <si>
    <t>https://inversionesproin.com/product/adaptador-pvc-2-1-2-presion-hembra/</t>
  </si>
  <si>
    <t>https://tienda.fajobe.com.co/producto/lamina-cold-rolled-calibre-20-0-85-mm-4x8/</t>
  </si>
  <si>
    <t>https://www.acecomaderas.com/search?q=Kit+Silla+Yee+PVC+de+pared+estructural+250X110</t>
  </si>
  <si>
    <t>https://inversionesproin.com/product/kit-silla-yee-pvc-315-x-160-mm/</t>
  </si>
  <si>
    <t>https://interelectricas.com.co/transformadores/2390-transformador-trifasico-en-aceite-de-1125-kva-13200-v-208-122-v-plena-magnetron.html</t>
  </si>
  <si>
    <t>https://corona.co/productos/griferias/griferias-institucionales/valvula-para-sanitario-flujo-ajustable/p/706330001</t>
  </si>
  <si>
    <t>https://penalosa.com.co/buscador/1/A-Z/soldadura_pvc</t>
  </si>
  <si>
    <t>https://tienda.fibrasynormasdecolombia.com/producto/tanque-septico-horizontal-2400-lts/</t>
  </si>
  <si>
    <t>https://www.almacencanaima.com/producto/310/trampa-de-grasa-250-litros-con-tapa</t>
  </si>
  <si>
    <t xml:space="preserve">Emulsión asfáltica para impermeabilizarEmulsión Asfáltica Sika, </t>
  </si>
  <si>
    <t>Tubería 6" presión RDE 21, PRESION 200PSI</t>
  </si>
  <si>
    <t>https://acuatecnica.com/sistema-tratamiento-aguas-residuales-domesticas/</t>
  </si>
  <si>
    <t>Geotextil tejido 3000-4000 TR</t>
  </si>
  <si>
    <t>Excavación sin clasificar de la explanación (mecánica) 100m</t>
  </si>
  <si>
    <t>Remoción mecánica de derrumbes, incluye retiro y disposiciòn</t>
  </si>
  <si>
    <t>MAT033-1</t>
  </si>
  <si>
    <t>Plántula con especies diferentes, altura promedio 0.25 VIVERO REGISTRADO</t>
  </si>
  <si>
    <t>Fertilizante Tipo DAP,10-30-10, Triple Quince</t>
  </si>
  <si>
    <t xml:space="preserve">Poste de madera 8*8" h = 2 m. revoltura media </t>
  </si>
  <si>
    <t>https://www.caficultoresaguadas.com/es/fertilizantes-PG32</t>
  </si>
  <si>
    <t>https://medioambiente.uexternado.edu.co/resolucion-353-de-2017-por-la-cual-se-determina-el-valor-promedio-nacional-de-los-costos-totales-netos-de-establecimiento-y-mantenimiento-por-hectarea-de-bosque-plantado-se-fija-la-cuantia-m/</t>
  </si>
  <si>
    <t>https://guaduabambucolombia.wordpress.com/guadua-inmunizada-2/</t>
  </si>
  <si>
    <t>Actualización con base en oficio de precios del vivero de la UTP</t>
  </si>
  <si>
    <t>https://www.caficultoresaguadas.com/es/ipaginas/ver/G39/32/fertilizantes/</t>
  </si>
  <si>
    <t>Cotización  Agencia de Maderas El Guadual - Pereira</t>
  </si>
  <si>
    <t>Cotización  Gran Ferretería de Pereira 22-01-2022</t>
  </si>
  <si>
    <t>sgat03/escritorio/trabajoencas/preciosunitarios/apus_risaralda_2021_1 INVIAS</t>
  </si>
  <si>
    <t>https://www.invias.gov.co/index.php/informacion-institucional/hechos-de-transparencia/analisis-de-precio-unitarios#risaralda</t>
  </si>
  <si>
    <t>Cerramiento en poste de madera y alambre de púas, incluye excavación y machones en concreto de 20,7 Mpa (3.000 psi), 5 hilos</t>
  </si>
  <si>
    <t>Estuco Plastico topex o similar</t>
  </si>
  <si>
    <t>https://www.aconstructoras.com/index.php?sig=1</t>
  </si>
  <si>
    <t>ITE339-1</t>
  </si>
  <si>
    <t>https://www.pretolsa.com/postes-en-concreto/</t>
  </si>
  <si>
    <t>https://ecolite.com.co/</t>
  </si>
  <si>
    <t>Recuperación Techo en teja de barro, incluye manto impermeabilizante, esterilla y mortero 1:3 impermeabilizado- Inc Teja de barro al 17%Teniendo en cuenta que el techo esta armado como una unidad se debe determinar áreas completas para cortar el hierro de soporte y amarre de la teja de barro. Se debe disponer de soporte de la estructura</t>
  </si>
  <si>
    <t>Teja de zinc ondulada de 2,438 m x 0,80 m C 34</t>
  </si>
  <si>
    <t>Recuperación paredes cuarto de maquinas</t>
  </si>
  <si>
    <t>sgat03/escritorio/trabajoencas/preciosunitarios</t>
  </si>
  <si>
    <t>sgat03/escritorio/trabajoencas/preciosunitarios/ase Precios de Referencia _Alcaldia de Pereira_ JUNIO 21-2021 S.F.</t>
  </si>
  <si>
    <t>https://www.almacencanaima.com/producto/309/sistema-septico-de-2000-litros-completo</t>
  </si>
  <si>
    <t>Tanque Séptico Imhoff Integrado Horizontal 2000 Litros Tapa Acce. Dec. Verde Colempaques inc dos camaras y filtro anaerobio de flujo ascendente</t>
  </si>
  <si>
    <t>MAT735-1</t>
  </si>
  <si>
    <t>ITE413</t>
  </si>
  <si>
    <t>Muro en tierra reforzado con geotextil menor a 6 mts</t>
  </si>
  <si>
    <t>M3-Km</t>
  </si>
  <si>
    <t>Restitución con afirmado y cemento 1 % del peso</t>
  </si>
  <si>
    <t>Gramoquin  29*43*10 concreto</t>
  </si>
  <si>
    <t>MAT723-1</t>
  </si>
  <si>
    <t>Gramoquin</t>
  </si>
  <si>
    <t>ITE499-1</t>
  </si>
  <si>
    <t>Suministro e instalación Tubería PVC de alcantarillado de pared estructural d = 39", exterior corrugado (Novafort)</t>
  </si>
  <si>
    <t>ITE351-1</t>
  </si>
  <si>
    <t>B</t>
  </si>
  <si>
    <t>ITE439-1</t>
  </si>
  <si>
    <t>Entibado Tunel Minero, incluye refuerzo con eucalipto. Ø27"-39", Sección 2,55x2,45; No incluye Excavación, lleno, instalación de tubería</t>
  </si>
  <si>
    <t>Tronco redondo de eucalipto L=2,5 Ø=0,15 mts </t>
  </si>
  <si>
    <t>Acarreo Horizontal</t>
  </si>
  <si>
    <t>EQU085</t>
  </si>
  <si>
    <t>Ventiladores y extractores de aire </t>
  </si>
  <si>
    <t>dia</t>
  </si>
  <si>
    <t>EQU086</t>
  </si>
  <si>
    <t>Equipo de iluminación para túnel cada 100 mts</t>
  </si>
  <si>
    <t>Herramienta menor</t>
  </si>
  <si>
    <t>Motosierra</t>
  </si>
  <si>
    <t>EQU072</t>
  </si>
  <si>
    <t xml:space="preserve">MOTOBOMBA SUMERGIBLE 3" CON MANGUERA                                                                                    </t>
  </si>
  <si>
    <t>DIA</t>
  </si>
  <si>
    <t>EQU087</t>
  </si>
  <si>
    <t>Consumo energetico</t>
  </si>
  <si>
    <t>%equipo</t>
  </si>
  <si>
    <t>ITE518-1</t>
  </si>
  <si>
    <t xml:space="preserve">Mantenimiento silvicultural de guaduales urbanos inc poda, desganche, extracción guaduas secas-caidas, limpieza vegetal y asistencia tècnica </t>
  </si>
  <si>
    <t xml:space="preserve">Transporte de materiales extracción guadual </t>
  </si>
  <si>
    <t>MAT688-3</t>
  </si>
  <si>
    <t>Tanque con tapa parar separar las grasas y jabones 95 lts</t>
  </si>
  <si>
    <t>Acero Fy = 37.000 psi d=1/4"</t>
  </si>
  <si>
    <t>ITE041-1</t>
  </si>
  <si>
    <t>Muro en afirmado reforzado con geotextil H menor 6 mts</t>
  </si>
  <si>
    <r>
      <t>Perforación Hzta para drenes y/o anclajes</t>
    </r>
    <r>
      <rPr>
        <b/>
        <sz val="12"/>
        <rFont val="Arial"/>
        <family val="2"/>
      </rPr>
      <t xml:space="preserve"> </t>
    </r>
    <r>
      <rPr>
        <b/>
        <sz val="12"/>
        <rFont val="Calibri"/>
        <family val="2"/>
      </rPr>
      <t>ø</t>
    </r>
    <r>
      <rPr>
        <b/>
        <sz val="12"/>
        <rFont val="Arial"/>
        <family val="2"/>
      </rPr>
      <t xml:space="preserve"> </t>
    </r>
    <r>
      <rPr>
        <b/>
        <sz val="12"/>
        <rFont val="Calibri"/>
        <family val="2"/>
      </rPr>
      <t xml:space="preserve">≤ 4" suelo </t>
    </r>
  </si>
  <si>
    <t>MAT770</t>
  </si>
  <si>
    <t>EQU067</t>
  </si>
  <si>
    <t>día</t>
  </si>
  <si>
    <t>Trampa de Grasa 250 Litros ROTOPLAST</t>
  </si>
  <si>
    <t>Sistema de Tratamiento de Aguas Residuales Domesticas prefabricado de 5000 lts, incluye trampa de grasas de 250 lts, tanque séptico de 2000 lts y 1000 lts, tanque anaeróbico de 2000 lts y falso fondo</t>
  </si>
  <si>
    <t>MAT687-2</t>
  </si>
  <si>
    <t>Sistema Séptico 1000 Litros</t>
  </si>
  <si>
    <t>Teja PVC - fibra de vidrio tipo polietileno</t>
  </si>
  <si>
    <r>
      <t>Manguera de polietileno de alta densidad PN 10</t>
    </r>
    <r>
      <rPr>
        <b/>
        <sz val="16"/>
        <rFont val="Arial"/>
        <family val="2"/>
      </rPr>
      <t xml:space="preserve"> </t>
    </r>
    <r>
      <rPr>
        <sz val="16"/>
        <rFont val="Calibri"/>
        <family val="2"/>
      </rPr>
      <t>ø:</t>
    </r>
    <r>
      <rPr>
        <b/>
        <sz val="16"/>
        <rFont val="Calibri"/>
        <family val="2"/>
      </rPr>
      <t xml:space="preserve"> </t>
    </r>
    <r>
      <rPr>
        <b/>
        <sz val="10"/>
        <rFont val="Arial"/>
        <family val="2"/>
      </rPr>
      <t xml:space="preserve">63 mm </t>
    </r>
  </si>
  <si>
    <r>
      <t>Manguera de polietileno de alta densidad PN 10</t>
    </r>
    <r>
      <rPr>
        <b/>
        <sz val="16"/>
        <rFont val="Arial"/>
        <family val="2"/>
      </rPr>
      <t xml:space="preserve"> </t>
    </r>
    <r>
      <rPr>
        <sz val="16"/>
        <rFont val="Calibri"/>
        <family val="2"/>
      </rPr>
      <t>ø:</t>
    </r>
    <r>
      <rPr>
        <b/>
        <sz val="16"/>
        <rFont val="Calibri"/>
        <family val="2"/>
      </rPr>
      <t xml:space="preserve"> </t>
    </r>
    <r>
      <rPr>
        <b/>
        <sz val="10"/>
        <rFont val="Arial"/>
        <family val="2"/>
      </rPr>
      <t xml:space="preserve">32 mm </t>
    </r>
  </si>
  <si>
    <t xml:space="preserve">Accesorio unión Manguera de polietileno de alta densidad PN 10 ø: 32 mm </t>
  </si>
  <si>
    <t xml:space="preserve">Accesorio unión Manguera de polietileno de alta densidad PN 10 ø: 63 mm </t>
  </si>
  <si>
    <t>0</t>
  </si>
  <si>
    <t xml:space="preserve">Transporte Decomiso Material &gt; 40 Km </t>
  </si>
  <si>
    <t>Ton-Km</t>
  </si>
  <si>
    <t>EQU010-1</t>
  </si>
  <si>
    <t xml:space="preserve">Viaje Tracto Camión </t>
  </si>
  <si>
    <t xml:space="preserve">Cargue y descargue Decomisos </t>
  </si>
  <si>
    <t>Cargue y Descargue Decomisos Madera</t>
  </si>
  <si>
    <t>Pieza</t>
  </si>
  <si>
    <t>PERSONAL PROFESIONAL
Riesgo Clase V</t>
  </si>
  <si>
    <t>Limpieza y protecciòn superficies ( desmanche, protecciòn, barrida y recolecciòn basuras )</t>
  </si>
  <si>
    <t>Cerramiento en poste de madera dura  3 hilos de alambre de púas</t>
  </si>
  <si>
    <t>Corte y cargue lodos con máquina</t>
  </si>
  <si>
    <t>Cerramiento en poste de madera C/2mts, 6 hilos de alambre de púas sin estacon</t>
  </si>
  <si>
    <t>ITE655-1</t>
  </si>
  <si>
    <t>Suministro e instalación kit Sistema de Tratamineto de Aguas Residuales Domomesticas Prefabricado de 5000 lts, incluye trampa de grasas de 250 lts, tanque séptico de 2000 lts, tanque anaeróbico de 2000 lts y falso fondo</t>
  </si>
  <si>
    <t>Transporte a hombro ( Cg /km)</t>
  </si>
  <si>
    <t>MAT085-1</t>
  </si>
  <si>
    <t>Bacteria trampa grasas o septico</t>
  </si>
  <si>
    <t>ITE413-1</t>
  </si>
  <si>
    <t xml:space="preserve">Acciones de intervención integral para mejoramiento de corredores ambientales urbanos </t>
  </si>
  <si>
    <t>Plantula especies varias nativas H:1,00 m</t>
  </si>
  <si>
    <t>AÑO 2025</t>
  </si>
  <si>
    <t>Salario Mínimo 2025 :  $ 1423500</t>
  </si>
  <si>
    <t>Subsidio de Transporte: Tienen derecho hasta dos salarios mínimos o sea $2847000 y el valor es de  $ 200000</t>
  </si>
  <si>
    <t>Salario Mínimo Mensual Legal Vigente año 2025</t>
  </si>
  <si>
    <t>VALOR UNITARIO 2025</t>
  </si>
  <si>
    <t> Cotización de HOCAM del 25 de enero de 2025</t>
  </si>
  <si>
    <t>Sistema Séptico 5000 Litros (septico de 2000 + Septico de 1000+ tanque filtro de 2000 +Falso fondo+Trampa de grasas de 250lts )</t>
  </si>
  <si>
    <t xml:space="preserve">Tecnico Administrativo </t>
  </si>
  <si>
    <t xml:space="preserve">Auxiliar Administrativo </t>
  </si>
  <si>
    <t>ANALISIS DE PRECIOS UNITARIOS DE REFERENCIA 2025</t>
  </si>
  <si>
    <t>PRESUPUESTO OFICIAL</t>
  </si>
  <si>
    <t>CONDICIONES GENERALES</t>
  </si>
  <si>
    <t>DESCRIPCION</t>
  </si>
  <si>
    <t>Cant</t>
  </si>
  <si>
    <t xml:space="preserve"> Vr. Unitario </t>
  </si>
  <si>
    <t xml:space="preserve">Vr. Parcial </t>
  </si>
  <si>
    <t xml:space="preserve"> COSTO DIRECTO </t>
  </si>
  <si>
    <t xml:space="preserve">COSTO TOTAL OBRA </t>
  </si>
  <si>
    <t>Obras de reforestación, mantenimiento y aislamiento en zonas de restauración y preservación por ser fajas paralelas a cuerpos de agua, en el marco del Acuerdo CARDER 035 de 2021</t>
  </si>
  <si>
    <t>Restauración</t>
  </si>
  <si>
    <t>DESGLOCE DEL A.U</t>
  </si>
  <si>
    <t xml:space="preserve">COSTOS DIRECTOS </t>
  </si>
  <si>
    <t>DURACION DE LA OBRA</t>
  </si>
  <si>
    <t>30 DIAS CALENDARIO= 1 MESES</t>
  </si>
  <si>
    <t>UND</t>
  </si>
  <si>
    <t>VALOR UNIT</t>
  </si>
  <si>
    <t>DEDICACION</t>
  </si>
  <si>
    <t>VR / TOTAL</t>
  </si>
  <si>
    <t>ADMINISTRACION</t>
  </si>
  <si>
    <t>PERSONAL ADMINISTRATIVO (CON VINCULACIÓN) MAYOR 2 SMMLV</t>
  </si>
  <si>
    <t>Subtotal</t>
  </si>
  <si>
    <t>PRESTACIONES</t>
  </si>
  <si>
    <t>SUBTOTAL  PERSONAL ADMINISTRATIVO</t>
  </si>
  <si>
    <t>PERSONAL ADMINISTRATIVO (SIN VINCULACIÓN) ASESORES</t>
  </si>
  <si>
    <t>Asesor en seguridad industrial y salud ocupacional</t>
  </si>
  <si>
    <t>GASTOS ADMINISTRATIVOS</t>
  </si>
  <si>
    <t>N/A</t>
  </si>
  <si>
    <t>SUBTOTAL  GASTOS ADMINISTRATIVOS</t>
  </si>
  <si>
    <t>IMPUESTOS</t>
  </si>
  <si>
    <t>Contribución prouniversidad</t>
  </si>
  <si>
    <t>% VLR CONT</t>
  </si>
  <si>
    <t xml:space="preserve">Retención contrato de obra </t>
  </si>
  <si>
    <t xml:space="preserve">Retención industria y comercio </t>
  </si>
  <si>
    <t>Contribución especial obra publica</t>
  </si>
  <si>
    <t xml:space="preserve">Retención de iva </t>
  </si>
  <si>
    <t>Polizas</t>
  </si>
  <si>
    <t>SUBTOTAL  GASTOS IMPUESTOS Y POLIZAS</t>
  </si>
  <si>
    <t>TOTAL GASTOS ADMINISTRACION</t>
  </si>
  <si>
    <t xml:space="preserve">UTILIDAD                                                      </t>
  </si>
  <si>
    <t xml:space="preserve">TOTAL A.U.                                                </t>
  </si>
  <si>
    <t>REFORESTACIÓN, RESTAURACIÓN Y DEMARCACIÓN DE FAJAS</t>
  </si>
  <si>
    <t>Reforestación faja de protección</t>
  </si>
  <si>
    <t>CRONOGRAMA</t>
  </si>
  <si>
    <t>MES 1</t>
  </si>
  <si>
    <t>MES 2</t>
  </si>
  <si>
    <t>MES 3</t>
  </si>
  <si>
    <t>MES 4</t>
  </si>
  <si>
    <t>MES 5</t>
  </si>
  <si>
    <t>MES 6</t>
  </si>
  <si>
    <t>MES 7</t>
  </si>
  <si>
    <t>Visitas de caracterización zonas a restaurar</t>
  </si>
  <si>
    <t>Mantenimiento de arboles sembrados</t>
  </si>
  <si>
    <t>Mantenimiento de la reforestación</t>
  </si>
  <si>
    <t>REFORESTACIÓN</t>
  </si>
  <si>
    <t>RESTAURACIÓN</t>
  </si>
  <si>
    <t>Coordinador Forestal</t>
  </si>
  <si>
    <t>Técnologo Forestal o Agroforestal dedicación</t>
  </si>
  <si>
    <t>Trabajador Social dedicación</t>
  </si>
  <si>
    <t>Botiquin primeros auxilios</t>
  </si>
  <si>
    <t>Unidad</t>
  </si>
  <si>
    <t xml:space="preserve">Duración:  6 meses
</t>
  </si>
  <si>
    <t>}</t>
  </si>
  <si>
    <t>PERSONAL TÉCNICO (SIN VINCULACIÓN)</t>
  </si>
  <si>
    <t>AU</t>
  </si>
  <si>
    <t xml:space="preserve">Restaurar 8 ha con 200 arboles/ha </t>
  </si>
  <si>
    <t>RESOLUCIÓN ADMINISTRATIVA N. 0123 DEL 25 DE FEBRERO DE 2022 "POR MEDIO DE LA CUAL SE ADOPTA LA BASE DE PRECIOS UNITARIOS PARA LA EJECUCIÓN DE CONTRATOS DE OBRA Y SE DICTAN OTRAS DISPOSICIONES".</t>
  </si>
  <si>
    <t>La Corporación suscribió y ejecutó el Convenio Interadministrativo N. 938-2022 con la Corporación Masbosques cuyo objeto fue "“Aunar esfuerzos técnicos, administrativos y financieros entre la CORPORACION AUTONOMA REGIONAL DE RISARALDA CARDER y la CORPORACIÓN PARA EL MANEJO SOSTENIBLE DE LOS BOSQUES “MASBOSQUES” para ejecutar obras de reforestación y primer mantenimiento, aislamiento, fortalecimiento de viveros, y adelantar un
procedimiento para desembolsar los recursos de incentivos económicos para la preservación y recuperación de ecosistemas, en el marco del proyecto denominado “RECUPERACIÓN DE ÁREAS
DE IMPORTANCIA AMBIENTAL EN CUENCAS ABASTECEDORAS DE ACUEDUCTOS DEL DEPARTAMENTO DE RISARALDA” aprobado por el FONAM”, donde estableció basado en la Resolución administrativa 0123 de 2022 los valores unitarios para establecer la plantación de material vegetal y ejecutar el primer mantenimiento, basados en el ITEM 413 de los mismos.  Tomando esta información como referencia para el año 2025 y basados en la Resolución administrastiva N. 0054 del 5 de febrero de 2025 se determina el valor unitario para para establecer la plantación de material vegetal y ejecutar el primer mantenimiento</t>
  </si>
  <si>
    <t>Ejecutar el primer mantenimiento</t>
  </si>
  <si>
    <t>Establecer la plantación de material vegetal (ITEM 413)</t>
  </si>
  <si>
    <t>Valor total</t>
  </si>
  <si>
    <t>En tal sentido para el año 2025 sería</t>
  </si>
  <si>
    <t>Basados en ITEM 413</t>
  </si>
  <si>
    <t>Establecimiento plantación + 1 mantenimiento</t>
  </si>
  <si>
    <t>Reforestar 3,3 ha faja el Manzano con Resolución CARDER</t>
  </si>
  <si>
    <t>Visitas de caracterización zonas a reforestar</t>
  </si>
  <si>
    <t>SE DEBE PEGAR EL ENCABEZADO PARA SABER CADA VALOR A QUE HACE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</si>
</sst>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0">
    <numFmt numFmtId="6" formatCode="&quot;$&quot;\ #,##0;[Red]\-&quot;$&quot;\ #,##0"/>
    <numFmt numFmtId="8" formatCode="&quot;$&quot;\ #,##0.00;[Red]\-&quot;$&quot;\ #,##0.00"/>
    <numFmt numFmtId="42" formatCode="_-&quot;$&quot;\ * #,##0_-;\-&quot;$&quot;\ * #,##0_-;_-&quot;$&quot;\ * &quot;-&quot;_-;_-@_-"/>
    <numFmt numFmtId="164" formatCode="_(* #,##0.00_);_(* \(#,##0.00\);_(* &quot;-&quot;??_);_(@_)"/>
    <numFmt numFmtId="165" formatCode="_(&quot;$&quot;\ * #,##0.00_);_(&quot;$&quot;\ * \(#,##0.00\);_(&quot;$&quot;\ * &quot;-&quot;??_);_(@_)"/>
    <numFmt numFmtId="166" formatCode="_-* #,##0.00\ _€_-;\-* #,##0.00\ _€_-;_-* &quot;-&quot;??\ _€_-;_-@_-"/>
    <numFmt numFmtId="167" formatCode="[&lt;=9999999]###\-####;###\-###\-####"/>
    <numFmt numFmtId="168" formatCode="#,##0.000"/>
    <numFmt numFmtId="169" formatCode="_ &quot;$&quot;\ * #,##0_ ;_ &quot;$&quot;\ * \-#,##0_ ;_ &quot;$&quot;\ * &quot;-&quot;??_ ;_ @_ "/>
    <numFmt numFmtId="170" formatCode="#,##0_ ;\-#,##0\ "/>
    <numFmt numFmtId="171" formatCode="#,##0.000\ _€;\-#,##0.000\ _€"/>
    <numFmt numFmtId="172" formatCode="#,##0.0000\ _€;\-#,##0.0000\ _€"/>
    <numFmt numFmtId="173" formatCode="_-* #,##0.000\ _€_-;\-* #,##0.000\ _€_-;_-* &quot;-&quot;??\ _€_-;_-@_-"/>
    <numFmt numFmtId="174" formatCode="_-* #,##0.0000\ _€_-;\-* #,##0.0000\ _€_-;_-* &quot;-&quot;??\ _€_-;_-@_-"/>
    <numFmt numFmtId="175" formatCode="0.0%"/>
    <numFmt numFmtId="176" formatCode="#,##0.000_ ;\-#,##0.000\ "/>
    <numFmt numFmtId="177" formatCode="0.000"/>
    <numFmt numFmtId="178" formatCode="#,##0.0000_);\(#,##0.0000\)"/>
    <numFmt numFmtId="179" formatCode="_-* #,##0.00000\ _€_-;\-* #,##0.00000\ _€_-;_-* &quot;-&quot;??\ _€_-;_-@_-"/>
    <numFmt numFmtId="180" formatCode="0.000%"/>
    <numFmt numFmtId="181" formatCode="_ &quot;$&quot;\ * #,##0.0000_ ;_ &quot;$&quot;\ * \-#,##0.0000_ ;_ &quot;$&quot;\ * &quot;-&quot;??_ ;_ @_ "/>
    <numFmt numFmtId="182" formatCode="0.0"/>
    <numFmt numFmtId="183" formatCode="_-&quot;$&quot;* #,##0.00_-;\-&quot;$&quot;* #,##0.00_-;_-&quot;$&quot;* &quot;-&quot;??_-;_-@_-"/>
    <numFmt numFmtId="184" formatCode="_-&quot;$&quot;* #,##0_-;\-&quot;$&quot;* #,##0_-;_-&quot;$&quot;* &quot;-&quot;??_-;_-@_-"/>
    <numFmt numFmtId="185" formatCode="&quot;$&quot;#,##0"/>
    <numFmt numFmtId="186" formatCode="_-* #,##0.0\ _€_-;\-* #,##0.0\ _€_-;_-* &quot;-&quot;??\ _€_-;_-@_-"/>
    <numFmt numFmtId="187" formatCode="#,##0.00\ _€;\-#,##0.00\ _€"/>
    <numFmt numFmtId="188" formatCode="_-* #,##0\ _€_-;\-* #,##0\ _€_-;_-* &quot;-&quot;??\ _€_-;_-@_-"/>
    <numFmt numFmtId="189" formatCode="_ &quot;$&quot;\ * #,##0.00_ ;_ &quot;$&quot;\ * \-#,##0.00_ ;_ &quot;$&quot;\ * &quot;-&quot;??_ ;_ @_ "/>
    <numFmt numFmtId="190" formatCode="_(* #,##0.000_);_(* \(#,##0.000\);_(* &quot;-&quot;??_);_(@_)"/>
  </numFmts>
  <fonts count="75" x14ac:knownFonts="1">
    <font>
      <sz val="9"/>
      <color theme="1"/>
      <name val="Arial"/>
      <family val="2"/>
    </font>
    <font>
      <sz val="11"/>
      <color theme="1"/>
      <name val="Corbel"/>
      <family val="2"/>
      <scheme val="minor"/>
    </font>
    <font>
      <sz val="10"/>
      <name val="Arial"/>
      <family val="2"/>
    </font>
    <font>
      <b/>
      <sz val="10"/>
      <name val="Arial"/>
      <family val="2"/>
    </font>
    <font>
      <sz val="12"/>
      <name val="Arial"/>
      <family val="2"/>
    </font>
    <font>
      <b/>
      <sz val="10"/>
      <color indexed="8"/>
      <name val="Arial"/>
      <family val="2"/>
    </font>
    <font>
      <sz val="9"/>
      <color indexed="8"/>
      <name val="Arial"/>
      <family val="2"/>
    </font>
    <font>
      <b/>
      <sz val="28.5"/>
      <color indexed="22"/>
      <name val="Arial Black"/>
      <family val="2"/>
    </font>
    <font>
      <b/>
      <sz val="10"/>
      <color indexed="43"/>
      <name val="Arial"/>
      <family val="2"/>
    </font>
    <font>
      <b/>
      <sz val="10"/>
      <color indexed="27"/>
      <name val="Arial"/>
      <family val="2"/>
    </font>
    <font>
      <b/>
      <sz val="10.5"/>
      <color indexed="27"/>
      <name val="Arial"/>
      <family val="2"/>
    </font>
    <font>
      <b/>
      <sz val="18"/>
      <color indexed="8"/>
      <name val="Arial"/>
      <family val="2"/>
    </font>
    <font>
      <b/>
      <sz val="9"/>
      <color indexed="9"/>
      <name val="Arial"/>
      <family val="2"/>
    </font>
    <font>
      <sz val="10"/>
      <color indexed="8"/>
      <name val="Arial"/>
      <family val="2"/>
    </font>
    <font>
      <b/>
      <sz val="9"/>
      <color indexed="8"/>
      <name val="Arial"/>
      <family val="2"/>
    </font>
    <font>
      <sz val="12"/>
      <name val="Arial"/>
      <family val="2"/>
    </font>
    <font>
      <b/>
      <sz val="12"/>
      <name val="Arial"/>
      <family val="2"/>
    </font>
    <font>
      <sz val="12"/>
      <color indexed="8"/>
      <name val="Arial"/>
      <family val="2"/>
    </font>
    <font>
      <sz val="12"/>
      <color indexed="9"/>
      <name val="Arial"/>
      <family val="2"/>
    </font>
    <font>
      <b/>
      <sz val="10"/>
      <color indexed="9"/>
      <name val="Arial"/>
      <family val="2"/>
    </font>
    <font>
      <sz val="8"/>
      <name val="Arial"/>
      <family val="2"/>
    </font>
    <font>
      <sz val="11"/>
      <color theme="0"/>
      <name val="Arial"/>
      <family val="2"/>
    </font>
    <font>
      <sz val="9"/>
      <color theme="1"/>
      <name val="Arial"/>
      <family val="2"/>
    </font>
    <font>
      <sz val="28"/>
      <color theme="0"/>
      <name val="Arial Black"/>
      <family val="2"/>
    </font>
    <font>
      <b/>
      <sz val="10"/>
      <color theme="4" tint="0.39994506668294322"/>
      <name val="Arial"/>
      <family val="2"/>
    </font>
    <font>
      <sz val="11"/>
      <color rgb="FF000000"/>
      <name val="Calibri"/>
      <family val="2"/>
    </font>
    <font>
      <sz val="16"/>
      <color indexed="8"/>
      <name val="Arial Black"/>
      <family val="2"/>
    </font>
    <font>
      <b/>
      <sz val="18"/>
      <color rgb="FFFF0000"/>
      <name val="Arial"/>
      <family val="2"/>
    </font>
    <font>
      <b/>
      <sz val="12"/>
      <color theme="0"/>
      <name val="Arial"/>
      <family val="2"/>
    </font>
    <font>
      <b/>
      <sz val="8"/>
      <color theme="0"/>
      <name val="Arial"/>
      <family val="2"/>
    </font>
    <font>
      <b/>
      <sz val="14"/>
      <color theme="0"/>
      <name val="Arial"/>
      <family val="2"/>
    </font>
    <font>
      <b/>
      <sz val="9"/>
      <color theme="1"/>
      <name val="Arial"/>
      <family val="2"/>
    </font>
    <font>
      <b/>
      <sz val="16"/>
      <color indexed="8"/>
      <name val="Arial Black"/>
      <family val="2"/>
    </font>
    <font>
      <b/>
      <sz val="14"/>
      <name val="Arial"/>
      <family val="2"/>
    </font>
    <font>
      <b/>
      <sz val="8"/>
      <color theme="0"/>
      <name val="Calibri"/>
      <family val="2"/>
    </font>
    <font>
      <sz val="12"/>
      <name val="Calibri"/>
      <family val="2"/>
    </font>
    <font>
      <b/>
      <sz val="16"/>
      <name val="Arial"/>
      <family val="2"/>
    </font>
    <font>
      <b/>
      <sz val="16"/>
      <name val="Calibri"/>
      <family val="2"/>
    </font>
    <font>
      <sz val="16"/>
      <name val="Calibri"/>
      <family val="2"/>
    </font>
    <font>
      <sz val="10"/>
      <name val="Arial"/>
      <family val="2"/>
    </font>
    <font>
      <b/>
      <sz val="9"/>
      <name val="Arial"/>
      <family val="2"/>
    </font>
    <font>
      <b/>
      <sz val="11"/>
      <name val="Arial"/>
      <family val="2"/>
    </font>
    <font>
      <sz val="20"/>
      <name val="Arial Black"/>
      <family val="2"/>
    </font>
    <font>
      <vertAlign val="superscript"/>
      <sz val="9"/>
      <name val="Arial"/>
      <family val="2"/>
    </font>
    <font>
      <sz val="9"/>
      <name val="Arial"/>
      <family val="2"/>
    </font>
    <font>
      <b/>
      <sz val="10"/>
      <name val="Corbel"/>
      <family val="2"/>
      <scheme val="minor"/>
    </font>
    <font>
      <b/>
      <sz val="10"/>
      <name val="Helvetica"/>
      <family val="2"/>
    </font>
    <font>
      <b/>
      <sz val="10"/>
      <color rgb="FF000000"/>
      <name val="Arial"/>
      <family val="2"/>
    </font>
    <font>
      <sz val="12"/>
      <color rgb="FF545454"/>
      <name val="Arial"/>
      <family val="2"/>
    </font>
    <font>
      <b/>
      <sz val="10"/>
      <color rgb="FF6A6A6A"/>
      <name val="Arial"/>
      <family val="2"/>
    </font>
    <font>
      <b/>
      <sz val="8"/>
      <color theme="1"/>
      <name val="Corbel"/>
      <family val="2"/>
      <scheme val="minor"/>
    </font>
    <font>
      <sz val="8"/>
      <color theme="1"/>
      <name val="Corbel"/>
      <family val="2"/>
      <scheme val="minor"/>
    </font>
    <font>
      <sz val="9"/>
      <color rgb="FF2C2C2C"/>
      <name val="Arial"/>
      <family val="2"/>
    </font>
    <font>
      <b/>
      <sz val="12"/>
      <name val="Calibri"/>
      <family val="2"/>
    </font>
    <font>
      <sz val="12"/>
      <color rgb="FF222222"/>
      <name val="Arial"/>
      <family val="2"/>
    </font>
    <font>
      <b/>
      <sz val="12"/>
      <color rgb="FF000000"/>
      <name val="Arial Narrow"/>
      <family val="2"/>
    </font>
    <font>
      <b/>
      <sz val="8"/>
      <color rgb="FF333333"/>
      <name val="Arial"/>
      <family val="2"/>
    </font>
    <font>
      <b/>
      <sz val="8"/>
      <color rgb="FF000000"/>
      <name val="Arial"/>
      <family val="2"/>
    </font>
    <font>
      <sz val="8"/>
      <color rgb="FF333333"/>
      <name val="Arial"/>
      <family val="2"/>
    </font>
    <font>
      <sz val="8"/>
      <color rgb="FF000000"/>
      <name val="Arial"/>
      <family val="2"/>
    </font>
    <font>
      <b/>
      <sz val="18"/>
      <name val="Century Gothic"/>
      <family val="2"/>
    </font>
    <font>
      <b/>
      <sz val="12"/>
      <name val="Century Gothic"/>
      <family val="2"/>
    </font>
    <font>
      <sz val="11"/>
      <color indexed="8"/>
      <name val="Calibri"/>
      <family val="2"/>
    </font>
    <font>
      <b/>
      <sz val="14"/>
      <color indexed="8"/>
      <name val="Century Gothic"/>
      <family val="2"/>
    </font>
    <font>
      <b/>
      <sz val="11"/>
      <color indexed="8"/>
      <name val="Century Gothic"/>
      <family val="2"/>
    </font>
    <font>
      <sz val="11"/>
      <color indexed="8"/>
      <name val="Century Gothic"/>
      <family val="2"/>
    </font>
    <font>
      <b/>
      <sz val="12"/>
      <color indexed="8"/>
      <name val="Century Gothic"/>
      <family val="2"/>
    </font>
    <font>
      <b/>
      <sz val="11"/>
      <name val="Century Gothic"/>
      <family val="2"/>
    </font>
    <font>
      <sz val="12"/>
      <name val="Century Gothic"/>
      <family val="2"/>
    </font>
    <font>
      <sz val="12"/>
      <color indexed="8"/>
      <name val="Century Gothic"/>
      <family val="2"/>
    </font>
    <font>
      <sz val="9"/>
      <color theme="1"/>
      <name val="Century Gothic"/>
      <family val="2"/>
    </font>
    <font>
      <sz val="9"/>
      <color indexed="81"/>
      <name val="Tahoma"/>
      <family val="2"/>
    </font>
    <font>
      <b/>
      <sz val="9"/>
      <color indexed="81"/>
      <name val="Tahoma"/>
      <family val="2"/>
    </font>
    <font>
      <sz val="11"/>
      <color theme="1"/>
      <name val="Arial"/>
      <family val="2"/>
    </font>
    <font>
      <b/>
      <sz val="11"/>
      <color theme="1"/>
      <name val="Arial"/>
      <family val="2"/>
    </font>
  </fonts>
  <fills count="27">
    <fill>
      <patternFill patternType="none"/>
    </fill>
    <fill>
      <patternFill patternType="gray125"/>
    </fill>
    <fill>
      <patternFill patternType="solid">
        <fgColor indexed="63"/>
        <bgColor indexed="64"/>
      </patternFill>
    </fill>
    <fill>
      <patternFill patternType="solid">
        <fgColor indexed="8"/>
        <bgColor indexed="64"/>
      </patternFill>
    </fill>
    <fill>
      <patternFill patternType="solid">
        <fgColor indexed="27"/>
        <bgColor indexed="64"/>
      </patternFill>
    </fill>
    <fill>
      <patternFill patternType="solid">
        <fgColor indexed="9"/>
        <bgColor indexed="64"/>
      </patternFill>
    </fill>
    <fill>
      <patternFill patternType="solid">
        <fgColor indexed="10"/>
        <bgColor indexed="64"/>
      </patternFill>
    </fill>
    <fill>
      <patternFill patternType="solid">
        <fgColor theme="6"/>
      </patternFill>
    </fill>
    <fill>
      <patternFill patternType="solid">
        <fgColor theme="7"/>
      </patternFill>
    </fill>
    <fill>
      <patternFill patternType="solid">
        <fgColor theme="1" tint="0.24994659260841701"/>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rgb="FF0D4B2F"/>
        <bgColor indexed="64"/>
      </patternFill>
    </fill>
    <fill>
      <patternFill patternType="solid">
        <fgColor rgb="FF00B0F0"/>
        <bgColor indexed="64"/>
      </patternFill>
    </fill>
    <fill>
      <patternFill patternType="solid">
        <fgColor rgb="FF0070C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3" tint="-0.249977111117893"/>
        <bgColor indexed="64"/>
      </patternFill>
    </fill>
    <fill>
      <patternFill patternType="solid">
        <fgColor theme="1" tint="0.499984740745262"/>
        <bgColor indexed="64"/>
      </patternFill>
    </fill>
    <fill>
      <patternFill patternType="solid">
        <fgColor rgb="FFFFFF00"/>
        <bgColor indexed="64"/>
      </patternFill>
    </fill>
    <fill>
      <patternFill patternType="solid">
        <fgColor rgb="FF8FD6F9"/>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s>
  <borders count="81">
    <border>
      <left/>
      <right/>
      <top/>
      <bottom/>
      <diagonal/>
    </border>
    <border>
      <left/>
      <right/>
      <top style="thin">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thick">
        <color indexed="9"/>
      </top>
      <bottom style="thick">
        <color indexed="9"/>
      </bottom>
      <diagonal/>
    </border>
    <border>
      <left/>
      <right/>
      <top/>
      <bottom style="medium">
        <color indexed="64"/>
      </bottom>
      <diagonal/>
    </border>
    <border>
      <left style="thin">
        <color indexed="23"/>
      </left>
      <right/>
      <top/>
      <bottom style="medium">
        <color indexed="64"/>
      </bottom>
      <diagonal/>
    </border>
    <border>
      <left/>
      <right/>
      <top/>
      <bottom style="thick">
        <color indexed="9"/>
      </bottom>
      <diagonal/>
    </border>
    <border>
      <left/>
      <right/>
      <top style="thick">
        <color indexed="9"/>
      </top>
      <bottom/>
      <diagonal/>
    </border>
    <border>
      <left/>
      <right/>
      <top style="thick">
        <color indexed="9"/>
      </top>
      <bottom style="medium">
        <color indexed="64"/>
      </bottom>
      <diagonal/>
    </border>
    <border>
      <left style="thin">
        <color indexed="23"/>
      </left>
      <right style="thin">
        <color indexed="23"/>
      </right>
      <top style="thick">
        <color indexed="9"/>
      </top>
      <bottom style="thin">
        <color indexed="64"/>
      </bottom>
      <diagonal/>
    </border>
    <border>
      <left style="thin">
        <color indexed="23"/>
      </left>
      <right style="thin">
        <color indexed="23"/>
      </right>
      <top style="thick">
        <color indexed="9"/>
      </top>
      <bottom style="medium">
        <color indexed="64"/>
      </bottom>
      <diagonal/>
    </border>
    <border>
      <left style="thin">
        <color indexed="23"/>
      </left>
      <right style="thin">
        <color indexed="23"/>
      </right>
      <top/>
      <bottom style="thin">
        <color indexed="23"/>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thick">
        <color indexed="22"/>
      </bottom>
      <diagonal/>
    </border>
    <border>
      <left/>
      <right/>
      <top style="thick">
        <color indexed="22"/>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right/>
      <top style="thick">
        <color theme="0"/>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23"/>
      </left>
      <right style="thin">
        <color indexed="23"/>
      </right>
      <top/>
      <bottom style="medium">
        <color indexed="64"/>
      </bottom>
      <diagonal/>
    </border>
    <border>
      <left style="thin">
        <color indexed="23"/>
      </left>
      <right/>
      <top style="thick">
        <color indexed="9"/>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ck">
        <color indexed="9"/>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23"/>
      </left>
      <right style="thin">
        <color indexed="23"/>
      </right>
      <top style="thick">
        <color indexed="9"/>
      </top>
      <bottom/>
      <diagonal/>
    </border>
    <border>
      <left style="thin">
        <color indexed="23"/>
      </left>
      <right style="thin">
        <color indexed="23"/>
      </right>
      <top/>
      <bottom style="thick">
        <color indexed="9"/>
      </bottom>
      <diagonal/>
    </border>
    <border>
      <left style="thin">
        <color indexed="23"/>
      </left>
      <right style="thin">
        <color indexed="23"/>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bottom style="thick">
        <color indexed="64"/>
      </bottom>
      <diagonal/>
    </border>
    <border>
      <left style="thick">
        <color indexed="64"/>
      </left>
      <right style="thick">
        <color indexed="64"/>
      </right>
      <top/>
      <bottom style="thick">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ck">
        <color indexed="64"/>
      </left>
      <right style="thick">
        <color indexed="64"/>
      </right>
      <top/>
      <bottom/>
      <diagonal/>
    </border>
    <border>
      <left/>
      <right style="thick">
        <color indexed="64"/>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medium">
        <color indexed="64"/>
      </left>
      <right style="thick">
        <color indexed="64"/>
      </right>
      <top style="medium">
        <color indexed="64"/>
      </top>
      <bottom style="medium">
        <color indexed="64"/>
      </bottom>
      <diagonal/>
    </border>
    <border>
      <left/>
      <right style="thick">
        <color indexed="64"/>
      </right>
      <top style="medium">
        <color indexed="64"/>
      </top>
      <bottom style="medium">
        <color indexed="64"/>
      </bottom>
      <diagonal/>
    </border>
  </borders>
  <cellStyleXfs count="24">
    <xf numFmtId="0" fontId="0" fillId="0" borderId="0">
      <alignment vertical="center"/>
    </xf>
    <xf numFmtId="0" fontId="21" fillId="7" borderId="0" applyNumberFormat="0" applyBorder="0" applyAlignment="0" applyProtection="0"/>
    <xf numFmtId="0" fontId="21" fillId="8" borderId="0" applyNumberFormat="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alignment vertical="center"/>
    </xf>
    <xf numFmtId="166" fontId="6"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9" fontId="6" fillId="0" borderId="0" applyFont="0" applyFill="0" applyBorder="0" applyAlignment="0" applyProtection="0"/>
    <xf numFmtId="9" fontId="2" fillId="0" borderId="0" applyFont="0" applyFill="0" applyBorder="0" applyAlignment="0" applyProtection="0"/>
    <xf numFmtId="0" fontId="23" fillId="9" borderId="0" applyNumberFormat="0" applyBorder="0" applyAlignment="0" applyProtection="0"/>
    <xf numFmtId="0" fontId="24" fillId="0" borderId="0" applyNumberFormat="0" applyFill="0" applyBorder="0" applyAlignment="0" applyProtection="0"/>
    <xf numFmtId="164" fontId="2" fillId="0" borderId="0" applyFont="0" applyFill="0" applyBorder="0" applyAlignment="0" applyProtection="0"/>
    <xf numFmtId="0" fontId="25" fillId="0" borderId="0" applyNumberFormat="0" applyBorder="0" applyAlignment="0"/>
    <xf numFmtId="165" fontId="22" fillId="0" borderId="0" applyFont="0" applyFill="0" applyBorder="0" applyAlignment="0" applyProtection="0"/>
    <xf numFmtId="0" fontId="39" fillId="0" borderId="0"/>
    <xf numFmtId="164" fontId="39" fillId="0" borderId="0" applyFont="0" applyFill="0" applyBorder="0" applyAlignment="0" applyProtection="0"/>
    <xf numFmtId="0" fontId="1" fillId="0" borderId="0"/>
    <xf numFmtId="183" fontId="1" fillId="0" borderId="0" applyFont="0" applyFill="0" applyBorder="0" applyAlignment="0" applyProtection="0"/>
    <xf numFmtId="0" fontId="2" fillId="0" borderId="0"/>
    <xf numFmtId="42" fontId="22" fillId="0" borderId="0" applyFont="0" applyFill="0" applyBorder="0" applyAlignment="0" applyProtection="0"/>
    <xf numFmtId="0" fontId="62" fillId="0" borderId="0"/>
    <xf numFmtId="166" fontId="62" fillId="0" borderId="0" applyFont="0" applyFill="0" applyBorder="0" applyAlignment="0" applyProtection="0"/>
  </cellStyleXfs>
  <cellXfs count="829">
    <xf numFmtId="0" fontId="0" fillId="0" borderId="0" xfId="0">
      <alignment vertical="center"/>
    </xf>
    <xf numFmtId="0" fontId="7" fillId="2" borderId="0" xfId="0" applyFont="1" applyFill="1" applyAlignment="1">
      <alignment horizontal="left" vertical="center" indent="1"/>
    </xf>
    <xf numFmtId="0" fontId="0" fillId="0" borderId="0" xfId="0" applyAlignment="1">
      <alignment horizontal="left" vertical="center" indent="1"/>
    </xf>
    <xf numFmtId="167" fontId="0" fillId="0" borderId="0" xfId="0" applyNumberFormat="1" applyAlignment="1">
      <alignment horizontal="left" vertical="center" indent="1"/>
    </xf>
    <xf numFmtId="0" fontId="6" fillId="0" borderId="0" xfId="3" applyFont="1" applyFill="1" applyBorder="1" applyAlignment="1">
      <alignment horizontal="left" vertical="center" indent="1"/>
    </xf>
    <xf numFmtId="49" fontId="6" fillId="0" borderId="0" xfId="3" quotePrefix="1" applyNumberFormat="1" applyFont="1" applyFill="1" applyBorder="1" applyAlignment="1">
      <alignment horizontal="left" vertical="center" indent="1"/>
    </xf>
    <xf numFmtId="0" fontId="8" fillId="3" borderId="0" xfId="0" applyFont="1" applyFill="1" applyAlignment="1">
      <alignment horizontal="left" vertical="center" indent="1"/>
    </xf>
    <xf numFmtId="0" fontId="0" fillId="3" borderId="0" xfId="0" applyFill="1" applyAlignment="1">
      <alignment horizontal="left" vertical="center" indent="1"/>
    </xf>
    <xf numFmtId="0" fontId="9" fillId="2" borderId="0" xfId="0" applyFont="1" applyFill="1" applyAlignment="1">
      <alignment horizontal="left" vertical="center" indent="1"/>
    </xf>
    <xf numFmtId="0" fontId="0" fillId="2" borderId="0" xfId="0" applyFill="1" applyAlignment="1">
      <alignment horizontal="left" vertical="center" indent="1"/>
    </xf>
    <xf numFmtId="0" fontId="10" fillId="2" borderId="0" xfId="0" applyFont="1" applyFill="1" applyAlignment="1">
      <alignment horizontal="left" vertical="center" indent="1"/>
    </xf>
    <xf numFmtId="0" fontId="22" fillId="0" borderId="0" xfId="3" applyAlignment="1">
      <alignment horizontal="left" vertical="center" indent="1"/>
    </xf>
    <xf numFmtId="0" fontId="0" fillId="4" borderId="0" xfId="0" applyFill="1" applyAlignment="1">
      <alignment horizontal="left" vertical="center" indent="1"/>
    </xf>
    <xf numFmtId="167" fontId="0" fillId="4" borderId="0" xfId="0" applyNumberFormat="1" applyFill="1" applyAlignment="1">
      <alignment horizontal="left" vertical="center" indent="1"/>
    </xf>
    <xf numFmtId="0" fontId="22" fillId="4" borderId="0" xfId="3" applyFill="1" applyBorder="1" applyAlignment="1">
      <alignment horizontal="left" vertical="center" indent="1"/>
    </xf>
    <xf numFmtId="49" fontId="22" fillId="4" borderId="0" xfId="3" quotePrefix="1" applyNumberFormat="1" applyFill="1" applyBorder="1" applyAlignment="1">
      <alignment horizontal="left" vertical="center" indent="1"/>
    </xf>
    <xf numFmtId="0" fontId="0" fillId="0" borderId="0" xfId="0" applyAlignment="1">
      <alignment horizontal="center" vertical="center"/>
    </xf>
    <xf numFmtId="0" fontId="13" fillId="0" borderId="0" xfId="0" applyFont="1">
      <alignment vertical="center"/>
    </xf>
    <xf numFmtId="0" fontId="13" fillId="0" borderId="0" xfId="0" applyFont="1" applyAlignment="1">
      <alignment horizontal="center" vertical="center"/>
    </xf>
    <xf numFmtId="169" fontId="13" fillId="0" borderId="0" xfId="0" applyNumberFormat="1" applyFont="1">
      <alignment vertical="center"/>
    </xf>
    <xf numFmtId="0" fontId="12" fillId="0" borderId="0" xfId="0" applyFont="1" applyAlignment="1">
      <alignment horizontal="center" vertical="center"/>
    </xf>
    <xf numFmtId="169" fontId="0" fillId="0" borderId="0" xfId="0" applyNumberFormat="1">
      <alignment vertical="center"/>
    </xf>
    <xf numFmtId="0" fontId="15" fillId="0" borderId="0" xfId="7" applyFont="1"/>
    <xf numFmtId="0" fontId="11" fillId="0" borderId="0" xfId="0" applyFont="1">
      <alignment vertical="center"/>
    </xf>
    <xf numFmtId="0" fontId="29" fillId="13" borderId="2" xfId="7" applyFont="1" applyFill="1" applyBorder="1" applyAlignment="1">
      <alignment horizontal="centerContinuous" vertical="center"/>
    </xf>
    <xf numFmtId="0" fontId="29" fillId="13" borderId="22" xfId="7" applyFont="1" applyFill="1" applyBorder="1" applyAlignment="1">
      <alignment horizontal="centerContinuous" vertical="center"/>
    </xf>
    <xf numFmtId="0" fontId="29" fillId="13" borderId="24" xfId="7" applyFont="1" applyFill="1" applyBorder="1" applyAlignment="1">
      <alignment horizontal="center" vertical="center" wrapText="1"/>
    </xf>
    <xf numFmtId="0" fontId="29" fillId="13" borderId="25" xfId="7" applyFont="1" applyFill="1" applyBorder="1" applyAlignment="1">
      <alignment horizontal="center" vertical="center" wrapText="1"/>
    </xf>
    <xf numFmtId="0" fontId="15" fillId="0" borderId="27" xfId="7" applyFont="1" applyBorder="1" applyAlignment="1">
      <alignment horizontal="left" indent="1"/>
    </xf>
    <xf numFmtId="0" fontId="4" fillId="0" borderId="27" xfId="7" applyFont="1" applyBorder="1" applyAlignment="1">
      <alignment horizontal="left" indent="1"/>
    </xf>
    <xf numFmtId="0" fontId="4" fillId="0" borderId="28" xfId="7" applyFont="1" applyBorder="1" applyAlignment="1">
      <alignment horizontal="left" indent="1"/>
    </xf>
    <xf numFmtId="10" fontId="15" fillId="0" borderId="27" xfId="10" applyNumberFormat="1" applyFont="1" applyFill="1" applyBorder="1" applyAlignment="1">
      <alignment horizontal="center"/>
    </xf>
    <xf numFmtId="10" fontId="15" fillId="0" borderId="30" xfId="10" applyNumberFormat="1" applyFont="1" applyFill="1" applyBorder="1" applyAlignment="1">
      <alignment horizontal="center"/>
    </xf>
    <xf numFmtId="10" fontId="15" fillId="10" borderId="27" xfId="10" applyNumberFormat="1" applyFont="1" applyFill="1" applyBorder="1" applyAlignment="1">
      <alignment horizontal="center"/>
    </xf>
    <xf numFmtId="10" fontId="15" fillId="0" borderId="28" xfId="10" applyNumberFormat="1" applyFont="1" applyFill="1" applyBorder="1" applyAlignment="1">
      <alignment horizontal="center"/>
    </xf>
    <xf numFmtId="10" fontId="15" fillId="0" borderId="31" xfId="10" applyNumberFormat="1" applyFont="1" applyFill="1" applyBorder="1" applyAlignment="1">
      <alignment horizontal="center"/>
    </xf>
    <xf numFmtId="10" fontId="30" fillId="13" borderId="18" xfId="10" applyNumberFormat="1" applyFont="1" applyFill="1" applyBorder="1" applyAlignment="1">
      <alignment horizontal="center"/>
    </xf>
    <xf numFmtId="10" fontId="30" fillId="13" borderId="19" xfId="10" applyNumberFormat="1" applyFont="1" applyFill="1" applyBorder="1" applyAlignment="1">
      <alignment horizontal="center"/>
    </xf>
    <xf numFmtId="0" fontId="28" fillId="13" borderId="26" xfId="7" applyFont="1" applyFill="1" applyBorder="1"/>
    <xf numFmtId="0" fontId="28" fillId="13" borderId="27" xfId="7" applyFont="1" applyFill="1" applyBorder="1"/>
    <xf numFmtId="10" fontId="15" fillId="13" borderId="27" xfId="10" applyNumberFormat="1" applyFont="1" applyFill="1" applyBorder="1" applyAlignment="1">
      <alignment horizontal="center"/>
    </xf>
    <xf numFmtId="10" fontId="15" fillId="13" borderId="30" xfId="10" applyNumberFormat="1" applyFont="1" applyFill="1" applyBorder="1" applyAlignment="1">
      <alignment horizontal="center"/>
    </xf>
    <xf numFmtId="0" fontId="15" fillId="13" borderId="26" xfId="7" applyFont="1" applyFill="1" applyBorder="1"/>
    <xf numFmtId="0" fontId="15" fillId="13" borderId="29" xfId="7" applyFont="1" applyFill="1" applyBorder="1"/>
    <xf numFmtId="170" fontId="17" fillId="0" borderId="14" xfId="0" applyNumberFormat="1" applyFont="1" applyBorder="1" applyAlignment="1">
      <alignment horizontal="right" vertical="center"/>
    </xf>
    <xf numFmtId="170" fontId="17" fillId="0" borderId="14" xfId="0" applyNumberFormat="1" applyFont="1" applyBorder="1">
      <alignment vertical="center"/>
    </xf>
    <xf numFmtId="0" fontId="31" fillId="0" borderId="0" xfId="0" applyFont="1">
      <alignment vertical="center"/>
    </xf>
    <xf numFmtId="0" fontId="3" fillId="0" borderId="0" xfId="0" applyFont="1">
      <alignment vertical="center"/>
    </xf>
    <xf numFmtId="39" fontId="3" fillId="0" borderId="0" xfId="0" applyNumberFormat="1" applyFont="1" applyAlignment="1">
      <alignment horizontal="justify" vertical="center" wrapText="1"/>
    </xf>
    <xf numFmtId="0" fontId="31" fillId="10" borderId="0" xfId="0" applyFont="1" applyFill="1">
      <alignment vertical="center"/>
    </xf>
    <xf numFmtId="0" fontId="31" fillId="12" borderId="0" xfId="0" applyFont="1" applyFill="1">
      <alignment vertical="center"/>
    </xf>
    <xf numFmtId="0" fontId="3" fillId="10" borderId="0" xfId="0" applyFont="1" applyFill="1">
      <alignment vertical="center"/>
    </xf>
    <xf numFmtId="0" fontId="14" fillId="0" borderId="0" xfId="0" applyFont="1" applyAlignment="1">
      <alignment horizontal="center" vertical="center"/>
    </xf>
    <xf numFmtId="0" fontId="14" fillId="0" borderId="0" xfId="0" applyFont="1">
      <alignment vertical="center"/>
    </xf>
    <xf numFmtId="0" fontId="16" fillId="0" borderId="37" xfId="0" applyFont="1" applyBorder="1" applyAlignment="1">
      <alignment horizontal="left" vertical="center"/>
    </xf>
    <xf numFmtId="169" fontId="16" fillId="12" borderId="0" xfId="6" applyNumberFormat="1" applyFont="1" applyFill="1" applyBorder="1"/>
    <xf numFmtId="169" fontId="16" fillId="0" borderId="0" xfId="6" applyNumberFormat="1" applyFont="1" applyBorder="1"/>
    <xf numFmtId="0" fontId="4" fillId="0" borderId="39" xfId="0" applyFont="1" applyBorder="1">
      <alignment vertical="center"/>
    </xf>
    <xf numFmtId="3" fontId="17" fillId="0" borderId="40" xfId="0" applyNumberFormat="1" applyFont="1" applyBorder="1">
      <alignment vertical="center"/>
    </xf>
    <xf numFmtId="3" fontId="17" fillId="10" borderId="40" xfId="0" applyNumberFormat="1" applyFont="1" applyFill="1" applyBorder="1">
      <alignment vertical="center"/>
    </xf>
    <xf numFmtId="0" fontId="4" fillId="0" borderId="41" xfId="0" applyFont="1" applyBorder="1">
      <alignment vertical="center"/>
    </xf>
    <xf numFmtId="170" fontId="17" fillId="0" borderId="42" xfId="0" applyNumberFormat="1" applyFont="1" applyBorder="1">
      <alignment vertical="center"/>
    </xf>
    <xf numFmtId="170" fontId="17" fillId="0" borderId="42" xfId="0" applyNumberFormat="1" applyFont="1" applyBorder="1" applyAlignment="1">
      <alignment horizontal="right" vertical="center"/>
    </xf>
    <xf numFmtId="3" fontId="17" fillId="0" borderId="43" xfId="0" applyNumberFormat="1" applyFont="1" applyBorder="1">
      <alignment vertical="center"/>
    </xf>
    <xf numFmtId="0" fontId="26" fillId="12" borderId="38" xfId="0" applyFont="1" applyFill="1" applyBorder="1" applyAlignment="1">
      <alignment vertical="center" wrapText="1"/>
    </xf>
    <xf numFmtId="0" fontId="12" fillId="0" borderId="38" xfId="0" applyFont="1" applyBorder="1" applyAlignment="1">
      <alignment horizontal="center" vertical="center"/>
    </xf>
    <xf numFmtId="0" fontId="13" fillId="0" borderId="38" xfId="0" applyFont="1" applyBorder="1" applyAlignment="1">
      <alignment horizontal="center" vertical="center"/>
    </xf>
    <xf numFmtId="0" fontId="13" fillId="0" borderId="44" xfId="0" applyFont="1" applyBorder="1">
      <alignment vertical="center"/>
    </xf>
    <xf numFmtId="0" fontId="13" fillId="0" borderId="5" xfId="0" applyFont="1" applyBorder="1">
      <alignment vertical="center"/>
    </xf>
    <xf numFmtId="0" fontId="13" fillId="0" borderId="45" xfId="0" applyFont="1" applyBorder="1" applyAlignment="1">
      <alignment horizontal="center" vertical="center"/>
    </xf>
    <xf numFmtId="0" fontId="4" fillId="0" borderId="46" xfId="0" applyFont="1" applyBorder="1">
      <alignment vertical="center"/>
    </xf>
    <xf numFmtId="170" fontId="17" fillId="0" borderId="47" xfId="0" applyNumberFormat="1" applyFont="1" applyBorder="1" applyAlignment="1">
      <alignment horizontal="right" vertical="center"/>
    </xf>
    <xf numFmtId="170" fontId="17" fillId="0" borderId="47" xfId="0" applyNumberFormat="1" applyFont="1" applyBorder="1">
      <alignment vertical="center"/>
    </xf>
    <xf numFmtId="3" fontId="17" fillId="0" borderId="48" xfId="0" applyNumberFormat="1" applyFont="1" applyBorder="1">
      <alignment vertical="center"/>
    </xf>
    <xf numFmtId="0" fontId="18" fillId="13" borderId="49" xfId="0" applyFont="1" applyFill="1" applyBorder="1" applyAlignment="1">
      <alignment horizontal="center" vertical="center"/>
    </xf>
    <xf numFmtId="0" fontId="18" fillId="13" borderId="24" xfId="0" applyFont="1" applyFill="1" applyBorder="1" applyAlignment="1">
      <alignment horizontal="center" vertical="center"/>
    </xf>
    <xf numFmtId="0" fontId="18" fillId="13" borderId="24" xfId="0" applyFont="1" applyFill="1" applyBorder="1" applyAlignment="1">
      <alignment horizontal="center" vertical="center" wrapText="1"/>
    </xf>
    <xf numFmtId="0" fontId="18" fillId="13" borderId="25" xfId="0" applyFont="1" applyFill="1" applyBorder="1" applyAlignment="1">
      <alignment horizontal="center" vertical="center" wrapText="1"/>
    </xf>
    <xf numFmtId="0" fontId="12" fillId="12" borderId="14" xfId="0" applyFont="1" applyFill="1" applyBorder="1" applyAlignment="1">
      <alignment horizontal="center" vertical="center"/>
    </xf>
    <xf numFmtId="0" fontId="3" fillId="0" borderId="14" xfId="0" applyFont="1" applyBorder="1">
      <alignment vertical="center"/>
    </xf>
    <xf numFmtId="39" fontId="3" fillId="0" borderId="14" xfId="0" applyNumberFormat="1" applyFont="1" applyBorder="1" applyAlignment="1">
      <alignment horizontal="justify" vertical="center" wrapText="1"/>
    </xf>
    <xf numFmtId="0" fontId="3" fillId="0" borderId="14" xfId="0" applyFont="1" applyBorder="1" applyAlignment="1">
      <alignment horizontal="center" vertical="center"/>
    </xf>
    <xf numFmtId="39" fontId="3" fillId="10" borderId="14" xfId="0" applyNumberFormat="1" applyFont="1" applyFill="1" applyBorder="1" applyAlignment="1">
      <alignment horizontal="justify" vertical="center" wrapText="1"/>
    </xf>
    <xf numFmtId="0" fontId="3" fillId="10" borderId="14" xfId="0" applyFont="1" applyFill="1" applyBorder="1" applyAlignment="1">
      <alignment horizontal="center" vertical="center"/>
    </xf>
    <xf numFmtId="0" fontId="3" fillId="10" borderId="14" xfId="0" applyFont="1" applyFill="1" applyBorder="1">
      <alignment vertical="center"/>
    </xf>
    <xf numFmtId="39" fontId="3" fillId="0" borderId="14" xfId="0" applyNumberFormat="1" applyFont="1" applyBorder="1" applyAlignment="1">
      <alignment horizontal="justify" vertical="center"/>
    </xf>
    <xf numFmtId="39" fontId="3" fillId="0" borderId="14" xfId="0" applyNumberFormat="1" applyFont="1" applyBorder="1" applyAlignment="1">
      <alignment horizontal="center" vertical="center"/>
    </xf>
    <xf numFmtId="39" fontId="3" fillId="0" borderId="14" xfId="0" applyNumberFormat="1" applyFont="1" applyBorder="1" applyAlignment="1">
      <alignment horizontal="center" vertical="center" wrapText="1"/>
    </xf>
    <xf numFmtId="0" fontId="4" fillId="0" borderId="37" xfId="7" applyFont="1" applyBorder="1"/>
    <xf numFmtId="0" fontId="4" fillId="0" borderId="52" xfId="0" applyFont="1" applyBorder="1">
      <alignment vertical="center"/>
    </xf>
    <xf numFmtId="170" fontId="17" fillId="0" borderId="53" xfId="0" applyNumberFormat="1" applyFont="1" applyBorder="1">
      <alignment vertical="center"/>
    </xf>
    <xf numFmtId="0" fontId="3" fillId="10" borderId="37" xfId="16" applyFont="1" applyFill="1" applyBorder="1"/>
    <xf numFmtId="0" fontId="3" fillId="10" borderId="0" xfId="16" applyFont="1" applyFill="1"/>
    <xf numFmtId="0" fontId="0" fillId="0" borderId="38" xfId="0" applyBorder="1">
      <alignment vertical="center"/>
    </xf>
    <xf numFmtId="0" fontId="0" fillId="0" borderId="44" xfId="0" applyBorder="1">
      <alignment vertical="center"/>
    </xf>
    <xf numFmtId="0" fontId="0" fillId="0" borderId="5" xfId="0" applyBorder="1">
      <alignment vertical="center"/>
    </xf>
    <xf numFmtId="0" fontId="0" fillId="0" borderId="45" xfId="0" applyBorder="1">
      <alignment vertical="center"/>
    </xf>
    <xf numFmtId="0" fontId="0" fillId="12" borderId="56" xfId="0" applyFill="1" applyBorder="1">
      <alignment vertical="center"/>
    </xf>
    <xf numFmtId="0" fontId="0" fillId="10" borderId="0" xfId="0" applyFill="1">
      <alignment vertical="center"/>
    </xf>
    <xf numFmtId="0" fontId="33" fillId="10" borderId="0" xfId="16" applyFont="1" applyFill="1"/>
    <xf numFmtId="0" fontId="39" fillId="10" borderId="0" xfId="16" applyFill="1"/>
    <xf numFmtId="0" fontId="3" fillId="10" borderId="37" xfId="16" applyFont="1" applyFill="1" applyBorder="1" applyAlignment="1">
      <alignment horizontal="left"/>
    </xf>
    <xf numFmtId="166" fontId="40" fillId="0" borderId="0" xfId="5" applyFont="1" applyFill="1" applyAlignment="1">
      <alignment horizontal="center" vertical="center"/>
    </xf>
    <xf numFmtId="3" fontId="40" fillId="0" borderId="0" xfId="0" applyNumberFormat="1" applyFont="1">
      <alignment vertical="center"/>
    </xf>
    <xf numFmtId="0" fontId="40" fillId="0" borderId="0" xfId="0" applyFont="1">
      <alignment vertical="center"/>
    </xf>
    <xf numFmtId="0" fontId="40" fillId="12" borderId="0" xfId="0" applyFont="1" applyFill="1">
      <alignment vertical="center"/>
    </xf>
    <xf numFmtId="0" fontId="40" fillId="12" borderId="34" xfId="0" applyFont="1" applyFill="1" applyBorder="1">
      <alignment vertical="center"/>
    </xf>
    <xf numFmtId="166" fontId="40" fillId="0" borderId="0" xfId="5" applyFont="1" applyFill="1" applyBorder="1" applyAlignment="1">
      <alignment horizontal="center" vertical="center"/>
    </xf>
    <xf numFmtId="39" fontId="3" fillId="0" borderId="0" xfId="0" applyNumberFormat="1" applyFont="1" applyAlignment="1">
      <alignment horizontal="center" vertical="center"/>
    </xf>
    <xf numFmtId="165" fontId="19" fillId="12" borderId="51" xfId="15" applyFont="1" applyFill="1" applyBorder="1" applyAlignment="1">
      <alignment horizontal="right" vertical="center"/>
    </xf>
    <xf numFmtId="165" fontId="3" fillId="0" borderId="14" xfId="15" applyFont="1" applyFill="1" applyBorder="1" applyAlignment="1">
      <alignment horizontal="right" vertical="center"/>
    </xf>
    <xf numFmtId="165" fontId="5" fillId="0" borderId="0" xfId="15" applyFont="1" applyFill="1" applyAlignment="1">
      <alignment horizontal="right" vertical="center"/>
    </xf>
    <xf numFmtId="39" fontId="3" fillId="12" borderId="0" xfId="0" applyNumberFormat="1" applyFont="1" applyFill="1" applyAlignment="1" applyProtection="1">
      <alignment horizontal="justify" vertical="center"/>
      <protection locked="0"/>
    </xf>
    <xf numFmtId="39" fontId="3" fillId="12" borderId="34" xfId="0" applyNumberFormat="1" applyFont="1" applyFill="1" applyBorder="1" applyAlignment="1" applyProtection="1">
      <alignment horizontal="center" vertical="center"/>
      <protection locked="0"/>
    </xf>
    <xf numFmtId="166" fontId="40" fillId="0" borderId="5" xfId="5" applyFont="1" applyFill="1" applyBorder="1" applyAlignment="1">
      <alignment horizontal="center" vertical="center"/>
    </xf>
    <xf numFmtId="3" fontId="40" fillId="0" borderId="5" xfId="0" applyNumberFormat="1" applyFont="1" applyBorder="1">
      <alignment vertical="center"/>
    </xf>
    <xf numFmtId="0" fontId="40" fillId="0" borderId="5" xfId="0" applyFont="1" applyBorder="1">
      <alignment vertical="center"/>
    </xf>
    <xf numFmtId="39" fontId="3" fillId="12" borderId="0" xfId="0" applyNumberFormat="1" applyFont="1" applyFill="1" applyAlignment="1" applyProtection="1">
      <alignment horizontal="center" vertical="center"/>
      <protection locked="0"/>
    </xf>
    <xf numFmtId="166" fontId="3" fillId="12" borderId="0" xfId="5" applyFont="1" applyFill="1" applyBorder="1" applyAlignment="1">
      <alignment horizontal="center" vertical="center"/>
    </xf>
    <xf numFmtId="3" fontId="3" fillId="12" borderId="0" xfId="0" applyNumberFormat="1" applyFont="1" applyFill="1">
      <alignment vertical="center"/>
    </xf>
    <xf numFmtId="39" fontId="3" fillId="12" borderId="0" xfId="0" applyNumberFormat="1" applyFont="1" applyFill="1" applyAlignment="1">
      <alignment horizontal="center" vertical="center"/>
    </xf>
    <xf numFmtId="39" fontId="3" fillId="12" borderId="34" xfId="0" applyNumberFormat="1" applyFont="1" applyFill="1" applyBorder="1" applyAlignment="1" applyProtection="1">
      <alignment horizontal="justify" vertical="center"/>
      <protection locked="0"/>
    </xf>
    <xf numFmtId="166" fontId="3" fillId="12" borderId="34" xfId="5" applyFont="1" applyFill="1" applyBorder="1" applyAlignment="1">
      <alignment horizontal="center" vertical="center"/>
    </xf>
    <xf numFmtId="3" fontId="3" fillId="12" borderId="34" xfId="0" applyNumberFormat="1" applyFont="1" applyFill="1" applyBorder="1">
      <alignment vertical="center"/>
    </xf>
    <xf numFmtId="39" fontId="3" fillId="12" borderId="34" xfId="0" applyNumberFormat="1" applyFont="1" applyFill="1" applyBorder="1" applyAlignment="1">
      <alignment horizontal="center" vertical="center"/>
    </xf>
    <xf numFmtId="0" fontId="3" fillId="0" borderId="0" xfId="0" applyFont="1" applyAlignment="1">
      <alignment horizontal="center" vertical="center"/>
    </xf>
    <xf numFmtId="0" fontId="40" fillId="0" borderId="0" xfId="0" applyFont="1" applyAlignment="1">
      <alignment horizontal="center" vertical="center"/>
    </xf>
    <xf numFmtId="0" fontId="3" fillId="13" borderId="35" xfId="0" applyFont="1" applyFill="1" applyBorder="1" applyAlignment="1">
      <alignment horizontal="center" vertical="center"/>
    </xf>
    <xf numFmtId="0" fontId="3" fillId="13" borderId="34" xfId="0" applyFont="1" applyFill="1" applyBorder="1" applyAlignment="1">
      <alignment horizontal="center" vertical="center"/>
    </xf>
    <xf numFmtId="0" fontId="3" fillId="13" borderId="36" xfId="0" applyFont="1" applyFill="1" applyBorder="1" applyAlignment="1">
      <alignment horizontal="center" vertical="center"/>
    </xf>
    <xf numFmtId="0" fontId="3" fillId="13" borderId="44" xfId="0" applyFont="1" applyFill="1" applyBorder="1" applyAlignment="1">
      <alignment horizontal="center" vertical="center"/>
    </xf>
    <xf numFmtId="0" fontId="3" fillId="13" borderId="5" xfId="0" applyFont="1" applyFill="1" applyBorder="1" applyAlignment="1">
      <alignment horizontal="center" vertical="center"/>
    </xf>
    <xf numFmtId="0" fontId="3" fillId="13" borderId="45" xfId="0" applyFont="1" applyFill="1" applyBorder="1" applyAlignment="1">
      <alignment horizontal="center" vertical="center"/>
    </xf>
    <xf numFmtId="0" fontId="3" fillId="5" borderId="3" xfId="0" applyFont="1" applyFill="1" applyBorder="1" applyAlignment="1">
      <alignment horizontal="center" vertical="center"/>
    </xf>
    <xf numFmtId="166" fontId="3" fillId="5" borderId="3" xfId="5" applyFont="1" applyFill="1" applyBorder="1" applyAlignment="1">
      <alignment horizontal="center" vertical="center"/>
    </xf>
    <xf numFmtId="3" fontId="3" fillId="5" borderId="3" xfId="0" applyNumberFormat="1" applyFont="1" applyFill="1" applyBorder="1" applyAlignment="1">
      <alignment horizontal="center" vertical="center" wrapText="1"/>
    </xf>
    <xf numFmtId="0" fontId="3" fillId="5" borderId="13" xfId="0" applyFont="1" applyFill="1" applyBorder="1" applyAlignment="1">
      <alignment horizontal="center" vertical="center" wrapText="1"/>
    </xf>
    <xf numFmtId="39" fontId="3" fillId="12" borderId="0" xfId="0" applyNumberFormat="1" applyFont="1" applyFill="1" applyProtection="1">
      <alignment vertical="center"/>
      <protection locked="0"/>
    </xf>
    <xf numFmtId="166" fontId="3" fillId="12" borderId="0" xfId="5" applyFont="1" applyFill="1" applyAlignment="1" applyProtection="1">
      <alignment horizontal="center" vertical="center"/>
    </xf>
    <xf numFmtId="39" fontId="3" fillId="0" borderId="0" xfId="0" applyNumberFormat="1" applyFont="1" applyAlignment="1">
      <alignment horizontal="justify" vertical="center"/>
    </xf>
    <xf numFmtId="166" fontId="3" fillId="0" borderId="0" xfId="5" applyFont="1" applyFill="1" applyAlignment="1" applyProtection="1">
      <alignment horizontal="center" vertical="center"/>
    </xf>
    <xf numFmtId="3" fontId="3" fillId="0" borderId="0" xfId="0" applyNumberFormat="1" applyFont="1">
      <alignment vertical="center"/>
    </xf>
    <xf numFmtId="171" fontId="3" fillId="0" borderId="0" xfId="0" applyNumberFormat="1" applyFont="1" applyAlignment="1">
      <alignment horizontal="center" vertical="center"/>
    </xf>
    <xf numFmtId="39" fontId="3" fillId="0" borderId="0" xfId="0" applyNumberFormat="1" applyFont="1" applyAlignment="1">
      <alignment horizontal="right" vertical="center"/>
    </xf>
    <xf numFmtId="39" fontId="3" fillId="6" borderId="33" xfId="1" applyNumberFormat="1" applyFont="1" applyFill="1" applyBorder="1" applyAlignment="1">
      <alignment horizontal="center" vertical="center"/>
    </xf>
    <xf numFmtId="39" fontId="3" fillId="0" borderId="5" xfId="0" applyNumberFormat="1" applyFont="1" applyBorder="1" applyAlignment="1">
      <alignment horizontal="center" vertical="center"/>
    </xf>
    <xf numFmtId="39" fontId="3" fillId="0" borderId="5" xfId="0" applyNumberFormat="1" applyFont="1" applyBorder="1" applyAlignment="1">
      <alignment horizontal="justify" vertical="center"/>
    </xf>
    <xf numFmtId="166" fontId="3" fillId="0" borderId="5" xfId="5" applyFont="1" applyFill="1" applyBorder="1" applyAlignment="1" applyProtection="1">
      <alignment horizontal="center" vertical="center"/>
    </xf>
    <xf numFmtId="3" fontId="3" fillId="0" borderId="5" xfId="0" applyNumberFormat="1" applyFont="1" applyBorder="1">
      <alignment vertical="center"/>
    </xf>
    <xf numFmtId="166" fontId="3" fillId="12" borderId="0" xfId="5" applyFont="1" applyFill="1" applyBorder="1" applyAlignment="1" applyProtection="1">
      <alignment horizontal="center" vertical="center"/>
    </xf>
    <xf numFmtId="39" fontId="3" fillId="6" borderId="11" xfId="1" applyNumberFormat="1" applyFont="1" applyFill="1" applyBorder="1" applyAlignment="1">
      <alignment horizontal="center" vertical="center"/>
    </xf>
    <xf numFmtId="39" fontId="3" fillId="0" borderId="6" xfId="0" applyNumberFormat="1" applyFont="1" applyBorder="1" applyAlignment="1">
      <alignment horizontal="center" vertical="center"/>
    </xf>
    <xf numFmtId="173" fontId="3" fillId="0" borderId="0" xfId="5" applyNumberFormat="1" applyFont="1" applyFill="1" applyAlignment="1" applyProtection="1">
      <alignment horizontal="center" vertical="center"/>
    </xf>
    <xf numFmtId="39" fontId="3" fillId="15" borderId="9" xfId="2" applyNumberFormat="1" applyFont="1" applyFill="1" applyBorder="1" applyAlignment="1">
      <alignment horizontal="center" vertical="center"/>
    </xf>
    <xf numFmtId="171" fontId="3" fillId="0" borderId="5" xfId="0" applyNumberFormat="1" applyFont="1" applyBorder="1" applyAlignment="1">
      <alignment horizontal="center" vertical="center"/>
    </xf>
    <xf numFmtId="39" fontId="3" fillId="0" borderId="0" xfId="0" applyNumberFormat="1" applyFont="1">
      <alignment vertical="center"/>
    </xf>
    <xf numFmtId="39" fontId="3" fillId="15" borderId="8" xfId="2" applyNumberFormat="1" applyFont="1" applyFill="1" applyBorder="1" applyAlignment="1">
      <alignment horizontal="center" vertical="center"/>
    </xf>
    <xf numFmtId="39" fontId="3" fillId="6" borderId="32" xfId="1" applyNumberFormat="1" applyFont="1" applyFill="1" applyBorder="1" applyAlignment="1">
      <alignment horizontal="center" vertical="center"/>
    </xf>
    <xf numFmtId="39" fontId="3" fillId="15" borderId="4" xfId="2" applyNumberFormat="1" applyFont="1" applyFill="1" applyBorder="1" applyAlignment="1">
      <alignment horizontal="center" vertical="center"/>
    </xf>
    <xf numFmtId="166" fontId="3" fillId="0" borderId="0" xfId="5" applyFont="1" applyFill="1" applyAlignment="1">
      <alignment horizontal="center" vertical="center"/>
    </xf>
    <xf numFmtId="166" fontId="3" fillId="0" borderId="0" xfId="5" applyFont="1" applyFill="1" applyBorder="1" applyAlignment="1" applyProtection="1">
      <alignment horizontal="center" vertical="center"/>
    </xf>
    <xf numFmtId="39" fontId="3" fillId="10" borderId="0" xfId="0" applyNumberFormat="1" applyFont="1" applyFill="1" applyAlignment="1">
      <alignment horizontal="center" vertical="center"/>
    </xf>
    <xf numFmtId="39" fontId="3" fillId="10" borderId="0" xfId="0" applyNumberFormat="1" applyFont="1" applyFill="1" applyAlignment="1">
      <alignment horizontal="justify" vertical="center"/>
    </xf>
    <xf numFmtId="166" fontId="3" fillId="10" borderId="0" xfId="5" applyFont="1" applyFill="1" applyBorder="1" applyAlignment="1" applyProtection="1">
      <alignment horizontal="center" vertical="center"/>
    </xf>
    <xf numFmtId="3" fontId="3" fillId="10" borderId="0" xfId="0" applyNumberFormat="1" applyFont="1" applyFill="1">
      <alignment vertical="center"/>
    </xf>
    <xf numFmtId="39" fontId="3" fillId="12" borderId="8" xfId="0" applyNumberFormat="1" applyFont="1" applyFill="1" applyBorder="1" applyAlignment="1">
      <alignment horizontal="center" vertical="center"/>
    </xf>
    <xf numFmtId="39" fontId="3" fillId="0" borderId="0" xfId="0" applyNumberFormat="1" applyFont="1" applyAlignment="1" applyProtection="1">
      <alignment horizontal="center" vertical="center"/>
      <protection locked="0"/>
    </xf>
    <xf numFmtId="39" fontId="3" fillId="0" borderId="0" xfId="0" applyNumberFormat="1" applyFont="1" applyAlignment="1" applyProtection="1">
      <alignment horizontal="justify" vertical="center"/>
      <protection locked="0"/>
    </xf>
    <xf numFmtId="172" fontId="3" fillId="0" borderId="0" xfId="0" applyNumberFormat="1" applyFont="1" applyAlignment="1">
      <alignment horizontal="center" vertical="center"/>
    </xf>
    <xf numFmtId="39" fontId="3" fillId="12" borderId="4" xfId="0" applyNumberFormat="1" applyFont="1" applyFill="1" applyBorder="1" applyAlignment="1">
      <alignment horizontal="center" vertical="center"/>
    </xf>
    <xf numFmtId="0" fontId="3" fillId="0" borderId="0" xfId="0" applyFont="1" applyAlignment="1">
      <alignment horizontal="right" vertical="center"/>
    </xf>
    <xf numFmtId="39" fontId="3" fillId="14" borderId="9" xfId="0" applyNumberFormat="1" applyFont="1" applyFill="1" applyBorder="1" applyAlignment="1">
      <alignment horizontal="center" vertical="center"/>
    </xf>
    <xf numFmtId="173" fontId="3" fillId="0" borderId="5" xfId="5" applyNumberFormat="1" applyFont="1" applyFill="1" applyBorder="1" applyAlignment="1" applyProtection="1">
      <alignment horizontal="center" vertical="center"/>
    </xf>
    <xf numFmtId="0" fontId="3" fillId="0" borderId="5" xfId="0" applyFont="1" applyBorder="1">
      <alignment vertical="center"/>
    </xf>
    <xf numFmtId="2" fontId="3" fillId="0" borderId="5" xfId="0" applyNumberFormat="1" applyFont="1" applyBorder="1" applyAlignment="1">
      <alignment horizontal="center" vertical="center"/>
    </xf>
    <xf numFmtId="39" fontId="3" fillId="17" borderId="7" xfId="0" applyNumberFormat="1" applyFont="1" applyFill="1" applyBorder="1" applyAlignment="1">
      <alignment horizontal="center" vertical="center"/>
    </xf>
    <xf numFmtId="166" fontId="3" fillId="0" borderId="0" xfId="5" applyFont="1" applyFill="1" applyBorder="1" applyAlignment="1">
      <alignment horizontal="center" vertical="center"/>
    </xf>
    <xf numFmtId="39" fontId="3" fillId="14" borderId="9" xfId="0" applyNumberFormat="1" applyFont="1" applyFill="1" applyBorder="1">
      <alignment vertical="center"/>
    </xf>
    <xf numFmtId="39" fontId="3" fillId="16" borderId="7" xfId="0" applyNumberFormat="1" applyFont="1" applyFill="1" applyBorder="1" applyAlignment="1">
      <alignment horizontal="center" vertical="center"/>
    </xf>
    <xf numFmtId="17" fontId="40" fillId="0" borderId="0" xfId="0" applyNumberFormat="1" applyFont="1">
      <alignment vertical="center"/>
    </xf>
    <xf numFmtId="39" fontId="3" fillId="10" borderId="0" xfId="0" applyNumberFormat="1" applyFont="1" applyFill="1" applyAlignment="1" applyProtection="1">
      <alignment horizontal="center" vertical="center"/>
      <protection locked="0"/>
    </xf>
    <xf numFmtId="39" fontId="3" fillId="10" borderId="0" xfId="0" applyNumberFormat="1" applyFont="1" applyFill="1" applyAlignment="1" applyProtection="1">
      <alignment horizontal="justify" vertical="center"/>
      <protection locked="0"/>
    </xf>
    <xf numFmtId="166" fontId="3" fillId="10" borderId="0" xfId="5" applyFont="1" applyFill="1" applyAlignment="1" applyProtection="1">
      <alignment horizontal="center" vertical="center"/>
    </xf>
    <xf numFmtId="171" fontId="3" fillId="10" borderId="0" xfId="0" applyNumberFormat="1" applyFont="1" applyFill="1" applyAlignment="1">
      <alignment horizontal="center" vertical="center"/>
    </xf>
    <xf numFmtId="39" fontId="3" fillId="10" borderId="6" xfId="0" applyNumberFormat="1" applyFont="1" applyFill="1" applyBorder="1" applyAlignment="1">
      <alignment horizontal="center" vertical="center"/>
    </xf>
    <xf numFmtId="39" fontId="3" fillId="10" borderId="5" xfId="0" applyNumberFormat="1" applyFont="1" applyFill="1" applyBorder="1" applyAlignment="1">
      <alignment horizontal="justify" vertical="center"/>
    </xf>
    <xf numFmtId="39" fontId="3" fillId="10" borderId="5" xfId="0" applyNumberFormat="1" applyFont="1" applyFill="1" applyBorder="1" applyAlignment="1">
      <alignment horizontal="center" vertical="center"/>
    </xf>
    <xf numFmtId="166" fontId="3" fillId="10" borderId="5" xfId="5" applyFont="1" applyFill="1" applyBorder="1" applyAlignment="1" applyProtection="1">
      <alignment horizontal="center" vertical="center"/>
    </xf>
    <xf numFmtId="3" fontId="3" fillId="10" borderId="5" xfId="0" applyNumberFormat="1" applyFont="1" applyFill="1" applyBorder="1">
      <alignment vertical="center"/>
    </xf>
    <xf numFmtId="166" fontId="3" fillId="0" borderId="0" xfId="5" applyFont="1" applyFill="1" applyAlignment="1" applyProtection="1">
      <alignment horizontal="right" vertical="center"/>
    </xf>
    <xf numFmtId="3" fontId="3" fillId="0" borderId="0" xfId="0" applyNumberFormat="1" applyFont="1" applyAlignment="1">
      <alignment horizontal="right" vertical="center"/>
    </xf>
    <xf numFmtId="39" fontId="3" fillId="12" borderId="7" xfId="0" applyNumberFormat="1" applyFont="1" applyFill="1" applyBorder="1" applyAlignment="1">
      <alignment horizontal="center" vertical="center"/>
    </xf>
    <xf numFmtId="39" fontId="3" fillId="6" borderId="12" xfId="1" applyNumberFormat="1" applyFont="1" applyFill="1" applyBorder="1" applyAlignment="1">
      <alignment horizontal="center" vertical="center"/>
    </xf>
    <xf numFmtId="39" fontId="3" fillId="12" borderId="1" xfId="0" applyNumberFormat="1" applyFont="1" applyFill="1" applyBorder="1" applyAlignment="1" applyProtection="1">
      <alignment horizontal="center" vertical="center"/>
      <protection locked="0"/>
    </xf>
    <xf numFmtId="0" fontId="3" fillId="0" borderId="5" xfId="0" applyFont="1" applyBorder="1" applyAlignment="1">
      <alignment horizontal="center" vertical="center"/>
    </xf>
    <xf numFmtId="39" fontId="3" fillId="14" borderId="9" xfId="2" applyNumberFormat="1" applyFont="1" applyFill="1" applyBorder="1" applyAlignment="1">
      <alignment horizontal="center" vertical="center"/>
    </xf>
    <xf numFmtId="172" fontId="3" fillId="0" borderId="5" xfId="0" applyNumberFormat="1" applyFont="1" applyBorder="1" applyAlignment="1">
      <alignment horizontal="center" vertical="center"/>
    </xf>
    <xf numFmtId="0" fontId="3" fillId="0" borderId="6" xfId="0" applyFont="1" applyBorder="1" applyAlignment="1">
      <alignment horizontal="center" vertical="center"/>
    </xf>
    <xf numFmtId="39" fontId="3" fillId="0" borderId="5" xfId="0" applyNumberFormat="1" applyFont="1" applyBorder="1">
      <alignment vertical="center"/>
    </xf>
    <xf numFmtId="0" fontId="3" fillId="0" borderId="5" xfId="0" applyFont="1" applyBorder="1" applyAlignment="1">
      <alignment horizontal="right" vertical="center"/>
    </xf>
    <xf numFmtId="39" fontId="3" fillId="13" borderId="5" xfId="1" applyNumberFormat="1" applyFont="1" applyFill="1" applyBorder="1" applyAlignment="1">
      <alignment horizontal="center" vertical="center"/>
    </xf>
    <xf numFmtId="39" fontId="3" fillId="13" borderId="5" xfId="0" applyNumberFormat="1" applyFont="1" applyFill="1" applyBorder="1" applyAlignment="1">
      <alignment horizontal="center" vertical="center"/>
    </xf>
    <xf numFmtId="39" fontId="3" fillId="13" borderId="5" xfId="0" applyNumberFormat="1" applyFont="1" applyFill="1" applyBorder="1" applyAlignment="1">
      <alignment horizontal="justify" vertical="center"/>
    </xf>
    <xf numFmtId="3" fontId="3" fillId="13" borderId="5" xfId="0" applyNumberFormat="1" applyFont="1" applyFill="1" applyBorder="1">
      <alignment vertical="center"/>
    </xf>
    <xf numFmtId="39" fontId="3" fillId="12" borderId="9" xfId="0" applyNumberFormat="1" applyFont="1" applyFill="1" applyBorder="1" applyAlignment="1">
      <alignment horizontal="center" vertical="center"/>
    </xf>
    <xf numFmtId="4" fontId="3" fillId="0" borderId="0" xfId="0" applyNumberFormat="1" applyFont="1" applyAlignment="1">
      <alignment horizontal="center" vertical="center"/>
    </xf>
    <xf numFmtId="4" fontId="3" fillId="0" borderId="5" xfId="0" applyNumberFormat="1" applyFont="1" applyBorder="1" applyAlignment="1">
      <alignment horizontal="center" vertical="center"/>
    </xf>
    <xf numFmtId="165" fontId="40" fillId="0" borderId="0" xfId="15" applyFont="1" applyFill="1" applyAlignment="1">
      <alignment vertical="center"/>
    </xf>
    <xf numFmtId="39" fontId="3" fillId="0" borderId="7" xfId="0" applyNumberFormat="1" applyFont="1" applyBorder="1" applyAlignment="1">
      <alignment horizontal="center" vertical="center"/>
    </xf>
    <xf numFmtId="39" fontId="3" fillId="0" borderId="7" xfId="0" applyNumberFormat="1" applyFont="1" applyBorder="1" applyAlignment="1">
      <alignment horizontal="justify" vertical="center"/>
    </xf>
    <xf numFmtId="166" fontId="3" fillId="0" borderId="7" xfId="5" applyFont="1" applyFill="1" applyBorder="1" applyAlignment="1">
      <alignment horizontal="center" vertical="center"/>
    </xf>
    <xf numFmtId="3" fontId="3" fillId="0" borderId="7" xfId="0" applyNumberFormat="1" applyFont="1" applyBorder="1">
      <alignment vertical="center"/>
    </xf>
    <xf numFmtId="39" fontId="3" fillId="0" borderId="7" xfId="0" applyNumberFormat="1" applyFont="1" applyBorder="1" applyAlignment="1" applyProtection="1">
      <alignment horizontal="justify" vertical="center"/>
      <protection locked="0"/>
    </xf>
    <xf numFmtId="166" fontId="3" fillId="0" borderId="7" xfId="5" applyFont="1" applyFill="1" applyBorder="1" applyAlignment="1" applyProtection="1">
      <alignment horizontal="center" vertical="center"/>
    </xf>
    <xf numFmtId="0" fontId="3" fillId="0" borderId="4" xfId="0" applyFont="1" applyBorder="1" applyAlignment="1">
      <alignment horizontal="center" vertical="center"/>
    </xf>
    <xf numFmtId="39" fontId="3" fillId="0" borderId="4" xfId="0" applyNumberFormat="1" applyFont="1" applyBorder="1">
      <alignment vertical="center"/>
    </xf>
    <xf numFmtId="166" fontId="3" fillId="0" borderId="4" xfId="5" applyFont="1" applyFill="1" applyBorder="1" applyAlignment="1" applyProtection="1">
      <alignment horizontal="center" vertical="center"/>
    </xf>
    <xf numFmtId="3" fontId="3" fillId="0" borderId="4" xfId="0" applyNumberFormat="1" applyFont="1" applyBorder="1">
      <alignment vertical="center"/>
    </xf>
    <xf numFmtId="171" fontId="3" fillId="0" borderId="4" xfId="0" applyNumberFormat="1" applyFont="1" applyBorder="1" applyAlignment="1">
      <alignment horizontal="center" vertical="center"/>
    </xf>
    <xf numFmtId="168" fontId="3" fillId="0" borderId="0" xfId="0" applyNumberFormat="1" applyFont="1" applyAlignment="1">
      <alignment horizontal="center" vertical="center"/>
    </xf>
    <xf numFmtId="2" fontId="40" fillId="0" borderId="0" xfId="0" applyNumberFormat="1" applyFont="1">
      <alignment vertical="center"/>
    </xf>
    <xf numFmtId="39" fontId="3" fillId="12" borderId="1" xfId="0" applyNumberFormat="1" applyFont="1" applyFill="1" applyBorder="1" applyAlignment="1" applyProtection="1">
      <alignment horizontal="justify" vertical="center"/>
      <protection locked="0"/>
    </xf>
    <xf numFmtId="166" fontId="3" fillId="12" borderId="1" xfId="5" applyFont="1" applyFill="1" applyBorder="1" applyAlignment="1" applyProtection="1">
      <alignment horizontal="center" vertical="center"/>
    </xf>
    <xf numFmtId="3" fontId="3" fillId="12" borderId="1" xfId="0" applyNumberFormat="1" applyFont="1" applyFill="1" applyBorder="1">
      <alignment vertical="center"/>
    </xf>
    <xf numFmtId="39" fontId="3" fillId="12" borderId="1" xfId="0" applyNumberFormat="1" applyFont="1" applyFill="1" applyBorder="1" applyAlignment="1">
      <alignment horizontal="center" vertical="center"/>
    </xf>
    <xf numFmtId="39" fontId="3" fillId="0" borderId="0" xfId="0" applyNumberFormat="1" applyFont="1" applyAlignment="1">
      <alignment vertical="center" wrapText="1"/>
    </xf>
    <xf numFmtId="173" fontId="3" fillId="0" borderId="0" xfId="5" applyNumberFormat="1" applyFont="1" applyFill="1" applyBorder="1" applyAlignment="1" applyProtection="1">
      <alignment horizontal="center" vertical="center"/>
    </xf>
    <xf numFmtId="39" fontId="3" fillId="17" borderId="7" xfId="0" applyNumberFormat="1" applyFont="1" applyFill="1" applyBorder="1" applyAlignment="1" applyProtection="1">
      <alignment horizontal="center" vertical="center"/>
      <protection locked="0"/>
    </xf>
    <xf numFmtId="173" fontId="3" fillId="0" borderId="0" xfId="5" applyNumberFormat="1" applyFont="1" applyFill="1" applyBorder="1" applyAlignment="1">
      <alignment horizontal="center" vertical="center"/>
    </xf>
    <xf numFmtId="166" fontId="3" fillId="0" borderId="5" xfId="5" applyFont="1" applyFill="1" applyBorder="1" applyAlignment="1">
      <alignment horizontal="center" vertical="center"/>
    </xf>
    <xf numFmtId="39" fontId="3" fillId="12" borderId="0" xfId="1" applyNumberFormat="1" applyFont="1" applyFill="1" applyBorder="1" applyAlignment="1">
      <alignment horizontal="center" vertical="center"/>
    </xf>
    <xf numFmtId="39" fontId="3" fillId="12" borderId="0" xfId="0" applyNumberFormat="1" applyFont="1" applyFill="1" applyAlignment="1">
      <alignment horizontal="justify" vertical="center"/>
    </xf>
    <xf numFmtId="171" fontId="3" fillId="12" borderId="0" xfId="0" applyNumberFormat="1" applyFont="1" applyFill="1" applyAlignment="1">
      <alignment horizontal="center" vertical="center"/>
    </xf>
    <xf numFmtId="39" fontId="3" fillId="12" borderId="5" xfId="0" applyNumberFormat="1" applyFont="1" applyFill="1" applyBorder="1" applyAlignment="1">
      <alignment horizontal="center" vertical="center"/>
    </xf>
    <xf numFmtId="166" fontId="3" fillId="0" borderId="0" xfId="5" applyFont="1" applyFill="1" applyBorder="1" applyAlignment="1" applyProtection="1">
      <alignment horizontal="center" vertical="center"/>
      <protection locked="0"/>
    </xf>
    <xf numFmtId="3" fontId="3" fillId="0" borderId="5" xfId="0" applyNumberFormat="1" applyFont="1" applyBorder="1" applyAlignment="1">
      <alignment horizontal="right" vertical="center"/>
    </xf>
    <xf numFmtId="39" fontId="3" fillId="12" borderId="0" xfId="0" applyNumberFormat="1" applyFont="1" applyFill="1" applyAlignment="1" applyProtection="1">
      <alignment horizontal="justify" vertical="center" wrapText="1"/>
      <protection locked="0"/>
    </xf>
    <xf numFmtId="0" fontId="3" fillId="0" borderId="0" xfId="0" applyFont="1" applyAlignment="1">
      <alignment vertical="center" wrapText="1"/>
    </xf>
    <xf numFmtId="0" fontId="3" fillId="10" borderId="0" xfId="0" applyFont="1" applyFill="1" applyAlignment="1">
      <alignment horizontal="center" vertical="center"/>
    </xf>
    <xf numFmtId="39" fontId="3" fillId="10" borderId="0" xfId="0" applyNumberFormat="1" applyFont="1" applyFill="1">
      <alignment vertical="center"/>
    </xf>
    <xf numFmtId="166" fontId="3" fillId="13" borderId="5" xfId="5" applyFont="1" applyFill="1" applyBorder="1" applyAlignment="1">
      <alignment horizontal="center" vertical="center"/>
    </xf>
    <xf numFmtId="39" fontId="3" fillId="17" borderId="0" xfId="0" applyNumberFormat="1" applyFont="1" applyFill="1" applyAlignment="1">
      <alignment horizontal="center" vertical="center"/>
    </xf>
    <xf numFmtId="39" fontId="3" fillId="6" borderId="9" xfId="1" applyNumberFormat="1" applyFont="1" applyFill="1" applyBorder="1" applyAlignment="1">
      <alignment horizontal="center" vertical="center"/>
    </xf>
    <xf numFmtId="166" fontId="3" fillId="10" borderId="0" xfId="13" applyNumberFormat="1" applyFont="1" applyFill="1" applyBorder="1" applyAlignment="1" applyProtection="1">
      <alignment horizontal="center" vertical="center"/>
    </xf>
    <xf numFmtId="166" fontId="3" fillId="10" borderId="0" xfId="5" applyFont="1" applyFill="1" applyBorder="1" applyAlignment="1">
      <alignment horizontal="center" vertical="center"/>
    </xf>
    <xf numFmtId="4" fontId="3" fillId="10" borderId="0" xfId="0" applyNumberFormat="1" applyFont="1" applyFill="1" applyAlignment="1">
      <alignment horizontal="center" vertical="center"/>
    </xf>
    <xf numFmtId="39" fontId="3" fillId="6" borderId="0" xfId="0" applyNumberFormat="1" applyFont="1" applyFill="1" applyAlignment="1">
      <alignment horizontal="center" vertical="center"/>
    </xf>
    <xf numFmtId="39" fontId="3" fillId="6" borderId="5" xfId="0" applyNumberFormat="1" applyFont="1" applyFill="1" applyBorder="1" applyAlignment="1">
      <alignment horizontal="center" vertical="center"/>
    </xf>
    <xf numFmtId="4" fontId="3" fillId="12" borderId="0" xfId="0" applyNumberFormat="1" applyFont="1" applyFill="1" applyAlignment="1">
      <alignment horizontal="center" vertical="center"/>
    </xf>
    <xf numFmtId="4" fontId="3" fillId="13" borderId="5" xfId="0" applyNumberFormat="1" applyFont="1" applyFill="1" applyBorder="1" applyAlignment="1">
      <alignment horizontal="center" vertical="center"/>
    </xf>
    <xf numFmtId="39" fontId="3" fillId="15" borderId="0" xfId="2" applyNumberFormat="1" applyFont="1" applyFill="1" applyBorder="1" applyAlignment="1">
      <alignment horizontal="center" vertical="center"/>
    </xf>
    <xf numFmtId="0" fontId="3" fillId="12" borderId="0" xfId="0" applyFont="1" applyFill="1">
      <alignment vertical="center"/>
    </xf>
    <xf numFmtId="39" fontId="3" fillId="17" borderId="5" xfId="0" applyNumberFormat="1" applyFont="1" applyFill="1" applyBorder="1" applyAlignment="1">
      <alignment horizontal="center" vertical="center"/>
    </xf>
    <xf numFmtId="166" fontId="3" fillId="12" borderId="1" xfId="5" applyFont="1" applyFill="1" applyBorder="1" applyAlignment="1">
      <alignment horizontal="center" vertical="center"/>
    </xf>
    <xf numFmtId="39" fontId="3" fillId="6" borderId="10" xfId="1" applyNumberFormat="1" applyFont="1" applyFill="1" applyBorder="1" applyAlignment="1">
      <alignment horizontal="center" vertical="center"/>
    </xf>
    <xf numFmtId="39" fontId="3" fillId="11" borderId="11" xfId="1" applyNumberFormat="1" applyFont="1" applyFill="1" applyBorder="1" applyAlignment="1">
      <alignment horizontal="center" vertical="center"/>
    </xf>
    <xf numFmtId="39" fontId="3" fillId="10" borderId="0" xfId="0" applyNumberFormat="1" applyFont="1" applyFill="1" applyAlignment="1">
      <alignment horizontal="justify" vertical="center" wrapText="1"/>
    </xf>
    <xf numFmtId="0" fontId="3" fillId="12" borderId="0" xfId="0" applyFont="1" applyFill="1" applyAlignment="1">
      <alignment vertical="center" wrapText="1"/>
    </xf>
    <xf numFmtId="39" fontId="3" fillId="10" borderId="0" xfId="0" applyNumberFormat="1" applyFont="1" applyFill="1" applyAlignment="1">
      <alignment vertical="top" wrapText="1"/>
    </xf>
    <xf numFmtId="173" fontId="3" fillId="10" borderId="0" xfId="5" applyNumberFormat="1" applyFont="1" applyFill="1" applyAlignment="1" applyProtection="1">
      <alignment horizontal="center" vertical="center"/>
    </xf>
    <xf numFmtId="39" fontId="3" fillId="6" borderId="5" xfId="1" applyNumberFormat="1" applyFont="1" applyFill="1" applyBorder="1" applyAlignment="1">
      <alignment horizontal="center" vertical="center"/>
    </xf>
    <xf numFmtId="39" fontId="3" fillId="17" borderId="0" xfId="2" applyNumberFormat="1" applyFont="1" applyFill="1" applyBorder="1" applyAlignment="1">
      <alignment horizontal="center" vertical="center"/>
    </xf>
    <xf numFmtId="0" fontId="3" fillId="12" borderId="0" xfId="0" applyFont="1" applyFill="1" applyAlignment="1">
      <alignment horizontal="center" vertical="center"/>
    </xf>
    <xf numFmtId="39" fontId="3" fillId="12" borderId="34" xfId="1" applyNumberFormat="1" applyFont="1" applyFill="1" applyBorder="1" applyAlignment="1">
      <alignment horizontal="center" vertical="center"/>
    </xf>
    <xf numFmtId="166" fontId="3" fillId="12" borderId="34" xfId="5" applyFont="1" applyFill="1" applyBorder="1" applyAlignment="1" applyProtection="1">
      <alignment horizontal="center" vertical="center"/>
    </xf>
    <xf numFmtId="171" fontId="3" fillId="12" borderId="34" xfId="0" applyNumberFormat="1" applyFont="1" applyFill="1" applyBorder="1" applyAlignment="1">
      <alignment horizontal="center" vertical="center"/>
    </xf>
    <xf numFmtId="39" fontId="3" fillId="18" borderId="0" xfId="0" applyNumberFormat="1" applyFont="1" applyFill="1" applyAlignment="1" applyProtection="1">
      <alignment horizontal="center" vertical="center"/>
      <protection locked="0"/>
    </xf>
    <xf numFmtId="2" fontId="3" fillId="0" borderId="0" xfId="0" applyNumberFormat="1" applyFont="1">
      <alignment vertical="center"/>
    </xf>
    <xf numFmtId="39" fontId="3" fillId="14" borderId="8" xfId="0" applyNumberFormat="1" applyFont="1" applyFill="1" applyBorder="1" applyAlignment="1">
      <alignment horizontal="center" vertical="center"/>
    </xf>
    <xf numFmtId="39" fontId="3" fillId="12" borderId="1" xfId="1" applyNumberFormat="1" applyFont="1" applyFill="1" applyBorder="1" applyAlignment="1">
      <alignment horizontal="center" vertical="center"/>
    </xf>
    <xf numFmtId="39" fontId="3" fillId="12" borderId="1" xfId="0" applyNumberFormat="1" applyFont="1" applyFill="1" applyBorder="1" applyAlignment="1">
      <alignment horizontal="justify" vertical="center"/>
    </xf>
    <xf numFmtId="171" fontId="3" fillId="12" borderId="1" xfId="0" applyNumberFormat="1" applyFont="1" applyFill="1" applyBorder="1" applyAlignment="1">
      <alignment horizontal="center" vertical="center"/>
    </xf>
    <xf numFmtId="39" fontId="3" fillId="14" borderId="54" xfId="0" applyNumberFormat="1" applyFont="1" applyFill="1" applyBorder="1" applyAlignment="1">
      <alignment horizontal="center" vertical="center"/>
    </xf>
    <xf numFmtId="0" fontId="3" fillId="0" borderId="15" xfId="0" applyFont="1" applyBorder="1">
      <alignment vertical="center"/>
    </xf>
    <xf numFmtId="39" fontId="3" fillId="0" borderId="15" xfId="0" applyNumberFormat="1" applyFont="1" applyBorder="1">
      <alignment vertical="center"/>
    </xf>
    <xf numFmtId="0" fontId="3" fillId="0" borderId="15" xfId="0" applyFont="1" applyBorder="1" applyAlignment="1">
      <alignment horizontal="center" vertical="center"/>
    </xf>
    <xf numFmtId="3" fontId="3" fillId="0" borderId="15" xfId="0" applyNumberFormat="1" applyFont="1" applyBorder="1">
      <alignment vertical="center"/>
    </xf>
    <xf numFmtId="2" fontId="3" fillId="0" borderId="15" xfId="0" applyNumberFormat="1" applyFont="1" applyBorder="1">
      <alignment vertical="center"/>
    </xf>
    <xf numFmtId="2" fontId="3" fillId="0" borderId="0" xfId="0" applyNumberFormat="1" applyFont="1" applyAlignment="1">
      <alignment horizontal="center" vertical="center"/>
    </xf>
    <xf numFmtId="0" fontId="40" fillId="0" borderId="5" xfId="0" applyFont="1" applyBorder="1" applyAlignment="1">
      <alignment horizontal="center" vertical="center"/>
    </xf>
    <xf numFmtId="39" fontId="40" fillId="0" borderId="0" xfId="0" applyNumberFormat="1" applyFont="1">
      <alignment vertical="center"/>
    </xf>
    <xf numFmtId="39" fontId="40" fillId="0" borderId="5" xfId="0" applyNumberFormat="1" applyFont="1" applyBorder="1">
      <alignment vertical="center"/>
    </xf>
    <xf numFmtId="39" fontId="40" fillId="0" borderId="0" xfId="0" applyNumberFormat="1" applyFont="1" applyAlignment="1">
      <alignment horizontal="center" vertical="center"/>
    </xf>
    <xf numFmtId="0" fontId="40" fillId="10" borderId="0" xfId="0" applyFont="1" applyFill="1">
      <alignment vertical="center"/>
    </xf>
    <xf numFmtId="3" fontId="40" fillId="10" borderId="0" xfId="0" applyNumberFormat="1" applyFont="1" applyFill="1">
      <alignment vertical="center"/>
    </xf>
    <xf numFmtId="0" fontId="3" fillId="12" borderId="0" xfId="2" applyFont="1" applyFill="1" applyBorder="1" applyAlignment="1">
      <alignment horizontal="center" vertical="center" wrapText="1"/>
    </xf>
    <xf numFmtId="0" fontId="33" fillId="0" borderId="0" xfId="0" applyFont="1">
      <alignment vertical="center"/>
    </xf>
    <xf numFmtId="177" fontId="40" fillId="0" borderId="0" xfId="0" applyNumberFormat="1" applyFont="1">
      <alignment vertical="center"/>
    </xf>
    <xf numFmtId="0" fontId="26" fillId="12" borderId="0" xfId="0" applyFont="1" applyFill="1" applyAlignment="1">
      <alignment horizontal="center" vertical="center" wrapText="1"/>
    </xf>
    <xf numFmtId="9" fontId="13" fillId="0" borderId="38" xfId="0" applyNumberFormat="1" applyFont="1" applyBorder="1" applyAlignment="1">
      <alignment horizontal="center" vertical="center"/>
    </xf>
    <xf numFmtId="0" fontId="29" fillId="13" borderId="60" xfId="7" applyFont="1" applyFill="1" applyBorder="1" applyAlignment="1">
      <alignment horizontal="center" vertical="center" wrapText="1"/>
    </xf>
    <xf numFmtId="0" fontId="28" fillId="13" borderId="26" xfId="7" applyFont="1" applyFill="1" applyBorder="1" applyAlignment="1">
      <alignment horizontal="center"/>
    </xf>
    <xf numFmtId="9" fontId="4" fillId="0" borderId="27" xfId="10" applyFont="1" applyFill="1" applyBorder="1" applyAlignment="1">
      <alignment horizontal="center"/>
    </xf>
    <xf numFmtId="9" fontId="4" fillId="0" borderId="30" xfId="10" applyFont="1" applyFill="1" applyBorder="1" applyAlignment="1">
      <alignment horizontal="center"/>
    </xf>
    <xf numFmtId="10" fontId="4" fillId="0" borderId="30" xfId="10" applyNumberFormat="1" applyFont="1" applyFill="1" applyBorder="1" applyAlignment="1">
      <alignment horizontal="center"/>
    </xf>
    <xf numFmtId="10" fontId="4" fillId="0" borderId="27" xfId="10" applyNumberFormat="1" applyFont="1" applyFill="1" applyBorder="1" applyAlignment="1">
      <alignment horizontal="center"/>
    </xf>
    <xf numFmtId="10" fontId="4" fillId="13" borderId="27" xfId="10" applyNumberFormat="1" applyFont="1" applyFill="1" applyBorder="1" applyAlignment="1">
      <alignment horizontal="center"/>
    </xf>
    <xf numFmtId="10" fontId="4" fillId="13" borderId="30" xfId="10" applyNumberFormat="1" applyFont="1" applyFill="1" applyBorder="1" applyAlignment="1">
      <alignment horizontal="center"/>
    </xf>
    <xf numFmtId="180" fontId="4" fillId="0" borderId="27" xfId="10" applyNumberFormat="1" applyFont="1" applyFill="1" applyBorder="1" applyAlignment="1">
      <alignment horizontal="center"/>
    </xf>
    <xf numFmtId="180" fontId="4" fillId="0" borderId="30" xfId="10" applyNumberFormat="1" applyFont="1" applyFill="1" applyBorder="1" applyAlignment="1">
      <alignment horizontal="center"/>
    </xf>
    <xf numFmtId="10" fontId="4" fillId="10" borderId="27" xfId="10" applyNumberFormat="1" applyFont="1" applyFill="1" applyBorder="1" applyAlignment="1">
      <alignment horizontal="center"/>
    </xf>
    <xf numFmtId="10" fontId="4" fillId="10" borderId="30" xfId="10" applyNumberFormat="1" applyFont="1" applyFill="1" applyBorder="1" applyAlignment="1">
      <alignment horizontal="center"/>
    </xf>
    <xf numFmtId="10" fontId="4" fillId="0" borderId="28" xfId="10" applyNumberFormat="1" applyFont="1" applyFill="1" applyBorder="1" applyAlignment="1">
      <alignment horizontal="center"/>
    </xf>
    <xf numFmtId="10" fontId="4" fillId="0" borderId="31" xfId="10" applyNumberFormat="1" applyFont="1" applyFill="1" applyBorder="1" applyAlignment="1">
      <alignment horizontal="center"/>
    </xf>
    <xf numFmtId="0" fontId="4" fillId="0" borderId="0" xfId="7" applyFont="1"/>
    <xf numFmtId="10" fontId="30" fillId="13" borderId="45" xfId="10" applyNumberFormat="1" applyFont="1" applyFill="1" applyBorder="1" applyAlignment="1">
      <alignment horizontal="center"/>
    </xf>
    <xf numFmtId="0" fontId="4" fillId="0" borderId="0" xfId="7" applyFont="1" applyAlignment="1">
      <alignment horizontal="left" indent="1"/>
    </xf>
    <xf numFmtId="165" fontId="0" fillId="0" borderId="0" xfId="0" applyNumberFormat="1">
      <alignment vertical="center"/>
    </xf>
    <xf numFmtId="181" fontId="0" fillId="0" borderId="0" xfId="0" applyNumberFormat="1">
      <alignment vertical="center"/>
    </xf>
    <xf numFmtId="10" fontId="0" fillId="0" borderId="0" xfId="0" applyNumberFormat="1">
      <alignment vertical="center"/>
    </xf>
    <xf numFmtId="180" fontId="15" fillId="0" borderId="27" xfId="10" applyNumberFormat="1" applyFont="1" applyFill="1" applyBorder="1" applyAlignment="1">
      <alignment horizontal="center"/>
    </xf>
    <xf numFmtId="180" fontId="15" fillId="0" borderId="30" xfId="10" applyNumberFormat="1" applyFont="1" applyFill="1" applyBorder="1" applyAlignment="1">
      <alignment horizontal="center"/>
    </xf>
    <xf numFmtId="3" fontId="3" fillId="11" borderId="0" xfId="0" applyNumberFormat="1" applyFont="1" applyFill="1">
      <alignment vertical="center"/>
    </xf>
    <xf numFmtId="0" fontId="3" fillId="11" borderId="0" xfId="0" applyFont="1" applyFill="1">
      <alignment vertical="center"/>
    </xf>
    <xf numFmtId="0" fontId="18" fillId="13" borderId="0" xfId="0" applyFont="1" applyFill="1" applyAlignment="1">
      <alignment horizontal="center" vertical="center" wrapText="1"/>
    </xf>
    <xf numFmtId="3" fontId="17" fillId="0" borderId="0" xfId="0" applyNumberFormat="1" applyFont="1">
      <alignment vertical="center"/>
    </xf>
    <xf numFmtId="3" fontId="17" fillId="10" borderId="0" xfId="0" applyNumberFormat="1" applyFont="1" applyFill="1">
      <alignment vertical="center"/>
    </xf>
    <xf numFmtId="0" fontId="40" fillId="11" borderId="0" xfId="0" applyFont="1" applyFill="1">
      <alignment vertical="center"/>
    </xf>
    <xf numFmtId="39" fontId="3" fillId="12" borderId="7" xfId="0" applyNumberFormat="1" applyFont="1" applyFill="1" applyBorder="1" applyAlignment="1">
      <alignment horizontal="center" vertical="center" textRotation="1"/>
    </xf>
    <xf numFmtId="39" fontId="3" fillId="11" borderId="0" xfId="0" applyNumberFormat="1" applyFont="1" applyFill="1" applyAlignment="1" applyProtection="1">
      <alignment horizontal="center" vertical="center"/>
      <protection locked="0"/>
    </xf>
    <xf numFmtId="39" fontId="3" fillId="11" borderId="0" xfId="0" applyNumberFormat="1" applyFont="1" applyFill="1" applyAlignment="1" applyProtection="1">
      <alignment horizontal="justify" vertical="center"/>
      <protection locked="0"/>
    </xf>
    <xf numFmtId="166" fontId="3" fillId="11" borderId="0" xfId="5" applyFont="1" applyFill="1" applyBorder="1" applyAlignment="1">
      <alignment horizontal="center" vertical="center"/>
    </xf>
    <xf numFmtId="39" fontId="3" fillId="11" borderId="0" xfId="0" applyNumberFormat="1" applyFont="1" applyFill="1" applyAlignment="1">
      <alignment horizontal="center" vertical="center"/>
    </xf>
    <xf numFmtId="39" fontId="3" fillId="11" borderId="0" xfId="0" applyNumberFormat="1" applyFont="1" applyFill="1" applyAlignment="1">
      <alignment horizontal="right" vertical="center"/>
    </xf>
    <xf numFmtId="39" fontId="3" fillId="11" borderId="0" xfId="0" applyNumberFormat="1" applyFont="1" applyFill="1" applyAlignment="1">
      <alignment horizontal="justify" vertical="center"/>
    </xf>
    <xf numFmtId="166" fontId="3" fillId="11" borderId="0" xfId="5" applyFont="1" applyFill="1" applyAlignment="1" applyProtection="1">
      <alignment horizontal="center" vertical="center"/>
    </xf>
    <xf numFmtId="171" fontId="3" fillId="11" borderId="0" xfId="0" applyNumberFormat="1" applyFont="1" applyFill="1" applyAlignment="1">
      <alignment horizontal="center" vertical="center"/>
    </xf>
    <xf numFmtId="39" fontId="3" fillId="11" borderId="6" xfId="0" applyNumberFormat="1" applyFont="1" applyFill="1" applyBorder="1" applyAlignment="1">
      <alignment horizontal="center" vertical="center"/>
    </xf>
    <xf numFmtId="39" fontId="3" fillId="11" borderId="5" xfId="0" applyNumberFormat="1" applyFont="1" applyFill="1" applyBorder="1" applyAlignment="1">
      <alignment horizontal="justify" vertical="center"/>
    </xf>
    <xf numFmtId="39" fontId="3" fillId="11" borderId="5" xfId="0" applyNumberFormat="1" applyFont="1" applyFill="1" applyBorder="1" applyAlignment="1">
      <alignment horizontal="center" vertical="center"/>
    </xf>
    <xf numFmtId="166" fontId="3" fillId="11" borderId="5" xfId="5" applyFont="1" applyFill="1" applyBorder="1" applyAlignment="1" applyProtection="1">
      <alignment horizontal="center" vertical="center"/>
    </xf>
    <xf numFmtId="3" fontId="3" fillId="11" borderId="5" xfId="0" applyNumberFormat="1" applyFont="1" applyFill="1" applyBorder="1">
      <alignment vertical="center"/>
    </xf>
    <xf numFmtId="166" fontId="3" fillId="11" borderId="0" xfId="5" applyFont="1" applyFill="1" applyBorder="1" applyAlignment="1" applyProtection="1">
      <alignment horizontal="center" vertical="center"/>
    </xf>
    <xf numFmtId="164" fontId="40" fillId="11" borderId="0" xfId="0" applyNumberFormat="1" applyFont="1" applyFill="1">
      <alignment vertical="center"/>
    </xf>
    <xf numFmtId="39" fontId="3" fillId="11" borderId="4" xfId="0" applyNumberFormat="1" applyFont="1" applyFill="1" applyBorder="1" applyAlignment="1">
      <alignment horizontal="center" vertical="center"/>
    </xf>
    <xf numFmtId="172" fontId="3" fillId="11" borderId="0" xfId="0" applyNumberFormat="1" applyFont="1" applyFill="1" applyAlignment="1">
      <alignment horizontal="center" vertical="center"/>
    </xf>
    <xf numFmtId="171" fontId="3" fillId="11" borderId="5" xfId="0" applyNumberFormat="1" applyFont="1" applyFill="1" applyBorder="1" applyAlignment="1">
      <alignment horizontal="center" vertical="center"/>
    </xf>
    <xf numFmtId="166" fontId="3" fillId="11" borderId="0" xfId="5" applyFont="1" applyFill="1" applyAlignment="1" applyProtection="1">
      <alignment horizontal="right" vertical="center"/>
    </xf>
    <xf numFmtId="0" fontId="3" fillId="11" borderId="0" xfId="0" applyFont="1" applyFill="1" applyAlignment="1">
      <alignment horizontal="center" vertical="center"/>
    </xf>
    <xf numFmtId="39" fontId="3" fillId="11" borderId="0" xfId="0" applyNumberFormat="1" applyFont="1" applyFill="1">
      <alignment vertical="center"/>
    </xf>
    <xf numFmtId="0" fontId="3" fillId="11" borderId="0" xfId="0" applyFont="1" applyFill="1" applyAlignment="1">
      <alignment horizontal="right" vertical="center"/>
    </xf>
    <xf numFmtId="3" fontId="3" fillId="11" borderId="0" xfId="0" applyNumberFormat="1" applyFont="1" applyFill="1" applyAlignment="1">
      <alignment horizontal="right" vertical="center"/>
    </xf>
    <xf numFmtId="39" fontId="3" fillId="11" borderId="4" xfId="2" applyNumberFormat="1" applyFont="1" applyFill="1" applyBorder="1" applyAlignment="1">
      <alignment horizontal="center" vertical="center"/>
    </xf>
    <xf numFmtId="39" fontId="3" fillId="11" borderId="9" xfId="0" applyNumberFormat="1" applyFont="1" applyFill="1" applyBorder="1" applyAlignment="1">
      <alignment horizontal="center" vertical="center"/>
    </xf>
    <xf numFmtId="173" fontId="3" fillId="11" borderId="5" xfId="5" applyNumberFormat="1" applyFont="1" applyFill="1" applyBorder="1" applyAlignment="1" applyProtection="1">
      <alignment horizontal="center" vertical="center"/>
    </xf>
    <xf numFmtId="0" fontId="3" fillId="11" borderId="5" xfId="0" applyFont="1" applyFill="1" applyBorder="1">
      <alignment vertical="center"/>
    </xf>
    <xf numFmtId="2" fontId="3" fillId="11" borderId="5" xfId="0" applyNumberFormat="1" applyFont="1" applyFill="1" applyBorder="1" applyAlignment="1">
      <alignment horizontal="center" vertical="center"/>
    </xf>
    <xf numFmtId="39" fontId="3" fillId="11" borderId="7" xfId="0" applyNumberFormat="1" applyFont="1" applyFill="1" applyBorder="1" applyAlignment="1">
      <alignment horizontal="center" vertical="center"/>
    </xf>
    <xf numFmtId="39" fontId="3" fillId="11" borderId="8" xfId="2" applyNumberFormat="1" applyFont="1" applyFill="1" applyBorder="1" applyAlignment="1">
      <alignment horizontal="center" vertical="center"/>
    </xf>
    <xf numFmtId="4" fontId="3" fillId="11" borderId="0" xfId="0" applyNumberFormat="1" applyFont="1" applyFill="1" applyAlignment="1">
      <alignment horizontal="center" vertical="center"/>
    </xf>
    <xf numFmtId="4" fontId="3" fillId="11" borderId="5" xfId="0" applyNumberFormat="1" applyFont="1" applyFill="1" applyBorder="1" applyAlignment="1">
      <alignment horizontal="center" vertical="center"/>
    </xf>
    <xf numFmtId="173" fontId="3" fillId="11" borderId="0" xfId="5" applyNumberFormat="1" applyFont="1" applyFill="1" applyAlignment="1" applyProtection="1">
      <alignment horizontal="center" vertical="center"/>
    </xf>
    <xf numFmtId="2" fontId="40" fillId="11" borderId="0" xfId="0" applyNumberFormat="1" applyFont="1" applyFill="1">
      <alignment vertical="center"/>
    </xf>
    <xf numFmtId="39" fontId="3" fillId="11" borderId="1" xfId="0" applyNumberFormat="1" applyFont="1" applyFill="1" applyBorder="1" applyAlignment="1" applyProtection="1">
      <alignment horizontal="center" vertical="center"/>
      <protection locked="0"/>
    </xf>
    <xf numFmtId="39" fontId="3" fillId="11" borderId="1" xfId="0" applyNumberFormat="1" applyFont="1" applyFill="1" applyBorder="1" applyAlignment="1" applyProtection="1">
      <alignment horizontal="justify" vertical="center"/>
      <protection locked="0"/>
    </xf>
    <xf numFmtId="166" fontId="3" fillId="11" borderId="1" xfId="5" applyFont="1" applyFill="1" applyBorder="1" applyAlignment="1" applyProtection="1">
      <alignment horizontal="center" vertical="center"/>
    </xf>
    <xf numFmtId="3" fontId="3" fillId="11" borderId="1" xfId="0" applyNumberFormat="1" applyFont="1" applyFill="1" applyBorder="1">
      <alignment vertical="center"/>
    </xf>
    <xf numFmtId="39" fontId="3" fillId="11" borderId="1" xfId="0" applyNumberFormat="1" applyFont="1" applyFill="1" applyBorder="1" applyAlignment="1">
      <alignment horizontal="center" vertical="center"/>
    </xf>
    <xf numFmtId="176" fontId="3" fillId="11" borderId="0" xfId="5" applyNumberFormat="1" applyFont="1" applyFill="1" applyBorder="1" applyAlignment="1" applyProtection="1">
      <alignment horizontal="center" vertical="center"/>
    </xf>
    <xf numFmtId="173" fontId="3" fillId="11" borderId="0" xfId="5" applyNumberFormat="1" applyFont="1" applyFill="1" applyBorder="1" applyAlignment="1" applyProtection="1">
      <alignment horizontal="center" vertical="center"/>
    </xf>
    <xf numFmtId="39" fontId="45" fillId="11" borderId="20" xfId="2" applyNumberFormat="1" applyFont="1" applyFill="1" applyBorder="1" applyAlignment="1">
      <alignment horizontal="center" vertical="center"/>
    </xf>
    <xf numFmtId="173" fontId="3" fillId="11" borderId="0" xfId="5" applyNumberFormat="1" applyFont="1" applyFill="1" applyBorder="1" applyAlignment="1">
      <alignment horizontal="center" vertical="center"/>
    </xf>
    <xf numFmtId="166" fontId="3" fillId="11" borderId="5" xfId="5" applyFont="1" applyFill="1" applyBorder="1" applyAlignment="1">
      <alignment horizontal="center" vertical="center"/>
    </xf>
    <xf numFmtId="39" fontId="3" fillId="11" borderId="9" xfId="2" applyNumberFormat="1" applyFont="1" applyFill="1" applyBorder="1" applyAlignment="1">
      <alignment horizontal="center" vertical="center"/>
    </xf>
    <xf numFmtId="0" fontId="3" fillId="11" borderId="0" xfId="2" applyFont="1" applyFill="1" applyBorder="1" applyAlignment="1">
      <alignment horizontal="center" vertical="center" wrapText="1"/>
    </xf>
    <xf numFmtId="0" fontId="3" fillId="11" borderId="5" xfId="0" applyFont="1" applyFill="1" applyBorder="1" applyAlignment="1">
      <alignment horizontal="center" vertical="center"/>
    </xf>
    <xf numFmtId="39" fontId="3" fillId="11" borderId="0" xfId="0" applyNumberFormat="1" applyFont="1" applyFill="1" applyAlignment="1" applyProtection="1">
      <alignment horizontal="justify" vertical="center" wrapText="1"/>
      <protection locked="0"/>
    </xf>
    <xf numFmtId="39" fontId="3" fillId="11" borderId="5" xfId="0" applyNumberFormat="1" applyFont="1" applyFill="1" applyBorder="1">
      <alignment vertical="center"/>
    </xf>
    <xf numFmtId="39" fontId="3" fillId="11" borderId="0" xfId="0" applyNumberFormat="1" applyFont="1" applyFill="1" applyAlignment="1">
      <alignment vertical="center" wrapText="1"/>
    </xf>
    <xf numFmtId="166" fontId="3" fillId="11" borderId="0" xfId="5" applyFont="1" applyFill="1" applyAlignment="1">
      <alignment horizontal="center" vertical="center"/>
    </xf>
    <xf numFmtId="0" fontId="16" fillId="11" borderId="0" xfId="0" applyFont="1" applyFill="1">
      <alignment vertical="center"/>
    </xf>
    <xf numFmtId="3" fontId="3" fillId="11" borderId="5" xfId="0" applyNumberFormat="1" applyFont="1" applyFill="1" applyBorder="1" applyAlignment="1">
      <alignment horizontal="right" vertical="center"/>
    </xf>
    <xf numFmtId="39" fontId="3" fillId="11" borderId="0" xfId="2" applyNumberFormat="1" applyFont="1" applyFill="1" applyBorder="1" applyAlignment="1">
      <alignment horizontal="center" vertical="center"/>
    </xf>
    <xf numFmtId="39" fontId="3" fillId="11" borderId="10" xfId="1" applyNumberFormat="1" applyFont="1" applyFill="1" applyBorder="1" applyAlignment="1">
      <alignment horizontal="center" vertical="center"/>
    </xf>
    <xf numFmtId="39" fontId="3" fillId="11" borderId="0" xfId="1" applyNumberFormat="1" applyFont="1" applyFill="1" applyBorder="1" applyAlignment="1">
      <alignment horizontal="center" vertical="center"/>
    </xf>
    <xf numFmtId="0" fontId="3" fillId="11" borderId="0" xfId="0" applyFont="1" applyFill="1" applyAlignment="1">
      <alignment horizontal="center" vertical="center" wrapText="1"/>
    </xf>
    <xf numFmtId="39" fontId="3" fillId="11" borderId="0" xfId="0" applyNumberFormat="1" applyFont="1" applyFill="1" applyAlignment="1">
      <alignment horizontal="center" vertical="center" wrapText="1"/>
    </xf>
    <xf numFmtId="166" fontId="3" fillId="11" borderId="0" xfId="5" applyFont="1" applyFill="1" applyAlignment="1" applyProtection="1">
      <alignment horizontal="center" vertical="center" wrapText="1"/>
    </xf>
    <xf numFmtId="3" fontId="3" fillId="11" borderId="0" xfId="0" applyNumberFormat="1" applyFont="1" applyFill="1" applyAlignment="1">
      <alignment vertical="center" wrapText="1"/>
    </xf>
    <xf numFmtId="0" fontId="3" fillId="11" borderId="0" xfId="0" applyFont="1" applyFill="1" applyAlignment="1">
      <alignment vertical="center" wrapText="1"/>
    </xf>
    <xf numFmtId="39" fontId="3" fillId="11" borderId="0" xfId="0" applyNumberFormat="1" applyFont="1" applyFill="1" applyAlignment="1">
      <alignment horizontal="right" vertical="center" wrapText="1"/>
    </xf>
    <xf numFmtId="0" fontId="40" fillId="11" borderId="0" xfId="0" applyFont="1" applyFill="1" applyAlignment="1">
      <alignment vertical="center" wrapText="1"/>
    </xf>
    <xf numFmtId="175" fontId="40" fillId="11" borderId="0" xfId="9" applyNumberFormat="1" applyFont="1" applyFill="1" applyAlignment="1">
      <alignment horizontal="center" vertical="center"/>
    </xf>
    <xf numFmtId="168" fontId="3" fillId="11" borderId="0" xfId="0" applyNumberFormat="1" applyFont="1" applyFill="1" applyAlignment="1">
      <alignment horizontal="center" vertical="center"/>
    </xf>
    <xf numFmtId="39" fontId="3" fillId="11" borderId="9" xfId="1" applyNumberFormat="1" applyFont="1" applyFill="1" applyBorder="1" applyAlignment="1">
      <alignment horizontal="center" vertical="center"/>
    </xf>
    <xf numFmtId="179" fontId="3" fillId="11" borderId="0" xfId="5" applyNumberFormat="1" applyFont="1" applyFill="1" applyBorder="1" applyAlignment="1">
      <alignment horizontal="center" vertical="center"/>
    </xf>
    <xf numFmtId="178" fontId="3" fillId="11" borderId="0" xfId="0" applyNumberFormat="1" applyFont="1" applyFill="1" applyAlignment="1">
      <alignment horizontal="right" vertical="center"/>
    </xf>
    <xf numFmtId="174" fontId="3" fillId="11" borderId="0" xfId="5" applyNumberFormat="1" applyFont="1" applyFill="1" applyBorder="1" applyAlignment="1">
      <alignment horizontal="center" vertical="center"/>
    </xf>
    <xf numFmtId="39" fontId="3" fillId="11" borderId="5" xfId="1" applyNumberFormat="1" applyFont="1" applyFill="1" applyBorder="1" applyAlignment="1">
      <alignment horizontal="center" vertical="center"/>
    </xf>
    <xf numFmtId="0" fontId="3" fillId="11" borderId="6" xfId="0" applyFont="1" applyFill="1" applyBorder="1" applyAlignment="1">
      <alignment horizontal="center" vertical="center"/>
    </xf>
    <xf numFmtId="39" fontId="33" fillId="11" borderId="0" xfId="0" applyNumberFormat="1" applyFont="1" applyFill="1" applyAlignment="1">
      <alignment horizontal="right" vertical="center"/>
    </xf>
    <xf numFmtId="166" fontId="3" fillId="11" borderId="1" xfId="5" applyFont="1" applyFill="1" applyBorder="1" applyAlignment="1">
      <alignment horizontal="center" vertical="center"/>
    </xf>
    <xf numFmtId="0" fontId="40" fillId="11" borderId="15" xfId="0" applyFont="1" applyFill="1" applyBorder="1">
      <alignment vertical="center"/>
    </xf>
    <xf numFmtId="39" fontId="3" fillId="11" borderId="15" xfId="0" applyNumberFormat="1" applyFont="1" applyFill="1" applyBorder="1" applyAlignment="1">
      <alignment horizontal="justify" vertical="center"/>
    </xf>
    <xf numFmtId="39" fontId="3" fillId="11" borderId="15" xfId="0" applyNumberFormat="1" applyFont="1" applyFill="1" applyBorder="1" applyAlignment="1">
      <alignment horizontal="center" vertical="center"/>
    </xf>
    <xf numFmtId="166" fontId="3" fillId="11" borderId="15" xfId="5" applyFont="1" applyFill="1" applyBorder="1" applyAlignment="1" applyProtection="1">
      <alignment horizontal="center" vertical="center"/>
    </xf>
    <xf numFmtId="3" fontId="3" fillId="11" borderId="15" xfId="0" applyNumberFormat="1" applyFont="1" applyFill="1" applyBorder="1">
      <alignment vertical="center"/>
    </xf>
    <xf numFmtId="0" fontId="40" fillId="11" borderId="0" xfId="0" applyFont="1" applyFill="1" applyAlignment="1">
      <alignment horizontal="center" vertical="center"/>
    </xf>
    <xf numFmtId="166" fontId="40" fillId="11" borderId="0" xfId="5" applyFont="1" applyFill="1" applyBorder="1" applyAlignment="1">
      <alignment horizontal="center" vertical="center"/>
    </xf>
    <xf numFmtId="3" fontId="40" fillId="11" borderId="0" xfId="0" applyNumberFormat="1" applyFont="1" applyFill="1">
      <alignment vertical="center"/>
    </xf>
    <xf numFmtId="0" fontId="40" fillId="11" borderId="5" xfId="0" applyFont="1" applyFill="1" applyBorder="1">
      <alignment vertical="center"/>
    </xf>
    <xf numFmtId="0" fontId="40" fillId="11" borderId="5" xfId="0" applyFont="1" applyFill="1" applyBorder="1" applyAlignment="1">
      <alignment horizontal="center" vertical="center"/>
    </xf>
    <xf numFmtId="166" fontId="40" fillId="11" borderId="5" xfId="5" applyFont="1" applyFill="1" applyBorder="1" applyAlignment="1">
      <alignment horizontal="center" vertical="center"/>
    </xf>
    <xf numFmtId="3" fontId="40" fillId="11" borderId="5" xfId="0" applyNumberFormat="1" applyFont="1" applyFill="1" applyBorder="1">
      <alignment vertical="center"/>
    </xf>
    <xf numFmtId="39" fontId="40" fillId="11" borderId="0" xfId="0" applyNumberFormat="1" applyFont="1" applyFill="1" applyAlignment="1">
      <alignment vertical="center" wrapText="1"/>
    </xf>
    <xf numFmtId="166" fontId="40" fillId="11" borderId="0" xfId="5" applyFont="1" applyFill="1" applyAlignment="1">
      <alignment horizontal="center" vertical="center"/>
    </xf>
    <xf numFmtId="39" fontId="40" fillId="11" borderId="0" xfId="0" applyNumberFormat="1" applyFont="1" applyFill="1">
      <alignment vertical="center"/>
    </xf>
    <xf numFmtId="177" fontId="40" fillId="11" borderId="0" xfId="0" applyNumberFormat="1" applyFont="1" applyFill="1">
      <alignment vertical="center"/>
    </xf>
    <xf numFmtId="39" fontId="40" fillId="11" borderId="5" xfId="0" applyNumberFormat="1" applyFont="1" applyFill="1" applyBorder="1">
      <alignment vertical="center"/>
    </xf>
    <xf numFmtId="39" fontId="40" fillId="11" borderId="0" xfId="0" applyNumberFormat="1" applyFont="1" applyFill="1" applyAlignment="1">
      <alignment horizontal="center" vertical="center"/>
    </xf>
    <xf numFmtId="0" fontId="40" fillId="12" borderId="0" xfId="0" applyFont="1" applyFill="1" applyAlignment="1">
      <alignment horizontal="center" vertical="center"/>
    </xf>
    <xf numFmtId="166" fontId="40" fillId="12" borderId="0" xfId="5" applyFont="1" applyFill="1" applyAlignment="1">
      <alignment horizontal="center" vertical="center"/>
    </xf>
    <xf numFmtId="3" fontId="40" fillId="12" borderId="0" xfId="0" applyNumberFormat="1" applyFont="1" applyFill="1">
      <alignment vertical="center"/>
    </xf>
    <xf numFmtId="3" fontId="40" fillId="10" borderId="0" xfId="15" applyNumberFormat="1" applyFont="1" applyFill="1" applyBorder="1" applyAlignment="1">
      <alignment horizontal="right" vertical="center"/>
    </xf>
    <xf numFmtId="39" fontId="40" fillId="12" borderId="0" xfId="0" applyNumberFormat="1" applyFont="1" applyFill="1">
      <alignment vertical="center"/>
    </xf>
    <xf numFmtId="39" fontId="40" fillId="12" borderId="0" xfId="0" applyNumberFormat="1" applyFont="1" applyFill="1" applyAlignment="1">
      <alignment horizontal="center" vertical="center"/>
    </xf>
    <xf numFmtId="2" fontId="40" fillId="0" borderId="0" xfId="0" applyNumberFormat="1" applyFont="1" applyAlignment="1">
      <alignment horizontal="center" vertical="center"/>
    </xf>
    <xf numFmtId="39" fontId="40" fillId="0" borderId="0" xfId="0" applyNumberFormat="1" applyFont="1" applyAlignment="1">
      <alignment horizontal="justify" vertical="center" wrapText="1"/>
    </xf>
    <xf numFmtId="39" fontId="3" fillId="18" borderId="7" xfId="0" applyNumberFormat="1" applyFont="1" applyFill="1" applyBorder="1" applyAlignment="1">
      <alignment horizontal="center" vertical="center"/>
    </xf>
    <xf numFmtId="174" fontId="3" fillId="0" borderId="0" xfId="5" applyNumberFormat="1" applyFont="1" applyFill="1" applyBorder="1" applyAlignment="1">
      <alignment horizontal="center" vertical="center"/>
    </xf>
    <xf numFmtId="39" fontId="3" fillId="0" borderId="8" xfId="0" applyNumberFormat="1" applyFont="1" applyBorder="1" applyAlignment="1">
      <alignment horizontal="center" vertical="center"/>
    </xf>
    <xf numFmtId="39" fontId="3" fillId="0" borderId="8" xfId="0" applyNumberFormat="1" applyFont="1" applyBorder="1" applyAlignment="1">
      <alignment horizontal="justify" vertical="center"/>
    </xf>
    <xf numFmtId="166" fontId="3" fillId="0" borderId="8" xfId="5" applyFont="1" applyFill="1" applyBorder="1" applyAlignment="1" applyProtection="1">
      <alignment horizontal="center" vertical="center"/>
    </xf>
    <xf numFmtId="3" fontId="3" fillId="0" borderId="8" xfId="0" applyNumberFormat="1" applyFont="1" applyBorder="1">
      <alignment vertical="center"/>
    </xf>
    <xf numFmtId="39" fontId="3" fillId="0" borderId="8" xfId="2" applyNumberFormat="1" applyFont="1" applyFill="1" applyBorder="1" applyAlignment="1">
      <alignment horizontal="center" vertical="center"/>
    </xf>
    <xf numFmtId="39" fontId="3" fillId="0" borderId="4" xfId="0" applyNumberFormat="1" applyFont="1" applyBorder="1" applyAlignment="1">
      <alignment horizontal="center" vertical="center"/>
    </xf>
    <xf numFmtId="39" fontId="3" fillId="0" borderId="4" xfId="0" applyNumberFormat="1" applyFont="1" applyBorder="1" applyAlignment="1">
      <alignment horizontal="justify" vertical="center"/>
    </xf>
    <xf numFmtId="39" fontId="3" fillId="0" borderId="9" xfId="0" applyNumberFormat="1" applyFont="1" applyBorder="1" applyAlignment="1">
      <alignment horizontal="center" vertical="center"/>
    </xf>
    <xf numFmtId="39" fontId="3" fillId="0" borderId="9" xfId="0" applyNumberFormat="1" applyFont="1" applyBorder="1" applyAlignment="1">
      <alignment horizontal="justify" vertical="center"/>
    </xf>
    <xf numFmtId="166" fontId="3" fillId="0" borderId="9" xfId="5" applyFont="1" applyFill="1" applyBorder="1" applyAlignment="1" applyProtection="1">
      <alignment horizontal="center" vertical="center"/>
    </xf>
    <xf numFmtId="3" fontId="3" fillId="0" borderId="9" xfId="0" applyNumberFormat="1" applyFont="1" applyBorder="1">
      <alignment vertical="center"/>
    </xf>
    <xf numFmtId="39" fontId="3" fillId="12" borderId="0" xfId="0" applyNumberFormat="1" applyFont="1" applyFill="1" applyAlignment="1">
      <alignment horizontal="right" vertical="center"/>
    </xf>
    <xf numFmtId="39" fontId="3" fillId="0" borderId="0" xfId="0" applyNumberFormat="1" applyFont="1" applyAlignment="1">
      <alignment horizontal="center" vertical="center" textRotation="90"/>
    </xf>
    <xf numFmtId="39" fontId="3" fillId="0" borderId="5" xfId="1" applyNumberFormat="1" applyFont="1" applyFill="1" applyBorder="1" applyAlignment="1">
      <alignment horizontal="center" vertical="center"/>
    </xf>
    <xf numFmtId="39" fontId="3" fillId="20" borderId="0" xfId="2" applyNumberFormat="1" applyFont="1" applyFill="1" applyBorder="1" applyAlignment="1">
      <alignment horizontal="center" vertical="center"/>
    </xf>
    <xf numFmtId="173" fontId="3" fillId="10" borderId="5" xfId="5" applyNumberFormat="1" applyFont="1" applyFill="1" applyBorder="1" applyAlignment="1" applyProtection="1">
      <alignment horizontal="center" vertical="center"/>
    </xf>
    <xf numFmtId="39" fontId="3" fillId="0" borderId="0" xfId="0" applyNumberFormat="1" applyFont="1" applyAlignment="1">
      <alignment horizontal="left" vertical="center"/>
    </xf>
    <xf numFmtId="39" fontId="3" fillId="12" borderId="0" xfId="0" applyNumberFormat="1" applyFont="1" applyFill="1" applyAlignment="1" applyProtection="1">
      <alignment horizontal="left" vertical="center" wrapText="1"/>
      <protection locked="0"/>
    </xf>
    <xf numFmtId="0" fontId="3" fillId="10" borderId="5" xfId="0" applyFont="1" applyFill="1" applyBorder="1">
      <alignment vertical="center"/>
    </xf>
    <xf numFmtId="4" fontId="3" fillId="10" borderId="5" xfId="0" applyNumberFormat="1" applyFont="1" applyFill="1" applyBorder="1" applyAlignment="1">
      <alignment horizontal="center" vertical="center"/>
    </xf>
    <xf numFmtId="39" fontId="40" fillId="10" borderId="0" xfId="0" applyNumberFormat="1" applyFont="1" applyFill="1">
      <alignment vertical="center"/>
    </xf>
    <xf numFmtId="0" fontId="40" fillId="10" borderId="0" xfId="0" applyFont="1" applyFill="1" applyAlignment="1">
      <alignment horizontal="center" vertical="center"/>
    </xf>
    <xf numFmtId="166" fontId="40" fillId="10" borderId="0" xfId="5" applyFont="1" applyFill="1" applyAlignment="1">
      <alignment horizontal="center" vertical="center"/>
    </xf>
    <xf numFmtId="2" fontId="40" fillId="10" borderId="0" xfId="0" applyNumberFormat="1" applyFont="1" applyFill="1">
      <alignment vertical="center"/>
    </xf>
    <xf numFmtId="39" fontId="40" fillId="10" borderId="0" xfId="0" applyNumberFormat="1" applyFont="1" applyFill="1" applyAlignment="1">
      <alignment horizontal="center" vertical="center"/>
    </xf>
    <xf numFmtId="0" fontId="40" fillId="10" borderId="5" xfId="0" applyFont="1" applyFill="1" applyBorder="1">
      <alignment vertical="center"/>
    </xf>
    <xf numFmtId="39" fontId="40" fillId="10" borderId="5" xfId="0" applyNumberFormat="1" applyFont="1" applyFill="1" applyBorder="1">
      <alignment vertical="center"/>
    </xf>
    <xf numFmtId="0" fontId="40" fillId="10" borderId="5" xfId="0" applyFont="1" applyFill="1" applyBorder="1" applyAlignment="1">
      <alignment horizontal="center" vertical="center"/>
    </xf>
    <xf numFmtId="166" fontId="40" fillId="10" borderId="5" xfId="5" applyFont="1" applyFill="1" applyBorder="1" applyAlignment="1">
      <alignment horizontal="center" vertical="center"/>
    </xf>
    <xf numFmtId="3" fontId="40" fillId="10" borderId="5" xfId="0" applyNumberFormat="1" applyFont="1" applyFill="1" applyBorder="1">
      <alignment vertical="center"/>
    </xf>
    <xf numFmtId="0" fontId="46" fillId="0" borderId="0" xfId="0" applyFont="1" applyAlignment="1">
      <alignment horizontal="left" vertical="center"/>
    </xf>
    <xf numFmtId="0" fontId="3" fillId="17" borderId="0" xfId="0" applyFont="1" applyFill="1" applyAlignment="1">
      <alignment horizontal="center" vertical="center"/>
    </xf>
    <xf numFmtId="0" fontId="3" fillId="15" borderId="0" xfId="0" applyFont="1" applyFill="1" applyAlignment="1">
      <alignment horizontal="center" vertical="center"/>
    </xf>
    <xf numFmtId="0" fontId="40" fillId="22" borderId="0" xfId="0" applyFont="1" applyFill="1">
      <alignment vertical="center"/>
    </xf>
    <xf numFmtId="0" fontId="47" fillId="0" borderId="0" xfId="0" applyFont="1" applyAlignment="1">
      <alignment vertical="center" wrapText="1"/>
    </xf>
    <xf numFmtId="0" fontId="47" fillId="0" borderId="14" xfId="0" applyFont="1" applyBorder="1" applyAlignment="1">
      <alignment vertical="center" wrapText="1"/>
    </xf>
    <xf numFmtId="173" fontId="40" fillId="0" borderId="0" xfId="5" applyNumberFormat="1" applyFont="1" applyFill="1" applyAlignment="1">
      <alignment horizontal="center" vertical="center"/>
    </xf>
    <xf numFmtId="12" fontId="3" fillId="0" borderId="14" xfId="0" applyNumberFormat="1" applyFont="1" applyBorder="1" applyAlignment="1">
      <alignment horizontal="center" vertical="center"/>
    </xf>
    <xf numFmtId="0" fontId="46" fillId="0" borderId="0" xfId="0" applyFont="1">
      <alignment vertical="center"/>
    </xf>
    <xf numFmtId="182" fontId="40" fillId="0" borderId="0" xfId="0" applyNumberFormat="1" applyFont="1">
      <alignment vertical="center"/>
    </xf>
    <xf numFmtId="0" fontId="48" fillId="0" borderId="0" xfId="0" applyFont="1">
      <alignment vertical="center"/>
    </xf>
    <xf numFmtId="0" fontId="47" fillId="0" borderId="0" xfId="0" applyFont="1" applyAlignment="1">
      <alignment horizontal="center" vertical="center" wrapText="1"/>
    </xf>
    <xf numFmtId="39" fontId="3" fillId="12" borderId="0" xfId="0" applyNumberFormat="1" applyFont="1" applyFill="1">
      <alignment vertical="center"/>
    </xf>
    <xf numFmtId="0" fontId="40" fillId="12" borderId="0" xfId="0" applyFont="1" applyFill="1" applyAlignment="1">
      <alignment vertical="center" wrapText="1"/>
    </xf>
    <xf numFmtId="0" fontId="3" fillId="18" borderId="0" xfId="0" applyFont="1" applyFill="1" applyAlignment="1">
      <alignment horizontal="center" vertical="center"/>
    </xf>
    <xf numFmtId="0" fontId="50" fillId="0" borderId="0" xfId="18" applyFont="1" applyAlignment="1">
      <alignment horizontal="center" wrapText="1"/>
    </xf>
    <xf numFmtId="0" fontId="50" fillId="0" borderId="0" xfId="18" applyFont="1" applyAlignment="1">
      <alignment horizontal="center" vertical="center" wrapText="1"/>
    </xf>
    <xf numFmtId="185" fontId="51" fillId="0" borderId="0" xfId="18" applyNumberFormat="1" applyFont="1" applyAlignment="1">
      <alignment horizontal="center"/>
    </xf>
    <xf numFmtId="184" fontId="51" fillId="0" borderId="0" xfId="19" applyNumberFormat="1" applyFont="1" applyBorder="1" applyAlignment="1">
      <alignment horizontal="left"/>
    </xf>
    <xf numFmtId="0" fontId="40" fillId="12" borderId="0" xfId="0" applyFont="1" applyFill="1" applyAlignment="1">
      <alignment horizontal="left" vertical="center"/>
    </xf>
    <xf numFmtId="0" fontId="40" fillId="12" borderId="0" xfId="0" applyFont="1" applyFill="1" applyAlignment="1">
      <alignment horizontal="left" vertical="center" wrapText="1"/>
    </xf>
    <xf numFmtId="166" fontId="40" fillId="0" borderId="0" xfId="0" applyNumberFormat="1" applyFont="1">
      <alignment vertical="center"/>
    </xf>
    <xf numFmtId="4" fontId="40" fillId="0" borderId="0" xfId="0" applyNumberFormat="1" applyFont="1">
      <alignment vertical="center"/>
    </xf>
    <xf numFmtId="39" fontId="40" fillId="12" borderId="0" xfId="0" applyNumberFormat="1" applyFont="1" applyFill="1" applyAlignment="1">
      <alignment horizontal="left" vertical="center" wrapText="1"/>
    </xf>
    <xf numFmtId="3" fontId="40" fillId="12" borderId="0" xfId="0" applyNumberFormat="1" applyFont="1" applyFill="1" applyAlignment="1">
      <alignment horizontal="right" vertical="center" wrapText="1"/>
    </xf>
    <xf numFmtId="39" fontId="40" fillId="0" borderId="0" xfId="0" applyNumberFormat="1" applyFont="1" applyAlignment="1">
      <alignment vertical="center" wrapText="1"/>
    </xf>
    <xf numFmtId="0" fontId="40" fillId="12" borderId="0" xfId="0" applyFont="1" applyFill="1" applyAlignment="1">
      <alignment horizontal="left" vertical="top" wrapText="1"/>
    </xf>
    <xf numFmtId="1" fontId="40" fillId="0" borderId="0" xfId="0" applyNumberFormat="1" applyFont="1">
      <alignment vertical="center"/>
    </xf>
    <xf numFmtId="39" fontId="3" fillId="6" borderId="0" xfId="1" applyNumberFormat="1" applyFont="1" applyFill="1" applyBorder="1" applyAlignment="1">
      <alignment horizontal="center" vertical="center"/>
    </xf>
    <xf numFmtId="0" fontId="3" fillId="15" borderId="0" xfId="2" applyFont="1" applyFill="1" applyBorder="1" applyAlignment="1">
      <alignment horizontal="center" vertical="center" wrapText="1"/>
    </xf>
    <xf numFmtId="0" fontId="3" fillId="15" borderId="7" xfId="2" applyFont="1" applyFill="1" applyBorder="1" applyAlignment="1">
      <alignment horizontal="center" vertical="center" wrapText="1"/>
    </xf>
    <xf numFmtId="39" fontId="3" fillId="0" borderId="5" xfId="0" applyNumberFormat="1" applyFont="1" applyBorder="1" applyAlignment="1">
      <alignment horizontal="left" vertical="center"/>
    </xf>
    <xf numFmtId="39" fontId="3" fillId="12" borderId="34" xfId="0" applyNumberFormat="1" applyFont="1" applyFill="1" applyBorder="1" applyAlignment="1">
      <alignment horizontal="left" vertical="center" wrapText="1"/>
    </xf>
    <xf numFmtId="39" fontId="3" fillId="12" borderId="34" xfId="0" applyNumberFormat="1" applyFont="1" applyFill="1" applyBorder="1" applyAlignment="1" applyProtection="1">
      <alignment vertical="center" wrapText="1"/>
      <protection locked="0"/>
    </xf>
    <xf numFmtId="39" fontId="3" fillId="0" borderId="0" xfId="0" applyNumberFormat="1" applyFont="1" applyAlignment="1">
      <alignment horizontal="left" vertical="center" wrapText="1"/>
    </xf>
    <xf numFmtId="39" fontId="3" fillId="12" borderId="0" xfId="0" applyNumberFormat="1" applyFont="1" applyFill="1" applyAlignment="1" applyProtection="1">
      <alignment horizontal="center" vertical="center" wrapText="1"/>
      <protection locked="0"/>
    </xf>
    <xf numFmtId="39" fontId="3" fillId="0" borderId="0" xfId="0" applyNumberFormat="1" applyFont="1" applyAlignment="1">
      <alignment horizontal="center" vertical="center" wrapText="1"/>
    </xf>
    <xf numFmtId="3" fontId="3" fillId="0" borderId="0" xfId="0" applyNumberFormat="1" applyFont="1" applyAlignment="1">
      <alignment horizontal="center" vertical="center"/>
    </xf>
    <xf numFmtId="39" fontId="3" fillId="0" borderId="0" xfId="0" applyNumberFormat="1" applyFont="1" applyAlignment="1">
      <alignment horizontal="right" vertical="center" wrapText="1"/>
    </xf>
    <xf numFmtId="39" fontId="3" fillId="12" borderId="1" xfId="0" applyNumberFormat="1" applyFont="1" applyFill="1" applyBorder="1" applyAlignment="1" applyProtection="1">
      <alignment horizontal="left" vertical="center" wrapText="1"/>
      <protection locked="0"/>
    </xf>
    <xf numFmtId="0" fontId="3" fillId="12" borderId="0" xfId="0" applyFont="1" applyFill="1" applyAlignment="1">
      <alignment horizontal="left" vertical="center" wrapText="1"/>
    </xf>
    <xf numFmtId="39" fontId="3" fillId="12" borderId="0" xfId="1" applyNumberFormat="1" applyFont="1" applyFill="1" applyBorder="1" applyAlignment="1">
      <alignment horizontal="left" vertical="center" wrapText="1"/>
    </xf>
    <xf numFmtId="0" fontId="3" fillId="17" borderId="0" xfId="0" applyFont="1" applyFill="1" applyAlignment="1">
      <alignment horizontal="center" vertical="center" wrapText="1"/>
    </xf>
    <xf numFmtId="39" fontId="3" fillId="12" borderId="0" xfId="1" applyNumberFormat="1" applyFont="1" applyFill="1" applyBorder="1" applyAlignment="1">
      <alignment horizontal="left" vertical="center"/>
    </xf>
    <xf numFmtId="39" fontId="3" fillId="12" borderId="0" xfId="0" applyNumberFormat="1" applyFont="1" applyFill="1" applyAlignment="1" applyProtection="1">
      <alignment horizontal="left" vertical="center"/>
      <protection locked="0"/>
    </xf>
    <xf numFmtId="39" fontId="40" fillId="12" borderId="0" xfId="0" applyNumberFormat="1" applyFont="1" applyFill="1" applyAlignment="1">
      <alignment horizontal="left" vertical="center"/>
    </xf>
    <xf numFmtId="0" fontId="22" fillId="0" borderId="0" xfId="3" applyAlignment="1">
      <alignment vertical="center"/>
    </xf>
    <xf numFmtId="186" fontId="3" fillId="0" borderId="0" xfId="5" applyNumberFormat="1" applyFont="1" applyFill="1" applyBorder="1" applyAlignment="1">
      <alignment horizontal="center" vertical="center"/>
    </xf>
    <xf numFmtId="0" fontId="52" fillId="0" borderId="0" xfId="0" applyFont="1">
      <alignment vertical="center"/>
    </xf>
    <xf numFmtId="0" fontId="0" fillId="0" borderId="0" xfId="3" applyFont="1" applyAlignment="1">
      <alignment vertical="center"/>
    </xf>
    <xf numFmtId="187" fontId="3" fillId="0" borderId="0" xfId="0" applyNumberFormat="1" applyFont="1" applyAlignment="1">
      <alignment horizontal="center" vertical="center"/>
    </xf>
    <xf numFmtId="39" fontId="3" fillId="14" borderId="0" xfId="0" applyNumberFormat="1" applyFont="1" applyFill="1" applyAlignment="1">
      <alignment horizontal="center" vertical="center"/>
    </xf>
    <xf numFmtId="173" fontId="3" fillId="10" borderId="0" xfId="5" applyNumberFormat="1" applyFont="1" applyFill="1" applyBorder="1" applyAlignment="1" applyProtection="1">
      <alignment horizontal="center" vertical="center"/>
    </xf>
    <xf numFmtId="39" fontId="3" fillId="12" borderId="4" xfId="0" applyNumberFormat="1" applyFont="1" applyFill="1" applyBorder="1" applyAlignment="1">
      <alignment horizontal="left" vertical="center"/>
    </xf>
    <xf numFmtId="182" fontId="3" fillId="0" borderId="0" xfId="0" applyNumberFormat="1" applyFont="1">
      <alignment vertical="center"/>
    </xf>
    <xf numFmtId="37" fontId="3" fillId="12" borderId="4" xfId="0" applyNumberFormat="1" applyFont="1" applyFill="1" applyBorder="1" applyAlignment="1">
      <alignment horizontal="right" vertical="center"/>
    </xf>
    <xf numFmtId="0" fontId="3" fillId="17" borderId="0" xfId="0" applyFont="1" applyFill="1" applyAlignment="1">
      <alignment horizontal="center"/>
    </xf>
    <xf numFmtId="39" fontId="3" fillId="18" borderId="0" xfId="0" applyNumberFormat="1" applyFont="1" applyFill="1" applyAlignment="1">
      <alignment horizontal="center" vertical="center"/>
    </xf>
    <xf numFmtId="0" fontId="31" fillId="0" borderId="0" xfId="0" applyFont="1" applyAlignment="1">
      <alignment vertical="center" wrapText="1"/>
    </xf>
    <xf numFmtId="2" fontId="31" fillId="0" borderId="0" xfId="0" applyNumberFormat="1" applyFont="1">
      <alignment vertical="center"/>
    </xf>
    <xf numFmtId="165" fontId="3" fillId="0" borderId="0" xfId="0" applyNumberFormat="1" applyFont="1">
      <alignment vertical="center"/>
    </xf>
    <xf numFmtId="16" fontId="40" fillId="0" borderId="0" xfId="0" applyNumberFormat="1" applyFont="1">
      <alignment vertical="center"/>
    </xf>
    <xf numFmtId="39" fontId="3" fillId="0" borderId="0" xfId="2" applyNumberFormat="1" applyFont="1" applyFill="1" applyBorder="1" applyAlignment="1">
      <alignment horizontal="center" vertical="center"/>
    </xf>
    <xf numFmtId="39" fontId="3" fillId="0" borderId="11" xfId="1" applyNumberFormat="1" applyFont="1" applyFill="1" applyBorder="1" applyAlignment="1">
      <alignment horizontal="center" vertical="center"/>
    </xf>
    <xf numFmtId="2" fontId="3" fillId="0" borderId="0" xfId="0" applyNumberFormat="1" applyFont="1" applyAlignment="1">
      <alignment horizontal="right" vertical="center"/>
    </xf>
    <xf numFmtId="182" fontId="3" fillId="0" borderId="0" xfId="0" applyNumberFormat="1" applyFont="1" applyAlignment="1">
      <alignment horizontal="right" vertical="center"/>
    </xf>
    <xf numFmtId="0" fontId="3" fillId="0" borderId="5" xfId="0" applyFont="1" applyBorder="1" applyAlignment="1">
      <alignment horizontal="center" vertical="center" wrapText="1"/>
    </xf>
    <xf numFmtId="37" fontId="3" fillId="12" borderId="0" xfId="0" applyNumberFormat="1" applyFont="1" applyFill="1" applyAlignment="1" applyProtection="1">
      <alignment horizontal="center" vertical="center"/>
      <protection locked="0"/>
    </xf>
    <xf numFmtId="0" fontId="3" fillId="22" borderId="14" xfId="0" applyFont="1" applyFill="1" applyBorder="1">
      <alignment vertical="center"/>
    </xf>
    <xf numFmtId="39" fontId="3" fillId="22" borderId="14" xfId="0" applyNumberFormat="1" applyFont="1" applyFill="1" applyBorder="1" applyAlignment="1">
      <alignment horizontal="justify" vertical="center" wrapText="1"/>
    </xf>
    <xf numFmtId="0" fontId="3" fillId="22" borderId="14" xfId="0" applyFont="1" applyFill="1" applyBorder="1" applyAlignment="1">
      <alignment horizontal="center" vertical="center"/>
    </xf>
    <xf numFmtId="165" fontId="3" fillId="22" borderId="14" xfId="15" applyFont="1" applyFill="1" applyBorder="1" applyAlignment="1">
      <alignment horizontal="right" vertical="center"/>
    </xf>
    <xf numFmtId="0" fontId="54" fillId="0" borderId="0" xfId="0" applyFont="1">
      <alignment vertical="center"/>
    </xf>
    <xf numFmtId="0" fontId="57" fillId="0" borderId="66" xfId="0" applyFont="1" applyBorder="1" applyAlignment="1">
      <alignment horizontal="center" vertical="center" wrapText="1"/>
    </xf>
    <xf numFmtId="0" fontId="57" fillId="0" borderId="65" xfId="0" applyFont="1" applyBorder="1" applyAlignment="1">
      <alignment horizontal="center" vertical="center" wrapText="1"/>
    </xf>
    <xf numFmtId="39" fontId="58" fillId="0" borderId="66" xfId="0" applyNumberFormat="1" applyFont="1" applyBorder="1" applyAlignment="1">
      <alignment horizontal="center" vertical="center" wrapText="1"/>
    </xf>
    <xf numFmtId="39" fontId="59" fillId="0" borderId="65" xfId="0" applyNumberFormat="1" applyFont="1" applyBorder="1" applyAlignment="1">
      <alignment vertical="center" wrapText="1"/>
    </xf>
    <xf numFmtId="0" fontId="59" fillId="0" borderId="65" xfId="0" applyFont="1" applyBorder="1" applyAlignment="1">
      <alignment horizontal="center" vertical="center" wrapText="1"/>
    </xf>
    <xf numFmtId="8" fontId="59" fillId="0" borderId="65" xfId="0" applyNumberFormat="1" applyFont="1" applyBorder="1" applyAlignment="1">
      <alignment horizontal="center" vertical="center" wrapText="1"/>
    </xf>
    <xf numFmtId="0" fontId="59" fillId="0" borderId="0" xfId="0" applyFont="1" applyAlignment="1">
      <alignment horizontal="right" vertical="center" wrapText="1"/>
    </xf>
    <xf numFmtId="0" fontId="59" fillId="0" borderId="0" xfId="0" applyFont="1" applyAlignment="1">
      <alignment horizontal="center" vertical="center" wrapText="1"/>
    </xf>
    <xf numFmtId="6" fontId="57" fillId="0" borderId="65" xfId="0" applyNumberFormat="1" applyFont="1" applyBorder="1" applyAlignment="1">
      <alignment horizontal="center" vertical="center" wrapText="1"/>
    </xf>
    <xf numFmtId="0" fontId="59" fillId="0" borderId="66" xfId="0" applyFont="1" applyBorder="1" applyAlignment="1">
      <alignment horizontal="center" vertical="center" wrapText="1"/>
    </xf>
    <xf numFmtId="10" fontId="59" fillId="0" borderId="65" xfId="0" applyNumberFormat="1" applyFont="1" applyBorder="1" applyAlignment="1">
      <alignment horizontal="center" vertical="center" wrapText="1"/>
    </xf>
    <xf numFmtId="39" fontId="59" fillId="0" borderId="65" xfId="0" applyNumberFormat="1" applyFont="1" applyBorder="1" applyAlignment="1">
      <alignment horizontal="center" vertical="center" wrapText="1"/>
    </xf>
    <xf numFmtId="8" fontId="0" fillId="0" borderId="0" xfId="0" applyNumberFormat="1">
      <alignment vertical="center"/>
    </xf>
    <xf numFmtId="3" fontId="0" fillId="0" borderId="0" xfId="0" applyNumberFormat="1">
      <alignment vertical="center"/>
    </xf>
    <xf numFmtId="188" fontId="0" fillId="0" borderId="0" xfId="5" applyNumberFormat="1" applyFont="1" applyAlignment="1">
      <alignment vertical="center"/>
    </xf>
    <xf numFmtId="188" fontId="31" fillId="0" borderId="0" xfId="0" applyNumberFormat="1" applyFont="1">
      <alignment vertical="center"/>
    </xf>
    <xf numFmtId="0" fontId="64" fillId="0" borderId="14" xfId="22" applyFont="1" applyBorder="1" applyAlignment="1">
      <alignment horizontal="left"/>
    </xf>
    <xf numFmtId="0" fontId="65" fillId="0" borderId="14" xfId="22" applyFont="1" applyBorder="1" applyAlignment="1">
      <alignment horizontal="left"/>
    </xf>
    <xf numFmtId="184" fontId="64" fillId="23" borderId="14" xfId="19" applyNumberFormat="1" applyFont="1" applyFill="1" applyBorder="1"/>
    <xf numFmtId="0" fontId="65" fillId="0" borderId="14" xfId="22" applyFont="1" applyBorder="1" applyAlignment="1">
      <alignment horizontal="center"/>
    </xf>
    <xf numFmtId="0" fontId="64" fillId="0" borderId="14" xfId="22" applyFont="1" applyBorder="1"/>
    <xf numFmtId="164" fontId="65" fillId="0" borderId="14" xfId="23" applyNumberFormat="1" applyFont="1" applyBorder="1"/>
    <xf numFmtId="0" fontId="64" fillId="23" borderId="14" xfId="22" applyFont="1" applyFill="1" applyBorder="1" applyAlignment="1">
      <alignment horizontal="right"/>
    </xf>
    <xf numFmtId="0" fontId="64" fillId="23" borderId="14" xfId="22" applyFont="1" applyFill="1" applyBorder="1" applyAlignment="1">
      <alignment horizontal="center"/>
    </xf>
    <xf numFmtId="0" fontId="64" fillId="23" borderId="14" xfId="22" applyFont="1" applyFill="1" applyBorder="1"/>
    <xf numFmtId="164" fontId="64" fillId="23" borderId="14" xfId="23" applyNumberFormat="1" applyFont="1" applyFill="1" applyBorder="1" applyAlignment="1">
      <alignment horizontal="center"/>
    </xf>
    <xf numFmtId="3" fontId="64" fillId="23" borderId="14" xfId="22" applyNumberFormat="1" applyFont="1" applyFill="1" applyBorder="1" applyAlignment="1">
      <alignment horizontal="center"/>
    </xf>
    <xf numFmtId="0" fontId="65" fillId="0" borderId="14" xfId="22" applyFont="1" applyBorder="1" applyAlignment="1">
      <alignment horizontal="right"/>
    </xf>
    <xf numFmtId="0" fontId="65" fillId="0" borderId="14" xfId="22" applyFont="1" applyBorder="1" applyAlignment="1">
      <alignment horizontal="center" vertical="center"/>
    </xf>
    <xf numFmtId="189" fontId="65" fillId="0" borderId="14" xfId="19" applyNumberFormat="1" applyFont="1" applyFill="1" applyBorder="1" applyAlignment="1">
      <alignment horizontal="center" vertical="center"/>
    </xf>
    <xf numFmtId="2" fontId="65" fillId="0" borderId="14" xfId="23" applyNumberFormat="1" applyFont="1" applyFill="1" applyBorder="1" applyAlignment="1">
      <alignment horizontal="center" vertical="center"/>
    </xf>
    <xf numFmtId="9" fontId="65" fillId="0" borderId="14" xfId="22" applyNumberFormat="1" applyFont="1" applyBorder="1" applyAlignment="1">
      <alignment horizontal="center" vertical="center"/>
    </xf>
    <xf numFmtId="189" fontId="65" fillId="0" borderId="14" xfId="19" applyNumberFormat="1" applyFont="1" applyBorder="1" applyAlignment="1">
      <alignment horizontal="center" vertical="center"/>
    </xf>
    <xf numFmtId="190" fontId="65" fillId="0" borderId="51" xfId="23" applyNumberFormat="1" applyFont="1" applyFill="1" applyBorder="1" applyAlignment="1">
      <alignment horizontal="center" vertical="center"/>
    </xf>
    <xf numFmtId="10" fontId="64" fillId="0" borderId="14" xfId="10" applyNumberFormat="1" applyFont="1" applyFill="1" applyBorder="1" applyAlignment="1">
      <alignment horizontal="center"/>
    </xf>
    <xf numFmtId="189" fontId="66" fillId="0" borderId="14" xfId="19" applyNumberFormat="1" applyFont="1" applyBorder="1" applyAlignment="1">
      <alignment horizontal="center"/>
    </xf>
    <xf numFmtId="0" fontId="65" fillId="0" borderId="53" xfId="22" applyFont="1" applyBorder="1" applyAlignment="1">
      <alignment horizontal="center"/>
    </xf>
    <xf numFmtId="189" fontId="65" fillId="0" borderId="53" xfId="19" applyNumberFormat="1" applyFont="1" applyBorder="1" applyAlignment="1">
      <alignment horizontal="center" vertical="center"/>
    </xf>
    <xf numFmtId="0" fontId="65" fillId="0" borderId="53" xfId="22" applyFont="1" applyBorder="1"/>
    <xf numFmtId="164" fontId="65" fillId="0" borderId="53" xfId="23" applyNumberFormat="1" applyFont="1" applyFill="1" applyBorder="1" applyAlignment="1">
      <alignment horizontal="center"/>
    </xf>
    <xf numFmtId="10" fontId="65" fillId="0" borderId="53" xfId="22" applyNumberFormat="1" applyFont="1" applyBorder="1"/>
    <xf numFmtId="0" fontId="65" fillId="0" borderId="51" xfId="22" applyFont="1" applyBorder="1" applyAlignment="1">
      <alignment horizontal="right"/>
    </xf>
    <xf numFmtId="0" fontId="65" fillId="0" borderId="50" xfId="22" applyFont="1" applyBorder="1" applyAlignment="1">
      <alignment horizontal="left"/>
    </xf>
    <xf numFmtId="3" fontId="65" fillId="0" borderId="50" xfId="22" applyNumberFormat="1" applyFont="1" applyBorder="1"/>
    <xf numFmtId="164" fontId="65" fillId="0" borderId="50" xfId="23" applyNumberFormat="1" applyFont="1" applyFill="1" applyBorder="1"/>
    <xf numFmtId="9" fontId="65" fillId="0" borderId="50" xfId="22" applyNumberFormat="1" applyFont="1" applyBorder="1"/>
    <xf numFmtId="3" fontId="65" fillId="23" borderId="73" xfId="22" applyNumberFormat="1" applyFont="1" applyFill="1" applyBorder="1" applyAlignment="1">
      <alignment horizontal="right"/>
    </xf>
    <xf numFmtId="164" fontId="65" fillId="0" borderId="14" xfId="23" applyNumberFormat="1" applyFont="1" applyFill="1" applyBorder="1"/>
    <xf numFmtId="10" fontId="64" fillId="0" borderId="14" xfId="22" applyNumberFormat="1" applyFont="1" applyBorder="1" applyAlignment="1">
      <alignment horizontal="center"/>
    </xf>
    <xf numFmtId="169" fontId="64" fillId="0" borderId="14" xfId="19" applyNumberFormat="1" applyFont="1" applyBorder="1" applyAlignment="1">
      <alignment horizontal="center"/>
    </xf>
    <xf numFmtId="164" fontId="69" fillId="0" borderId="14" xfId="23" applyNumberFormat="1" applyFont="1" applyFill="1" applyBorder="1"/>
    <xf numFmtId="169" fontId="64" fillId="23" borderId="14" xfId="19" applyNumberFormat="1" applyFont="1" applyFill="1" applyBorder="1" applyAlignment="1">
      <alignment horizontal="center"/>
    </xf>
    <xf numFmtId="0" fontId="70" fillId="0" borderId="0" xfId="0" applyFont="1" applyAlignment="1"/>
    <xf numFmtId="6" fontId="0" fillId="0" borderId="0" xfId="0" applyNumberFormat="1">
      <alignment vertical="center"/>
    </xf>
    <xf numFmtId="0" fontId="73" fillId="0" borderId="0" xfId="0" applyFont="1">
      <alignment vertical="center"/>
    </xf>
    <xf numFmtId="0" fontId="74" fillId="25" borderId="14" xfId="0" applyFont="1" applyFill="1" applyBorder="1" applyAlignment="1">
      <alignment horizontal="center" vertical="center"/>
    </xf>
    <xf numFmtId="0" fontId="73" fillId="0" borderId="14" xfId="0" applyFont="1" applyBorder="1">
      <alignment vertical="center"/>
    </xf>
    <xf numFmtId="0" fontId="73" fillId="24" borderId="14" xfId="0" applyFont="1" applyFill="1" applyBorder="1">
      <alignment vertical="center"/>
    </xf>
    <xf numFmtId="0" fontId="73" fillId="10" borderId="14" xfId="0" applyFont="1" applyFill="1" applyBorder="1">
      <alignment vertical="center"/>
    </xf>
    <xf numFmtId="0" fontId="65" fillId="0" borderId="50" xfId="22" applyFont="1" applyBorder="1" applyAlignment="1">
      <alignment horizontal="center"/>
    </xf>
    <xf numFmtId="0" fontId="56" fillId="26" borderId="65" xfId="0" applyFont="1" applyFill="1" applyBorder="1" applyAlignment="1">
      <alignment horizontal="center" vertical="center" wrapText="1"/>
    </xf>
    <xf numFmtId="0" fontId="57" fillId="26" borderId="66" xfId="0" applyFont="1" applyFill="1" applyBorder="1" applyAlignment="1">
      <alignment horizontal="center" vertical="center" wrapText="1"/>
    </xf>
    <xf numFmtId="0" fontId="57" fillId="26" borderId="65" xfId="0" applyFont="1" applyFill="1" applyBorder="1" applyAlignment="1">
      <alignment horizontal="center" vertical="center" wrapText="1"/>
    </xf>
    <xf numFmtId="0" fontId="57" fillId="24" borderId="66" xfId="0" applyFont="1" applyFill="1" applyBorder="1" applyAlignment="1">
      <alignment horizontal="center" vertical="center" wrapText="1"/>
    </xf>
    <xf numFmtId="8" fontId="57" fillId="24" borderId="65" xfId="0" applyNumberFormat="1" applyFont="1" applyFill="1" applyBorder="1" applyAlignment="1">
      <alignment horizontal="center" vertical="center" wrapText="1"/>
    </xf>
    <xf numFmtId="0" fontId="57" fillId="24" borderId="65" xfId="0" applyFont="1" applyFill="1" applyBorder="1" applyAlignment="1">
      <alignment horizontal="center" vertical="center" wrapText="1"/>
    </xf>
    <xf numFmtId="0" fontId="65" fillId="0" borderId="69" xfId="22" applyFont="1" applyBorder="1" applyAlignment="1">
      <alignment horizontal="center" vertical="center"/>
    </xf>
    <xf numFmtId="10" fontId="65" fillId="0" borderId="14" xfId="9" applyNumberFormat="1" applyFont="1" applyFill="1" applyBorder="1" applyAlignment="1">
      <alignment horizontal="center" vertical="center"/>
    </xf>
    <xf numFmtId="189" fontId="69" fillId="0" borderId="14" xfId="19" applyNumberFormat="1" applyFont="1" applyBorder="1" applyAlignment="1">
      <alignment horizontal="center" vertical="center"/>
    </xf>
    <xf numFmtId="39" fontId="58" fillId="24" borderId="74" xfId="0" applyNumberFormat="1" applyFont="1" applyFill="1" applyBorder="1" applyAlignment="1">
      <alignment horizontal="center" vertical="center" wrapText="1"/>
    </xf>
    <xf numFmtId="8" fontId="59" fillId="24" borderId="75" xfId="0" applyNumberFormat="1" applyFont="1" applyFill="1" applyBorder="1" applyAlignment="1">
      <alignment horizontal="center" vertical="center" wrapText="1"/>
    </xf>
    <xf numFmtId="0" fontId="59" fillId="24" borderId="75" xfId="0" applyFont="1" applyFill="1" applyBorder="1" applyAlignment="1">
      <alignment horizontal="center" vertical="center" wrapText="1"/>
    </xf>
    <xf numFmtId="39" fontId="58" fillId="0" borderId="79" xfId="0" applyNumberFormat="1" applyFont="1" applyBorder="1" applyAlignment="1">
      <alignment horizontal="center" vertical="center" wrapText="1"/>
    </xf>
    <xf numFmtId="39" fontId="59" fillId="0" borderId="80" xfId="0" applyNumberFormat="1" applyFont="1" applyBorder="1" applyAlignment="1">
      <alignment horizontal="center" vertical="center" wrapText="1"/>
    </xf>
    <xf numFmtId="0" fontId="59" fillId="0" borderId="80" xfId="0" applyFont="1" applyBorder="1" applyAlignment="1">
      <alignment horizontal="center" vertical="center" wrapText="1"/>
    </xf>
    <xf numFmtId="8" fontId="59" fillId="0" borderId="80" xfId="0" applyNumberFormat="1" applyFont="1" applyBorder="1" applyAlignment="1">
      <alignment horizontal="center" vertical="center" wrapText="1"/>
    </xf>
    <xf numFmtId="0" fontId="59" fillId="0" borderId="56" xfId="0" applyFont="1" applyBorder="1" applyAlignment="1">
      <alignment horizontal="center" vertical="center" wrapText="1"/>
    </xf>
    <xf numFmtId="175" fontId="0" fillId="0" borderId="0" xfId="9" applyNumberFormat="1" applyFont="1" applyAlignment="1">
      <alignment vertical="center"/>
    </xf>
    <xf numFmtId="175" fontId="0" fillId="0" borderId="0" xfId="0" applyNumberFormat="1">
      <alignment vertical="center"/>
    </xf>
    <xf numFmtId="188" fontId="0" fillId="0" borderId="0" xfId="5" applyNumberFormat="1" applyFont="1" applyAlignment="1">
      <alignment horizontal="right" vertical="center"/>
    </xf>
    <xf numFmtId="188" fontId="59" fillId="0" borderId="65" xfId="0" applyNumberFormat="1" applyFont="1" applyBorder="1" applyAlignment="1">
      <alignment horizontal="center" vertical="center" wrapText="1"/>
    </xf>
    <xf numFmtId="39" fontId="59" fillId="0" borderId="80" xfId="0" applyNumberFormat="1" applyFont="1" applyBorder="1" applyAlignment="1">
      <alignment vertical="center" wrapText="1"/>
    </xf>
    <xf numFmtId="3" fontId="59" fillId="24" borderId="65" xfId="0" applyNumberFormat="1" applyFont="1" applyFill="1" applyBorder="1" applyAlignment="1">
      <alignment horizontal="center" vertical="center" wrapText="1"/>
    </xf>
    <xf numFmtId="0" fontId="74" fillId="0" borderId="14" xfId="0" applyFont="1" applyBorder="1" applyAlignment="1">
      <alignment horizontal="left" vertical="center"/>
    </xf>
    <xf numFmtId="0" fontId="73" fillId="0" borderId="14" xfId="0" applyFont="1" applyBorder="1" applyAlignment="1">
      <alignment horizontal="left" vertical="center"/>
    </xf>
    <xf numFmtId="0" fontId="74" fillId="24" borderId="14" xfId="0" applyFont="1" applyFill="1" applyBorder="1" applyAlignment="1">
      <alignment horizontal="left" vertical="center"/>
    </xf>
    <xf numFmtId="0" fontId="0" fillId="0" borderId="14" xfId="0" applyBorder="1">
      <alignment vertical="center"/>
    </xf>
    <xf numFmtId="188" fontId="59" fillId="0" borderId="80" xfId="0" applyNumberFormat="1" applyFont="1" applyBorder="1" applyAlignment="1">
      <alignment horizontal="center" vertical="center" wrapText="1"/>
    </xf>
    <xf numFmtId="0" fontId="0" fillId="0" borderId="0" xfId="0" applyAlignment="1">
      <alignment vertical="center" wrapText="1"/>
    </xf>
    <xf numFmtId="0" fontId="27" fillId="13" borderId="51" xfId="0" applyFont="1" applyFill="1" applyBorder="1" applyAlignment="1">
      <alignment horizontal="center" vertical="center"/>
    </xf>
    <xf numFmtId="0" fontId="27" fillId="13" borderId="50" xfId="0" applyFont="1" applyFill="1" applyBorder="1" applyAlignment="1">
      <alignment horizontal="center" vertical="center"/>
    </xf>
    <xf numFmtId="0" fontId="31" fillId="13" borderId="15" xfId="0" applyFont="1" applyFill="1" applyBorder="1" applyAlignment="1">
      <alignment horizontal="center" vertical="center"/>
    </xf>
    <xf numFmtId="0" fontId="32" fillId="12" borderId="51" xfId="0" applyFont="1" applyFill="1" applyBorder="1" applyAlignment="1">
      <alignment horizontal="center" vertical="center"/>
    </xf>
    <xf numFmtId="0" fontId="32" fillId="12" borderId="50" xfId="0" applyFont="1" applyFill="1" applyBorder="1" applyAlignment="1">
      <alignment horizontal="center" vertical="center"/>
    </xf>
    <xf numFmtId="0" fontId="17" fillId="0" borderId="39" xfId="0" applyFont="1" applyBorder="1" applyAlignment="1">
      <alignment horizontal="left" vertical="center"/>
    </xf>
    <xf numFmtId="0" fontId="17" fillId="0" borderId="14" xfId="0" applyFont="1" applyBorder="1" applyAlignment="1">
      <alignment horizontal="left" vertical="center"/>
    </xf>
    <xf numFmtId="0" fontId="27" fillId="13" borderId="35" xfId="0" applyFont="1" applyFill="1" applyBorder="1" applyAlignment="1">
      <alignment horizontal="center" vertical="center"/>
    </xf>
    <xf numFmtId="0" fontId="27" fillId="13" borderId="34" xfId="0" applyFont="1" applyFill="1" applyBorder="1" applyAlignment="1">
      <alignment horizontal="center" vertical="center"/>
    </xf>
    <xf numFmtId="0" fontId="27" fillId="13" borderId="36" xfId="0" applyFont="1" applyFill="1" applyBorder="1" applyAlignment="1">
      <alignment horizontal="center" vertical="center"/>
    </xf>
    <xf numFmtId="0" fontId="26" fillId="12" borderId="37" xfId="0" applyFont="1" applyFill="1" applyBorder="1" applyAlignment="1">
      <alignment horizontal="center" vertical="center" wrapText="1"/>
    </xf>
    <xf numFmtId="0" fontId="26" fillId="12" borderId="0" xfId="0" applyFont="1" applyFill="1" applyAlignment="1">
      <alignment horizontal="center" vertical="center" wrapText="1"/>
    </xf>
    <xf numFmtId="0" fontId="0" fillId="13" borderId="37" xfId="0" applyFill="1" applyBorder="1" applyAlignment="1">
      <alignment horizontal="center" vertical="center"/>
    </xf>
    <xf numFmtId="0" fontId="0" fillId="13" borderId="0" xfId="0" applyFill="1" applyAlignment="1">
      <alignment horizontal="center" vertical="center"/>
    </xf>
    <xf numFmtId="0" fontId="0" fillId="13" borderId="38" xfId="0" applyFill="1" applyBorder="1" applyAlignment="1">
      <alignment horizontal="center" vertical="center"/>
    </xf>
    <xf numFmtId="0" fontId="28" fillId="13" borderId="21" xfId="7" applyFont="1" applyFill="1" applyBorder="1" applyAlignment="1">
      <alignment horizontal="center" vertical="center"/>
    </xf>
    <xf numFmtId="0" fontId="28" fillId="13" borderId="23" xfId="7" applyFont="1" applyFill="1" applyBorder="1" applyAlignment="1">
      <alignment horizontal="center" vertical="center"/>
    </xf>
    <xf numFmtId="0" fontId="29" fillId="13" borderId="60" xfId="7" applyFont="1" applyFill="1" applyBorder="1" applyAlignment="1">
      <alignment horizontal="center" vertical="center"/>
    </xf>
    <xf numFmtId="0" fontId="29" fillId="13" borderId="61" xfId="7" applyFont="1" applyFill="1" applyBorder="1" applyAlignment="1">
      <alignment horizontal="center" vertical="center"/>
    </xf>
    <xf numFmtId="0" fontId="29" fillId="13" borderId="13" xfId="7" applyFont="1" applyFill="1" applyBorder="1" applyAlignment="1">
      <alignment horizontal="center" vertical="center"/>
    </xf>
    <xf numFmtId="0" fontId="0" fillId="0" borderId="0" xfId="0" applyAlignment="1">
      <alignment horizontal="center" vertical="center"/>
    </xf>
    <xf numFmtId="0" fontId="33" fillId="12" borderId="55" xfId="16" applyFont="1" applyFill="1" applyBorder="1" applyAlignment="1">
      <alignment horizontal="center"/>
    </xf>
    <xf numFmtId="0" fontId="33" fillId="12" borderId="13" xfId="16" applyFont="1" applyFill="1" applyBorder="1" applyAlignment="1">
      <alignment horizontal="center"/>
    </xf>
    <xf numFmtId="39" fontId="3" fillId="18" borderId="0" xfId="0" applyNumberFormat="1" applyFont="1" applyFill="1" applyAlignment="1">
      <alignment horizontal="center" vertical="center"/>
    </xf>
    <xf numFmtId="39" fontId="3" fillId="12" borderId="0" xfId="0" applyNumberFormat="1" applyFont="1" applyFill="1" applyAlignment="1" applyProtection="1">
      <alignment horizontal="center" vertical="center" wrapText="1"/>
      <protection locked="0"/>
    </xf>
    <xf numFmtId="39" fontId="3" fillId="12" borderId="5" xfId="0" applyNumberFormat="1" applyFont="1" applyFill="1" applyBorder="1" applyAlignment="1" applyProtection="1">
      <alignment horizontal="center" vertical="center" wrapText="1"/>
      <protection locked="0"/>
    </xf>
    <xf numFmtId="0" fontId="3" fillId="11" borderId="0" xfId="0" applyFont="1" applyFill="1" applyAlignment="1">
      <alignment horizontal="center" vertical="center" wrapText="1"/>
    </xf>
    <xf numFmtId="39" fontId="3" fillId="18" borderId="7" xfId="0" applyNumberFormat="1" applyFont="1" applyFill="1" applyBorder="1" applyAlignment="1">
      <alignment horizontal="center" vertical="center"/>
    </xf>
    <xf numFmtId="39" fontId="40" fillId="11" borderId="8" xfId="0" applyNumberFormat="1" applyFont="1" applyFill="1" applyBorder="1" applyAlignment="1">
      <alignment horizontal="center" vertical="center"/>
    </xf>
    <xf numFmtId="39" fontId="40" fillId="11" borderId="0" xfId="0" applyNumberFormat="1" applyFont="1" applyFill="1" applyAlignment="1">
      <alignment horizontal="center" vertical="center"/>
    </xf>
    <xf numFmtId="39" fontId="40" fillId="11" borderId="8" xfId="0" applyNumberFormat="1" applyFont="1" applyFill="1" applyBorder="1" applyAlignment="1">
      <alignment horizontal="center" vertical="center" wrapText="1"/>
    </xf>
    <xf numFmtId="39" fontId="40" fillId="11" borderId="0" xfId="0" applyNumberFormat="1" applyFont="1" applyFill="1" applyAlignment="1">
      <alignment horizontal="center" vertical="center" wrapText="1"/>
    </xf>
    <xf numFmtId="39" fontId="3" fillId="18" borderId="0" xfId="0" applyNumberFormat="1" applyFont="1" applyFill="1" applyAlignment="1">
      <alignment horizontal="center" vertical="center" wrapText="1"/>
    </xf>
    <xf numFmtId="39" fontId="3" fillId="18" borderId="7" xfId="0" applyNumberFormat="1" applyFont="1" applyFill="1" applyBorder="1" applyAlignment="1">
      <alignment horizontal="center" vertical="center" wrapText="1"/>
    </xf>
    <xf numFmtId="0" fontId="3" fillId="17" borderId="0" xfId="0" applyFont="1" applyFill="1" applyAlignment="1">
      <alignment horizontal="center" vertical="center" wrapText="1"/>
    </xf>
    <xf numFmtId="39" fontId="3" fillId="6" borderId="8" xfId="1" applyNumberFormat="1" applyFont="1" applyFill="1" applyBorder="1" applyAlignment="1">
      <alignment horizontal="center" vertical="center"/>
    </xf>
    <xf numFmtId="39" fontId="3" fillId="6" borderId="0" xfId="1" applyNumberFormat="1" applyFont="1" applyFill="1" applyBorder="1" applyAlignment="1">
      <alignment horizontal="center" vertical="center"/>
    </xf>
    <xf numFmtId="39" fontId="3" fillId="15" borderId="8" xfId="2" applyNumberFormat="1" applyFont="1" applyFill="1" applyBorder="1" applyAlignment="1">
      <alignment horizontal="center" vertical="center"/>
    </xf>
    <xf numFmtId="39" fontId="3" fillId="15" borderId="0" xfId="2" applyNumberFormat="1" applyFont="1" applyFill="1" applyBorder="1" applyAlignment="1">
      <alignment horizontal="center" vertical="center"/>
    </xf>
    <xf numFmtId="39" fontId="3" fillId="15" borderId="5" xfId="2" applyNumberFormat="1" applyFont="1" applyFill="1" applyBorder="1" applyAlignment="1">
      <alignment horizontal="center" vertical="center"/>
    </xf>
    <xf numFmtId="39" fontId="3" fillId="11" borderId="8" xfId="1" applyNumberFormat="1" applyFont="1" applyFill="1" applyBorder="1" applyAlignment="1">
      <alignment horizontal="center" vertical="center"/>
    </xf>
    <xf numFmtId="39" fontId="3" fillId="11" borderId="5" xfId="1" applyNumberFormat="1" applyFont="1" applyFill="1" applyBorder="1" applyAlignment="1">
      <alignment horizontal="center" vertical="center"/>
    </xf>
    <xf numFmtId="39" fontId="3" fillId="11" borderId="0" xfId="1" applyNumberFormat="1" applyFont="1" applyFill="1" applyBorder="1" applyAlignment="1">
      <alignment horizontal="center" vertical="center"/>
    </xf>
    <xf numFmtId="39" fontId="3" fillId="11" borderId="8" xfId="2" applyNumberFormat="1" applyFont="1" applyFill="1" applyBorder="1" applyAlignment="1">
      <alignment horizontal="center" vertical="center"/>
    </xf>
    <xf numFmtId="39" fontId="3" fillId="11" borderId="7" xfId="2" applyNumberFormat="1" applyFont="1" applyFill="1" applyBorder="1" applyAlignment="1">
      <alignment horizontal="center" vertical="center"/>
    </xf>
    <xf numFmtId="39" fontId="3" fillId="17" borderId="0" xfId="0" applyNumberFormat="1" applyFont="1" applyFill="1" applyAlignment="1">
      <alignment horizontal="center" vertical="center"/>
    </xf>
    <xf numFmtId="39" fontId="3" fillId="11" borderId="0" xfId="0" applyNumberFormat="1" applyFont="1" applyFill="1" applyAlignment="1">
      <alignment horizontal="center" vertical="center"/>
    </xf>
    <xf numFmtId="39" fontId="3" fillId="17" borderId="7" xfId="0" applyNumberFormat="1" applyFont="1" applyFill="1" applyBorder="1" applyAlignment="1">
      <alignment horizontal="center" vertical="center"/>
    </xf>
    <xf numFmtId="0" fontId="3" fillId="17" borderId="0" xfId="0" applyFont="1" applyFill="1" applyAlignment="1">
      <alignment horizontal="center" vertical="center"/>
    </xf>
    <xf numFmtId="0" fontId="42" fillId="12" borderId="37" xfId="0" applyFont="1" applyFill="1" applyBorder="1" applyAlignment="1">
      <alignment horizontal="center" vertical="center" wrapText="1"/>
    </xf>
    <xf numFmtId="0" fontId="42" fillId="12" borderId="0" xfId="0" applyFont="1" applyFill="1" applyAlignment="1">
      <alignment horizontal="center" vertical="center" wrapText="1"/>
    </xf>
    <xf numFmtId="0" fontId="42" fillId="12" borderId="38" xfId="0" applyFont="1" applyFill="1" applyBorder="1" applyAlignment="1">
      <alignment horizontal="center" vertical="center" wrapText="1"/>
    </xf>
    <xf numFmtId="39" fontId="3" fillId="15" borderId="7" xfId="2" applyNumberFormat="1" applyFont="1" applyFill="1" applyBorder="1" applyAlignment="1">
      <alignment horizontal="center" vertical="center"/>
    </xf>
    <xf numFmtId="0" fontId="3" fillId="11" borderId="8" xfId="0" applyFont="1" applyFill="1" applyBorder="1" applyAlignment="1">
      <alignment horizontal="center" vertical="center"/>
    </xf>
    <xf numFmtId="0" fontId="3" fillId="11" borderId="0" xfId="0" applyFont="1" applyFill="1" applyAlignment="1">
      <alignment horizontal="center" vertical="center"/>
    </xf>
    <xf numFmtId="0" fontId="3" fillId="11" borderId="7" xfId="0" applyFont="1" applyFill="1" applyBorder="1" applyAlignment="1">
      <alignment horizontal="center" vertical="center"/>
    </xf>
    <xf numFmtId="39" fontId="3" fillId="11" borderId="7" xfId="0" applyNumberFormat="1" applyFont="1" applyFill="1" applyBorder="1" applyAlignment="1">
      <alignment horizontal="center" vertical="center"/>
    </xf>
    <xf numFmtId="39" fontId="3" fillId="11" borderId="5" xfId="2" applyNumberFormat="1" applyFont="1" applyFill="1" applyBorder="1" applyAlignment="1">
      <alignment horizontal="center" vertical="center"/>
    </xf>
    <xf numFmtId="39" fontId="3" fillId="6" borderId="57" xfId="1" applyNumberFormat="1" applyFont="1" applyFill="1" applyBorder="1" applyAlignment="1">
      <alignment horizontal="center" vertical="center"/>
    </xf>
    <xf numFmtId="39" fontId="3" fillId="6" borderId="58" xfId="1" applyNumberFormat="1" applyFont="1" applyFill="1" applyBorder="1" applyAlignment="1">
      <alignment horizontal="center" vertical="center"/>
    </xf>
    <xf numFmtId="39" fontId="3" fillId="17" borderId="0" xfId="0" applyNumberFormat="1" applyFont="1" applyFill="1" applyAlignment="1">
      <alignment horizontal="center" vertical="center" textRotation="90"/>
    </xf>
    <xf numFmtId="39" fontId="3" fillId="17" borderId="7" xfId="0" applyNumberFormat="1" applyFont="1" applyFill="1" applyBorder="1" applyAlignment="1">
      <alignment horizontal="center" vertical="center" textRotation="90"/>
    </xf>
    <xf numFmtId="39" fontId="3" fillId="6" borderId="8" xfId="0" applyNumberFormat="1" applyFont="1" applyFill="1" applyBorder="1" applyAlignment="1">
      <alignment horizontal="center" vertical="center"/>
    </xf>
    <xf numFmtId="39" fontId="3" fillId="6" borderId="7" xfId="0" applyNumberFormat="1" applyFont="1" applyFill="1" applyBorder="1" applyAlignment="1">
      <alignment horizontal="center" vertical="center"/>
    </xf>
    <xf numFmtId="0" fontId="3" fillId="6" borderId="8" xfId="0" applyFont="1" applyFill="1" applyBorder="1" applyAlignment="1">
      <alignment horizontal="center" vertical="center"/>
    </xf>
    <xf numFmtId="0" fontId="3" fillId="6" borderId="5" xfId="0" applyFont="1" applyFill="1" applyBorder="1" applyAlignment="1">
      <alignment horizontal="center" vertical="center"/>
    </xf>
    <xf numFmtId="0" fontId="3" fillId="15" borderId="0" xfId="2" applyFont="1" applyFill="1" applyBorder="1" applyAlignment="1">
      <alignment horizontal="center" vertical="center" wrapText="1"/>
    </xf>
    <xf numFmtId="39" fontId="3" fillId="6" borderId="0" xfId="0" applyNumberFormat="1" applyFont="1" applyFill="1" applyAlignment="1">
      <alignment horizontal="center" vertical="center"/>
    </xf>
    <xf numFmtId="39" fontId="3" fillId="17" borderId="0" xfId="1" applyNumberFormat="1" applyFont="1" applyFill="1" applyBorder="1" applyAlignment="1">
      <alignment horizontal="center" vertical="center" textRotation="90"/>
    </xf>
    <xf numFmtId="39" fontId="3" fillId="17" borderId="7" xfId="1" applyNumberFormat="1" applyFont="1" applyFill="1" applyBorder="1" applyAlignment="1">
      <alignment horizontal="center" vertical="center" textRotation="90"/>
    </xf>
    <xf numFmtId="39" fontId="3" fillId="6" borderId="0" xfId="1" applyNumberFormat="1" applyFont="1" applyFill="1" applyBorder="1" applyAlignment="1">
      <alignment horizontal="center" vertical="center" wrapText="1"/>
    </xf>
    <xf numFmtId="39" fontId="3" fillId="17" borderId="0" xfId="0" applyNumberFormat="1" applyFont="1" applyFill="1" applyAlignment="1">
      <alignment horizontal="center" vertical="center" textRotation="90" wrapText="1"/>
    </xf>
    <xf numFmtId="39" fontId="3" fillId="17" borderId="7" xfId="0" applyNumberFormat="1" applyFont="1" applyFill="1" applyBorder="1" applyAlignment="1">
      <alignment horizontal="center" vertical="center" textRotation="90" wrapText="1"/>
    </xf>
    <xf numFmtId="0" fontId="3" fillId="12" borderId="0" xfId="2" applyFont="1" applyFill="1" applyBorder="1" applyAlignment="1">
      <alignment horizontal="center" vertical="center" wrapText="1"/>
    </xf>
    <xf numFmtId="0" fontId="3" fillId="12" borderId="5" xfId="2" applyFont="1" applyFill="1" applyBorder="1" applyAlignment="1">
      <alignment horizontal="center" vertical="center" wrapText="1"/>
    </xf>
    <xf numFmtId="0" fontId="3" fillId="17" borderId="7" xfId="0" applyFont="1" applyFill="1" applyBorder="1" applyAlignment="1">
      <alignment horizontal="center" vertical="center"/>
    </xf>
    <xf numFmtId="39" fontId="3" fillId="11" borderId="57" xfId="1" applyNumberFormat="1" applyFont="1" applyFill="1" applyBorder="1" applyAlignment="1">
      <alignment horizontal="center" vertical="center"/>
    </xf>
    <xf numFmtId="39" fontId="3" fillId="11" borderId="59" xfId="1" applyNumberFormat="1" applyFont="1" applyFill="1" applyBorder="1" applyAlignment="1">
      <alignment horizontal="center" vertical="center"/>
    </xf>
    <xf numFmtId="39" fontId="3" fillId="11" borderId="32" xfId="1" applyNumberFormat="1" applyFont="1" applyFill="1" applyBorder="1" applyAlignment="1">
      <alignment horizontal="center" vertical="center"/>
    </xf>
    <xf numFmtId="39" fontId="3" fillId="11" borderId="0" xfId="0" applyNumberFormat="1" applyFont="1" applyFill="1" applyAlignment="1">
      <alignment horizontal="center" vertical="center" textRotation="90"/>
    </xf>
    <xf numFmtId="39" fontId="3" fillId="11" borderId="7" xfId="0" applyNumberFormat="1" applyFont="1" applyFill="1" applyBorder="1" applyAlignment="1">
      <alignment horizontal="center" vertical="center" textRotation="90"/>
    </xf>
    <xf numFmtId="39" fontId="3" fillId="11" borderId="8" xfId="0" applyNumberFormat="1" applyFont="1" applyFill="1" applyBorder="1" applyAlignment="1">
      <alignment horizontal="center" vertical="center"/>
    </xf>
    <xf numFmtId="39" fontId="3" fillId="11" borderId="5" xfId="0" applyNumberFormat="1" applyFont="1" applyFill="1" applyBorder="1" applyAlignment="1">
      <alignment horizontal="center" vertical="center"/>
    </xf>
    <xf numFmtId="0" fontId="3" fillId="6" borderId="0" xfId="0" applyFont="1" applyFill="1" applyAlignment="1">
      <alignment horizontal="center" vertical="center"/>
    </xf>
    <xf numFmtId="0" fontId="3" fillId="6" borderId="7" xfId="0" applyFont="1" applyFill="1" applyBorder="1" applyAlignment="1">
      <alignment horizontal="center" vertical="center"/>
    </xf>
    <xf numFmtId="39" fontId="3" fillId="11" borderId="0" xfId="0" applyNumberFormat="1" applyFont="1" applyFill="1" applyAlignment="1">
      <alignment horizontal="center" vertical="center" textRotation="89"/>
    </xf>
    <xf numFmtId="39" fontId="3" fillId="11" borderId="7" xfId="0" applyNumberFormat="1" applyFont="1" applyFill="1" applyBorder="1" applyAlignment="1">
      <alignment horizontal="center" vertical="center" textRotation="89"/>
    </xf>
    <xf numFmtId="39" fontId="3" fillId="11" borderId="0" xfId="1" applyNumberFormat="1" applyFont="1" applyFill="1" applyBorder="1" applyAlignment="1">
      <alignment horizontal="center" vertical="center" textRotation="90"/>
    </xf>
    <xf numFmtId="39" fontId="3" fillId="11" borderId="7" xfId="1" applyNumberFormat="1" applyFont="1" applyFill="1" applyBorder="1" applyAlignment="1">
      <alignment horizontal="center" vertical="center" textRotation="90"/>
    </xf>
    <xf numFmtId="39" fontId="3" fillId="12" borderId="8" xfId="0" applyNumberFormat="1" applyFont="1" applyFill="1" applyBorder="1" applyAlignment="1">
      <alignment horizontal="center" vertical="center"/>
    </xf>
    <xf numFmtId="39" fontId="3" fillId="12" borderId="0" xfId="0" applyNumberFormat="1" applyFont="1" applyFill="1" applyAlignment="1">
      <alignment horizontal="center" vertical="center"/>
    </xf>
    <xf numFmtId="39" fontId="3" fillId="12" borderId="7" xfId="0" applyNumberFormat="1" applyFont="1" applyFill="1" applyBorder="1" applyAlignment="1">
      <alignment horizontal="center" vertical="center"/>
    </xf>
    <xf numFmtId="39" fontId="3" fillId="6" borderId="5" xfId="1" applyNumberFormat="1" applyFont="1" applyFill="1" applyBorder="1" applyAlignment="1">
      <alignment horizontal="center" vertical="center"/>
    </xf>
    <xf numFmtId="0" fontId="3" fillId="15" borderId="7" xfId="2" applyFont="1" applyFill="1" applyBorder="1" applyAlignment="1">
      <alignment horizontal="center" vertical="center" wrapText="1"/>
    </xf>
    <xf numFmtId="39" fontId="3" fillId="17" borderId="0" xfId="0" applyNumberFormat="1" applyFont="1" applyFill="1" applyAlignment="1">
      <alignment horizontal="center" vertical="center" textRotation="89"/>
    </xf>
    <xf numFmtId="0" fontId="3" fillId="12" borderId="7" xfId="2" applyFont="1" applyFill="1" applyBorder="1" applyAlignment="1">
      <alignment horizontal="center" vertical="center" wrapText="1"/>
    </xf>
    <xf numFmtId="39" fontId="3" fillId="17" borderId="7" xfId="0" applyNumberFormat="1" applyFont="1" applyFill="1" applyBorder="1" applyAlignment="1">
      <alignment horizontal="center" vertical="center" textRotation="89"/>
    </xf>
    <xf numFmtId="39" fontId="3" fillId="6" borderId="5" xfId="0" applyNumberFormat="1" applyFont="1" applyFill="1" applyBorder="1" applyAlignment="1">
      <alignment horizontal="center" vertical="center"/>
    </xf>
    <xf numFmtId="39" fontId="3" fillId="6" borderId="57" xfId="1" applyNumberFormat="1" applyFont="1" applyFill="1" applyBorder="1" applyAlignment="1">
      <alignment horizontal="center" vertical="center" wrapText="1"/>
    </xf>
    <xf numFmtId="39" fontId="3" fillId="6" borderId="32" xfId="1" applyNumberFormat="1" applyFont="1" applyFill="1" applyBorder="1" applyAlignment="1">
      <alignment horizontal="center" vertical="center" wrapText="1"/>
    </xf>
    <xf numFmtId="39" fontId="3" fillId="15" borderId="0" xfId="0" applyNumberFormat="1" applyFont="1" applyFill="1" applyAlignment="1">
      <alignment horizontal="center" vertical="center"/>
    </xf>
    <xf numFmtId="39" fontId="3" fillId="15" borderId="7" xfId="0" applyNumberFormat="1" applyFont="1" applyFill="1" applyBorder="1" applyAlignment="1">
      <alignment horizontal="center" vertical="center"/>
    </xf>
    <xf numFmtId="0" fontId="3" fillId="11" borderId="0" xfId="2" applyFont="1" applyFill="1" applyBorder="1" applyAlignment="1">
      <alignment horizontal="center" vertical="center" wrapText="1"/>
    </xf>
    <xf numFmtId="0" fontId="3" fillId="11" borderId="7" xfId="2" applyFont="1" applyFill="1" applyBorder="1" applyAlignment="1">
      <alignment horizontal="center" vertical="center" wrapText="1"/>
    </xf>
    <xf numFmtId="39" fontId="3" fillId="17" borderId="0" xfId="0" applyNumberFormat="1" applyFont="1" applyFill="1" applyAlignment="1">
      <alignment horizontal="center" vertical="center" wrapText="1"/>
    </xf>
    <xf numFmtId="39" fontId="3" fillId="17" borderId="7" xfId="0" applyNumberFormat="1" applyFont="1" applyFill="1" applyBorder="1" applyAlignment="1">
      <alignment horizontal="center" vertical="center" wrapText="1"/>
    </xf>
    <xf numFmtId="39" fontId="3" fillId="11" borderId="0" xfId="2" applyNumberFormat="1" applyFont="1" applyFill="1" applyBorder="1" applyAlignment="1">
      <alignment horizontal="center" vertical="center"/>
    </xf>
    <xf numFmtId="39" fontId="3" fillId="21" borderId="0" xfId="0" applyNumberFormat="1" applyFont="1" applyFill="1" applyAlignment="1">
      <alignment horizontal="center" vertical="center" textRotation="90"/>
    </xf>
    <xf numFmtId="39" fontId="3" fillId="21" borderId="7" xfId="0" applyNumberFormat="1" applyFont="1" applyFill="1" applyBorder="1" applyAlignment="1">
      <alignment horizontal="center" vertical="center" textRotation="90"/>
    </xf>
    <xf numFmtId="39" fontId="3" fillId="6" borderId="7" xfId="1" applyNumberFormat="1" applyFont="1" applyFill="1" applyBorder="1" applyAlignment="1">
      <alignment horizontal="center" vertical="center"/>
    </xf>
    <xf numFmtId="0" fontId="3" fillId="11" borderId="5" xfId="0" applyFont="1" applyFill="1" applyBorder="1" applyAlignment="1">
      <alignment horizontal="center" vertical="center"/>
    </xf>
    <xf numFmtId="0" fontId="0" fillId="0" borderId="0" xfId="0" applyAlignment="1">
      <alignment horizontal="center" vertical="center" textRotation="90"/>
    </xf>
    <xf numFmtId="39" fontId="3" fillId="11" borderId="8" xfId="0" applyNumberFormat="1" applyFont="1" applyFill="1" applyBorder="1" applyAlignment="1">
      <alignment horizontal="center" vertical="center" textRotation="1"/>
    </xf>
    <xf numFmtId="39" fontId="3" fillId="11" borderId="0" xfId="0" applyNumberFormat="1" applyFont="1" applyFill="1" applyAlignment="1">
      <alignment horizontal="center" vertical="center" textRotation="1"/>
    </xf>
    <xf numFmtId="39" fontId="3" fillId="12" borderId="8" xfId="0" applyNumberFormat="1" applyFont="1" applyFill="1" applyBorder="1" applyAlignment="1">
      <alignment horizontal="center" vertical="center" textRotation="1"/>
    </xf>
    <xf numFmtId="39" fontId="3" fillId="12" borderId="0" xfId="0" applyNumberFormat="1" applyFont="1" applyFill="1" applyAlignment="1">
      <alignment horizontal="center" vertical="center" textRotation="1"/>
    </xf>
    <xf numFmtId="39" fontId="3" fillId="12" borderId="7" xfId="0" applyNumberFormat="1" applyFont="1" applyFill="1" applyBorder="1" applyAlignment="1">
      <alignment horizontal="center" vertical="center" textRotation="1"/>
    </xf>
    <xf numFmtId="39" fontId="3" fillId="11" borderId="20" xfId="0" applyNumberFormat="1" applyFont="1" applyFill="1" applyBorder="1" applyAlignment="1">
      <alignment horizontal="center" vertical="center" textRotation="1"/>
    </xf>
    <xf numFmtId="39" fontId="3" fillId="11" borderId="0" xfId="0" applyNumberFormat="1" applyFont="1" applyFill="1" applyAlignment="1" applyProtection="1">
      <alignment horizontal="center" vertical="center" textRotation="90"/>
      <protection locked="0"/>
    </xf>
    <xf numFmtId="39" fontId="3" fillId="11" borderId="7" xfId="0" applyNumberFormat="1" applyFont="1" applyFill="1" applyBorder="1" applyAlignment="1" applyProtection="1">
      <alignment horizontal="center" vertical="center" textRotation="90"/>
      <protection locked="0"/>
    </xf>
    <xf numFmtId="0" fontId="3" fillId="11" borderId="5" xfId="2" applyFont="1" applyFill="1" applyBorder="1" applyAlignment="1">
      <alignment horizontal="center" vertical="center" wrapText="1"/>
    </xf>
    <xf numFmtId="0" fontId="3" fillId="11" borderId="17" xfId="2" applyFont="1" applyFill="1" applyBorder="1" applyAlignment="1">
      <alignment horizontal="center" vertical="center" wrapText="1"/>
    </xf>
    <xf numFmtId="39" fontId="3" fillId="11" borderId="16" xfId="0" applyNumberFormat="1" applyFont="1" applyFill="1" applyBorder="1" applyAlignment="1">
      <alignment horizontal="center" vertical="center" textRotation="90"/>
    </xf>
    <xf numFmtId="9" fontId="40" fillId="0" borderId="0" xfId="9" applyFont="1" applyFill="1" applyAlignment="1">
      <alignment horizontal="center" vertical="center"/>
    </xf>
    <xf numFmtId="0" fontId="41" fillId="0" borderId="0" xfId="2" applyFont="1" applyFill="1" applyAlignment="1">
      <alignment horizontal="left" vertical="distributed" textRotation="90"/>
    </xf>
    <xf numFmtId="39" fontId="3" fillId="17" borderId="0" xfId="0" applyNumberFormat="1" applyFont="1" applyFill="1" applyAlignment="1" applyProtection="1">
      <alignment horizontal="center" vertical="center" textRotation="90"/>
      <protection locked="0"/>
    </xf>
    <xf numFmtId="39" fontId="3" fillId="17" borderId="7" xfId="0" applyNumberFormat="1" applyFont="1" applyFill="1" applyBorder="1" applyAlignment="1" applyProtection="1">
      <alignment horizontal="center" vertical="center" textRotation="90"/>
      <protection locked="0"/>
    </xf>
    <xf numFmtId="39" fontId="3" fillId="6" borderId="8" xfId="0" applyNumberFormat="1" applyFont="1" applyFill="1" applyBorder="1" applyAlignment="1" applyProtection="1">
      <alignment horizontal="center" vertical="center"/>
      <protection locked="0"/>
    </xf>
    <xf numFmtId="39" fontId="3" fillId="6" borderId="0" xfId="0" applyNumberFormat="1" applyFont="1" applyFill="1" applyAlignment="1" applyProtection="1">
      <alignment horizontal="center" vertical="center"/>
      <protection locked="0"/>
    </xf>
    <xf numFmtId="39" fontId="3" fillId="6" borderId="7" xfId="0" applyNumberFormat="1" applyFont="1" applyFill="1" applyBorder="1" applyAlignment="1" applyProtection="1">
      <alignment horizontal="center" vertical="center"/>
      <protection locked="0"/>
    </xf>
    <xf numFmtId="0" fontId="3" fillId="12" borderId="8" xfId="2" applyFont="1" applyFill="1" applyBorder="1" applyAlignment="1">
      <alignment horizontal="center" vertical="center" wrapText="1"/>
    </xf>
    <xf numFmtId="0" fontId="3" fillId="11" borderId="8" xfId="2" applyFont="1" applyFill="1" applyBorder="1" applyAlignment="1">
      <alignment horizontal="center" vertical="center" wrapText="1"/>
    </xf>
    <xf numFmtId="39" fontId="3" fillId="11" borderId="8" xfId="0" applyNumberFormat="1" applyFont="1" applyFill="1" applyBorder="1" applyAlignment="1" applyProtection="1">
      <alignment horizontal="center" vertical="center"/>
      <protection locked="0"/>
    </xf>
    <xf numFmtId="39" fontId="3" fillId="11" borderId="0" xfId="0" applyNumberFormat="1" applyFont="1" applyFill="1" applyAlignment="1" applyProtection="1">
      <alignment horizontal="center" vertical="center"/>
      <protection locked="0"/>
    </xf>
    <xf numFmtId="39" fontId="3" fillId="11" borderId="7" xfId="0" applyNumberFormat="1" applyFont="1" applyFill="1" applyBorder="1" applyAlignment="1" applyProtection="1">
      <alignment horizontal="center" vertical="center"/>
      <protection locked="0"/>
    </xf>
    <xf numFmtId="39" fontId="3" fillId="19" borderId="0" xfId="0" applyNumberFormat="1" applyFont="1" applyFill="1" applyAlignment="1">
      <alignment horizontal="center" vertical="center" textRotation="90"/>
    </xf>
    <xf numFmtId="39" fontId="3" fillId="19" borderId="7" xfId="0" applyNumberFormat="1" applyFont="1" applyFill="1" applyBorder="1" applyAlignment="1">
      <alignment horizontal="center" vertical="center" textRotation="90"/>
    </xf>
    <xf numFmtId="39" fontId="3" fillId="11" borderId="7" xfId="0" applyNumberFormat="1" applyFont="1" applyFill="1" applyBorder="1" applyAlignment="1">
      <alignment horizontal="center" vertical="center" textRotation="1"/>
    </xf>
    <xf numFmtId="39" fontId="3" fillId="6" borderId="32" xfId="1" applyNumberFormat="1" applyFont="1" applyFill="1" applyBorder="1" applyAlignment="1">
      <alignment horizontal="center" vertical="center"/>
    </xf>
    <xf numFmtId="39" fontId="3" fillId="11" borderId="0" xfId="0" applyNumberFormat="1" applyFont="1" applyFill="1" applyAlignment="1" applyProtection="1">
      <alignment horizontal="center" vertical="center" textRotation="89"/>
      <protection locked="0"/>
    </xf>
    <xf numFmtId="39" fontId="3" fillId="11" borderId="7" xfId="0" applyNumberFormat="1" applyFont="1" applyFill="1" applyBorder="1" applyAlignment="1" applyProtection="1">
      <alignment horizontal="center" vertical="center" textRotation="89"/>
      <protection locked="0"/>
    </xf>
    <xf numFmtId="39" fontId="3" fillId="15" borderId="0" xfId="2" applyNumberFormat="1" applyFont="1" applyFill="1" applyBorder="1" applyAlignment="1">
      <alignment horizontal="center" vertical="center" wrapText="1"/>
    </xf>
    <xf numFmtId="39" fontId="3" fillId="15" borderId="7" xfId="2" applyNumberFormat="1" applyFont="1" applyFill="1" applyBorder="1" applyAlignment="1">
      <alignment horizontal="center" vertical="center" wrapText="1"/>
    </xf>
    <xf numFmtId="39" fontId="3" fillId="15" borderId="8" xfId="2" applyNumberFormat="1" applyFont="1" applyFill="1" applyBorder="1" applyAlignment="1">
      <alignment horizontal="center" vertical="center" wrapText="1"/>
    </xf>
    <xf numFmtId="39" fontId="3" fillId="15" borderId="0" xfId="0" applyNumberFormat="1" applyFont="1" applyFill="1" applyAlignment="1">
      <alignment horizontal="center" vertical="center" textRotation="90" wrapText="1"/>
    </xf>
    <xf numFmtId="39" fontId="3" fillId="15" borderId="7" xfId="0" applyNumberFormat="1" applyFont="1" applyFill="1" applyBorder="1" applyAlignment="1">
      <alignment horizontal="center" vertical="center" textRotation="90" wrapText="1"/>
    </xf>
    <xf numFmtId="39" fontId="3" fillId="12" borderId="8" xfId="0" applyNumberFormat="1" applyFont="1" applyFill="1" applyBorder="1" applyAlignment="1" applyProtection="1">
      <alignment horizontal="center" vertical="center"/>
      <protection locked="0"/>
    </xf>
    <xf numFmtId="39" fontId="3" fillId="12" borderId="0" xfId="0" applyNumberFormat="1" applyFont="1" applyFill="1" applyAlignment="1" applyProtection="1">
      <alignment horizontal="center" vertical="center"/>
      <protection locked="0"/>
    </xf>
    <xf numFmtId="39" fontId="3" fillId="12" borderId="7" xfId="0" applyNumberFormat="1" applyFont="1" applyFill="1" applyBorder="1" applyAlignment="1" applyProtection="1">
      <alignment horizontal="center" vertical="center"/>
      <protection locked="0"/>
    </xf>
    <xf numFmtId="0" fontId="3" fillId="12" borderId="15" xfId="2" applyFont="1" applyFill="1" applyBorder="1" applyAlignment="1">
      <alignment horizontal="center" vertical="center" wrapText="1"/>
    </xf>
    <xf numFmtId="0" fontId="3" fillId="15" borderId="0" xfId="0" applyFont="1" applyFill="1" applyAlignment="1">
      <alignment horizontal="center" vertical="center"/>
    </xf>
    <xf numFmtId="0" fontId="2" fillId="17" borderId="0" xfId="0" applyFont="1" applyFill="1" applyAlignment="1">
      <alignment horizontal="center" vertical="center" wrapText="1"/>
    </xf>
    <xf numFmtId="0" fontId="3" fillId="18" borderId="0" xfId="0" applyFont="1" applyFill="1" applyAlignment="1">
      <alignment horizontal="center" vertical="center" wrapText="1"/>
    </xf>
    <xf numFmtId="0" fontId="0" fillId="0" borderId="0" xfId="0" applyAlignment="1">
      <alignment horizontal="left" vertical="center" wrapText="1"/>
    </xf>
    <xf numFmtId="0" fontId="55" fillId="26" borderId="62" xfId="0" applyFont="1" applyFill="1" applyBorder="1" applyAlignment="1">
      <alignment horizontal="center" vertical="center" wrapText="1"/>
    </xf>
    <xf numFmtId="0" fontId="55" fillId="26" borderId="63" xfId="0" applyFont="1" applyFill="1" applyBorder="1" applyAlignment="1">
      <alignment horizontal="center" vertical="center" wrapText="1"/>
    </xf>
    <xf numFmtId="0" fontId="55" fillId="26" borderId="64" xfId="0" applyFont="1" applyFill="1" applyBorder="1" applyAlignment="1">
      <alignment horizontal="center" vertical="center" wrapText="1"/>
    </xf>
    <xf numFmtId="0" fontId="56" fillId="26" borderId="62" xfId="0" applyFont="1" applyFill="1" applyBorder="1" applyAlignment="1">
      <alignment horizontal="center" vertical="center" wrapText="1"/>
    </xf>
    <xf numFmtId="0" fontId="56" fillId="26" borderId="64" xfId="0" applyFont="1" applyFill="1" applyBorder="1" applyAlignment="1">
      <alignment horizontal="center" vertical="center" wrapText="1"/>
    </xf>
    <xf numFmtId="0" fontId="56" fillId="26" borderId="63" xfId="0" applyFont="1" applyFill="1" applyBorder="1" applyAlignment="1">
      <alignment horizontal="center" vertical="center" wrapText="1"/>
    </xf>
    <xf numFmtId="0" fontId="57" fillId="0" borderId="62" xfId="0" applyFont="1" applyBorder="1" applyAlignment="1">
      <alignment horizontal="center" vertical="center" wrapText="1"/>
    </xf>
    <xf numFmtId="0" fontId="57" fillId="0" borderId="64" xfId="0" applyFont="1" applyBorder="1" applyAlignment="1">
      <alignment horizontal="center" vertical="center" wrapText="1"/>
    </xf>
    <xf numFmtId="0" fontId="31" fillId="0" borderId="0" xfId="0" applyFont="1" applyAlignment="1">
      <alignment horizontal="center" vertical="center"/>
    </xf>
    <xf numFmtId="0" fontId="57" fillId="24" borderId="76" xfId="0" applyFont="1" applyFill="1" applyBorder="1" applyAlignment="1">
      <alignment horizontal="left" vertical="center" wrapText="1"/>
    </xf>
    <xf numFmtId="0" fontId="57" fillId="24" borderId="77" xfId="0" applyFont="1" applyFill="1" applyBorder="1" applyAlignment="1">
      <alignment horizontal="left" vertical="center" wrapText="1"/>
    </xf>
    <xf numFmtId="0" fontId="57" fillId="24" borderId="78" xfId="0" applyFont="1" applyFill="1" applyBorder="1" applyAlignment="1">
      <alignment horizontal="left" vertical="center" wrapText="1"/>
    </xf>
    <xf numFmtId="0" fontId="57" fillId="24" borderId="62" xfId="0" applyFont="1" applyFill="1" applyBorder="1" applyAlignment="1">
      <alignment horizontal="left" vertical="center" wrapText="1"/>
    </xf>
    <xf numFmtId="0" fontId="57" fillId="24" borderId="63" xfId="0" applyFont="1" applyFill="1" applyBorder="1" applyAlignment="1">
      <alignment horizontal="left" vertical="center" wrapText="1"/>
    </xf>
    <xf numFmtId="0" fontId="57" fillId="24" borderId="64" xfId="0" applyFont="1" applyFill="1" applyBorder="1" applyAlignment="1">
      <alignment horizontal="left" vertical="center" wrapText="1"/>
    </xf>
    <xf numFmtId="0" fontId="64" fillId="0" borderId="51" xfId="22" applyFont="1" applyBorder="1" applyAlignment="1">
      <alignment horizontal="center"/>
    </xf>
    <xf numFmtId="0" fontId="64" fillId="0" borderId="50" xfId="22" applyFont="1" applyBorder="1" applyAlignment="1">
      <alignment horizontal="center"/>
    </xf>
    <xf numFmtId="0" fontId="64" fillId="0" borderId="73" xfId="22" applyFont="1" applyBorder="1" applyAlignment="1">
      <alignment horizontal="center"/>
    </xf>
    <xf numFmtId="2" fontId="60" fillId="10" borderId="67" xfId="0" applyNumberFormat="1" applyFont="1" applyFill="1" applyBorder="1" applyAlignment="1">
      <alignment horizontal="right" vertical="center"/>
    </xf>
    <xf numFmtId="2" fontId="60" fillId="10" borderId="0" xfId="0" applyNumberFormat="1" applyFont="1" applyFill="1" applyAlignment="1">
      <alignment horizontal="right" vertical="center"/>
    </xf>
    <xf numFmtId="2" fontId="60" fillId="10" borderId="68" xfId="0" applyNumberFormat="1" applyFont="1" applyFill="1" applyBorder="1" applyAlignment="1">
      <alignment horizontal="right" vertical="center"/>
    </xf>
    <xf numFmtId="0" fontId="61" fillId="10" borderId="69" xfId="8" applyFont="1" applyFill="1" applyBorder="1" applyAlignment="1">
      <alignment horizontal="center" vertical="center" wrapText="1"/>
    </xf>
    <xf numFmtId="0" fontId="61" fillId="10" borderId="1" xfId="8" applyFont="1" applyFill="1" applyBorder="1" applyAlignment="1">
      <alignment horizontal="center" vertical="center" wrapText="1"/>
    </xf>
    <xf numFmtId="0" fontId="61" fillId="10" borderId="70" xfId="8" applyFont="1" applyFill="1" applyBorder="1" applyAlignment="1">
      <alignment horizontal="center" vertical="center" wrapText="1"/>
    </xf>
    <xf numFmtId="0" fontId="61" fillId="10" borderId="67" xfId="8" applyFont="1" applyFill="1" applyBorder="1" applyAlignment="1">
      <alignment horizontal="center" vertical="center" wrapText="1"/>
    </xf>
    <xf numFmtId="0" fontId="61" fillId="10" borderId="0" xfId="8" applyFont="1" applyFill="1" applyAlignment="1">
      <alignment horizontal="center" vertical="center" wrapText="1"/>
    </xf>
    <xf numFmtId="0" fontId="61" fillId="10" borderId="68" xfId="8" applyFont="1" applyFill="1" applyBorder="1" applyAlignment="1">
      <alignment horizontal="center" vertical="center" wrapText="1"/>
    </xf>
    <xf numFmtId="0" fontId="61" fillId="10" borderId="71" xfId="8" applyFont="1" applyFill="1" applyBorder="1" applyAlignment="1">
      <alignment horizontal="center" vertical="center" wrapText="1"/>
    </xf>
    <xf numFmtId="0" fontId="61" fillId="10" borderId="15" xfId="8" applyFont="1" applyFill="1" applyBorder="1" applyAlignment="1">
      <alignment horizontal="center" vertical="center" wrapText="1"/>
    </xf>
    <xf numFmtId="0" fontId="61" fillId="10" borderId="72" xfId="8" applyFont="1" applyFill="1" applyBorder="1" applyAlignment="1">
      <alignment horizontal="center" vertical="center" wrapText="1"/>
    </xf>
    <xf numFmtId="0" fontId="63" fillId="0" borderId="71" xfId="22" applyFont="1" applyBorder="1" applyAlignment="1">
      <alignment horizontal="center"/>
    </xf>
    <xf numFmtId="0" fontId="63" fillId="0" borderId="15" xfId="22" applyFont="1" applyBorder="1" applyAlignment="1">
      <alignment horizontal="center"/>
    </xf>
    <xf numFmtId="0" fontId="63" fillId="0" borderId="72" xfId="22" applyFont="1" applyBorder="1" applyAlignment="1">
      <alignment horizontal="center"/>
    </xf>
    <xf numFmtId="0" fontId="64" fillId="23" borderId="51" xfId="22" applyFont="1" applyFill="1" applyBorder="1" applyAlignment="1">
      <alignment horizontal="center"/>
    </xf>
    <xf numFmtId="0" fontId="64" fillId="23" borderId="73" xfId="22" applyFont="1" applyFill="1" applyBorder="1" applyAlignment="1">
      <alignment horizontal="center"/>
    </xf>
    <xf numFmtId="0" fontId="63" fillId="0" borderId="51" xfId="22" applyFont="1" applyBorder="1" applyAlignment="1">
      <alignment horizontal="center"/>
    </xf>
    <xf numFmtId="0" fontId="63" fillId="0" borderId="50" xfId="22" applyFont="1" applyBorder="1" applyAlignment="1">
      <alignment horizontal="center"/>
    </xf>
    <xf numFmtId="0" fontId="63" fillId="0" borderId="73" xfId="22" applyFont="1" applyBorder="1" applyAlignment="1">
      <alignment horizontal="center"/>
    </xf>
    <xf numFmtId="0" fontId="64" fillId="0" borderId="51" xfId="22" applyFont="1" applyBorder="1" applyAlignment="1">
      <alignment horizontal="center" wrapText="1"/>
    </xf>
    <xf numFmtId="0" fontId="64" fillId="0" borderId="50" xfId="22" applyFont="1" applyBorder="1" applyAlignment="1">
      <alignment horizontal="center" wrapText="1"/>
    </xf>
    <xf numFmtId="0" fontId="64" fillId="0" borderId="73" xfId="22" applyFont="1" applyBorder="1" applyAlignment="1">
      <alignment horizontal="center" wrapText="1"/>
    </xf>
    <xf numFmtId="0" fontId="65" fillId="0" borderId="51" xfId="22" applyFont="1" applyBorder="1" applyAlignment="1">
      <alignment horizontal="left" vertical="center" wrapText="1"/>
    </xf>
    <xf numFmtId="0" fontId="65" fillId="0" borderId="73" xfId="22" applyFont="1" applyBorder="1" applyAlignment="1">
      <alignment horizontal="left" vertical="center" wrapText="1"/>
    </xf>
    <xf numFmtId="0" fontId="65" fillId="0" borderId="51" xfId="22" applyFont="1" applyBorder="1" applyAlignment="1">
      <alignment horizontal="center"/>
    </xf>
    <xf numFmtId="0" fontId="65" fillId="0" borderId="50" xfId="22" applyFont="1" applyBorder="1" applyAlignment="1">
      <alignment horizontal="center"/>
    </xf>
    <xf numFmtId="0" fontId="65" fillId="0" borderId="73" xfId="22" applyFont="1" applyBorder="1" applyAlignment="1">
      <alignment horizontal="center"/>
    </xf>
    <xf numFmtId="39" fontId="67" fillId="0" borderId="51" xfId="20" applyNumberFormat="1" applyFont="1" applyBorder="1" applyAlignment="1">
      <alignment horizontal="center" vertical="center" wrapText="1"/>
    </xf>
    <xf numFmtId="39" fontId="67" fillId="0" borderId="50" xfId="20" applyNumberFormat="1" applyFont="1" applyBorder="1" applyAlignment="1">
      <alignment horizontal="center" vertical="center" wrapText="1"/>
    </xf>
    <xf numFmtId="39" fontId="67" fillId="0" borderId="73" xfId="20" applyNumberFormat="1" applyFont="1" applyBorder="1" applyAlignment="1">
      <alignment horizontal="center" vertical="center" wrapText="1"/>
    </xf>
    <xf numFmtId="0" fontId="65" fillId="0" borderId="51" xfId="22" applyFont="1" applyBorder="1" applyAlignment="1">
      <alignment horizontal="center" vertical="center" wrapText="1"/>
    </xf>
    <xf numFmtId="0" fontId="65" fillId="0" borderId="73" xfId="22" applyFont="1" applyBorder="1" applyAlignment="1">
      <alignment horizontal="center" vertical="center" wrapText="1"/>
    </xf>
    <xf numFmtId="42" fontId="68" fillId="10" borderId="51" xfId="21" applyFont="1" applyFill="1" applyBorder="1" applyAlignment="1">
      <alignment horizontal="center" vertical="center" wrapText="1"/>
    </xf>
    <xf numFmtId="42" fontId="68" fillId="10" borderId="73" xfId="21" applyFont="1" applyFill="1" applyBorder="1" applyAlignment="1">
      <alignment horizontal="center" vertical="center" wrapText="1"/>
    </xf>
    <xf numFmtId="0" fontId="65" fillId="10" borderId="51" xfId="22" applyFont="1" applyFill="1" applyBorder="1" applyAlignment="1">
      <alignment horizontal="center" vertical="center" wrapText="1"/>
    </xf>
    <xf numFmtId="0" fontId="65" fillId="10" borderId="73" xfId="22" applyFont="1" applyFill="1" applyBorder="1" applyAlignment="1">
      <alignment horizontal="center" vertical="center" wrapText="1"/>
    </xf>
    <xf numFmtId="10" fontId="64" fillId="0" borderId="51" xfId="10" applyNumberFormat="1" applyFont="1" applyFill="1" applyBorder="1" applyAlignment="1">
      <alignment horizontal="center"/>
    </xf>
    <xf numFmtId="10" fontId="64" fillId="0" borderId="73" xfId="10" applyNumberFormat="1" applyFont="1" applyFill="1" applyBorder="1" applyAlignment="1">
      <alignment horizontal="center"/>
    </xf>
    <xf numFmtId="0" fontId="64" fillId="0" borderId="51" xfId="22" applyFont="1" applyBorder="1"/>
    <xf numFmtId="0" fontId="64" fillId="0" borderId="50" xfId="22" applyFont="1" applyBorder="1"/>
    <xf numFmtId="0" fontId="64" fillId="0" borderId="73" xfId="22" applyFont="1" applyBorder="1"/>
    <xf numFmtId="0" fontId="74" fillId="25" borderId="51" xfId="0" applyFont="1" applyFill="1" applyBorder="1" applyAlignment="1">
      <alignment horizontal="left" vertical="center"/>
    </xf>
    <xf numFmtId="0" fontId="74" fillId="25" borderId="50" xfId="0" applyFont="1" applyFill="1" applyBorder="1" applyAlignment="1">
      <alignment horizontal="left" vertical="center"/>
    </xf>
    <xf numFmtId="0" fontId="74" fillId="25" borderId="73" xfId="0" applyFont="1" applyFill="1" applyBorder="1" applyAlignment="1">
      <alignment horizontal="left" vertical="center"/>
    </xf>
  </cellXfs>
  <cellStyles count="24">
    <cellStyle name="Encabezado 1" xfId="11" builtinId="16" customBuiltin="1"/>
    <cellStyle name="Énfasis3" xfId="1" builtinId="37"/>
    <cellStyle name="Énfasis4" xfId="2" builtinId="41"/>
    <cellStyle name="Hipervínculo" xfId="3" builtinId="8" customBuiltin="1"/>
    <cellStyle name="Hipervínculo visitado" xfId="4" builtinId="9" customBuiltin="1"/>
    <cellStyle name="Millares" xfId="5" builtinId="3"/>
    <cellStyle name="Millares 2" xfId="17" xr:uid="{00000000-0005-0000-0000-000006000000}"/>
    <cellStyle name="Millares 3" xfId="13" xr:uid="{00000000-0005-0000-0000-000007000000}"/>
    <cellStyle name="Millares_DESGLOCE AIU" xfId="23" xr:uid="{A46DD940-0218-49B6-ACCB-3877CD75C89B}"/>
    <cellStyle name="Moneda" xfId="15" xr:uid="{00000000-0005-0000-0000-000008000000}"/>
    <cellStyle name="Moneda [0]" xfId="21" builtinId="7"/>
    <cellStyle name="Moneda 2" xfId="19" xr:uid="{00000000-0005-0000-0000-000009000000}"/>
    <cellStyle name="Moneda 3" xfId="6" xr:uid="{00000000-0005-0000-0000-00000A000000}"/>
    <cellStyle name="Normal" xfId="0" builtinId="0" customBuiltin="1"/>
    <cellStyle name="Normal 2" xfId="14" xr:uid="{00000000-0005-0000-0000-00000C000000}"/>
    <cellStyle name="Normal 2 2" xfId="20" xr:uid="{00000000-0005-0000-0000-00000D000000}"/>
    <cellStyle name="Normal 3" xfId="16" xr:uid="{00000000-0005-0000-0000-00000E000000}"/>
    <cellStyle name="Normal 4" xfId="7" xr:uid="{00000000-0005-0000-0000-00000F000000}"/>
    <cellStyle name="Normal 5" xfId="8" xr:uid="{00000000-0005-0000-0000-000010000000}"/>
    <cellStyle name="Normal 6" xfId="18" xr:uid="{00000000-0005-0000-0000-000011000000}"/>
    <cellStyle name="Normal_DESGLOCE AIU" xfId="22" xr:uid="{817006E8-559C-4715-AAD8-EBAD8261817F}"/>
    <cellStyle name="Porcentaje" xfId="9" builtinId="5"/>
    <cellStyle name="Porcentual 3" xfId="10" xr:uid="{00000000-0005-0000-0000-000013000000}"/>
    <cellStyle name="Título 2" xfId="12" builtinId="17" customBuiltin="1"/>
  </cellStyles>
  <dxfs count="62">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i/>
        <strike/>
        <condense/>
        <extend/>
        <outline/>
        <shadow/>
        <u val="none"/>
        <vertAlign val="baseline"/>
        <sz val="9"/>
        <color indexed="8"/>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i/>
        <strike/>
        <condense/>
        <extend/>
        <outline/>
        <shadow/>
        <u val="none"/>
        <vertAlign val="baseline"/>
        <sz val="9"/>
        <color indexed="8"/>
        <name val="Arial"/>
        <scheme val="none"/>
      </font>
      <fill>
        <patternFill patternType="solid">
          <fgColor indexed="64"/>
          <bgColor indexed="27"/>
        </patternFill>
      </fill>
      <alignment horizontal="left" vertical="center" textRotation="0" wrapText="0" relativeIndent="0" justifyLastLine="0" shrinkToFit="0" readingOrder="0"/>
    </dxf>
    <dxf>
      <font>
        <b/>
        <i/>
        <strike/>
        <condense/>
        <extend/>
        <outline/>
        <shadow/>
        <u val="none"/>
        <vertAlign val="baseline"/>
        <sz val="9"/>
        <color indexed="8"/>
        <name val="Arial"/>
        <scheme val="none"/>
      </font>
      <fill>
        <patternFill patternType="solid">
          <fgColor indexed="64"/>
          <bgColor indexed="27"/>
        </patternFill>
      </fill>
      <alignment horizontal="left" vertical="center" textRotation="0" wrapText="0" relativeIndent="0" justifyLastLine="0" shrinkToFit="0" readingOrder="0"/>
    </dxf>
    <dxf>
      <font>
        <b/>
        <i/>
        <strike/>
        <condense/>
        <extend/>
        <outline/>
        <shadow/>
        <u val="none"/>
        <vertAlign val="baseline"/>
        <sz val="9"/>
        <color indexed="8"/>
        <name val="Arial"/>
        <scheme val="none"/>
      </font>
      <fill>
        <patternFill patternType="solid">
          <fgColor indexed="64"/>
          <bgColor indexed="27"/>
        </patternFill>
      </fill>
      <alignment horizontal="left" vertical="center" textRotation="0" wrapText="0" relativeIndent="0" justifyLastLine="0" shrinkToFit="0" readingOrder="0"/>
    </dxf>
    <dxf>
      <font>
        <b/>
        <i/>
        <strike/>
        <condense/>
        <extend/>
        <outline/>
        <shadow/>
        <u val="none"/>
        <vertAlign val="baseline"/>
        <sz val="9"/>
        <color indexed="8"/>
        <name val="Arial"/>
        <scheme val="none"/>
      </font>
      <fill>
        <patternFill patternType="solid">
          <fgColor indexed="64"/>
          <bgColor indexed="27"/>
        </patternFill>
      </fill>
      <alignment horizontal="left" vertical="center" textRotation="0" wrapText="0" relativeIndent="0" justifyLastLine="0" shrinkToFit="0" readingOrder="0"/>
    </dxf>
    <dxf>
      <font>
        <b/>
        <i/>
        <strike/>
        <condense/>
        <extend/>
        <outline/>
        <shadow/>
        <u val="none"/>
        <vertAlign val="baseline"/>
        <sz val="9"/>
        <color indexed="8"/>
        <name val="Arial"/>
        <scheme val="none"/>
      </font>
      <numFmt numFmtId="30" formatCode="@"/>
      <fill>
        <patternFill patternType="solid">
          <fgColor indexed="64"/>
          <bgColor indexed="27"/>
        </patternFill>
      </fill>
      <alignment horizontal="left" vertical="center" textRotation="0" wrapText="0" relativeIndent="0" justifyLastLine="0" shrinkToFit="0" readingOrder="0"/>
    </dxf>
    <dxf>
      <font>
        <b/>
        <i/>
        <strike/>
        <condense/>
        <extend/>
        <outline/>
        <shadow/>
        <u val="none"/>
        <vertAlign val="baseline"/>
        <sz val="9"/>
        <color indexed="8"/>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numFmt numFmtId="167" formatCode="[&lt;=9999999]###\-####;###\-###\-####"/>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numFmt numFmtId="167" formatCode="[&lt;=9999999]###\-####;###\-###\-####"/>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numFmt numFmtId="167" formatCode="[&lt;=9999999]###\-####;###\-###\-####"/>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solid">
          <fgColor indexed="64"/>
          <bgColor indexed="27"/>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indexed="8"/>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indexed="8"/>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indexed="8"/>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indexed="8"/>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indexed="8"/>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indexed="8"/>
        <name val="Arial"/>
        <scheme val="none"/>
      </font>
      <numFmt numFmtId="30" formatCode="@"/>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indexed="8"/>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numFmt numFmtId="167" formatCode="[&lt;=9999999]###\-####;###\-###\-####"/>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numFmt numFmtId="167" formatCode="[&lt;=9999999]###\-####;###\-###\-####"/>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numFmt numFmtId="167" formatCode="[&lt;=9999999]###\-####;###\-###\-####"/>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left" vertical="center" textRotation="0" wrapText="0" relativeIndent="0" justifyLastLine="0" shrinkToFit="0" readingOrder="0"/>
    </dxf>
    <dxf>
      <font>
        <color theme="0"/>
      </font>
      <fill>
        <patternFill>
          <bgColor theme="1"/>
        </patternFill>
      </fill>
    </dxf>
    <dxf>
      <font>
        <color theme="1"/>
      </font>
      <fill>
        <patternFill>
          <bgColor theme="0"/>
        </patternFill>
      </fill>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4" tint="0.59999389629810485"/>
        </bottom>
      </border>
    </dxf>
    <dxf>
      <font>
        <color theme="1"/>
      </font>
      <fill>
        <patternFill patternType="solid">
          <fgColor theme="4" tint="0.59999389629810485"/>
          <bgColor theme="4" tint="0.59999389629810485"/>
        </patternFill>
      </fill>
      <border>
        <left style="thin">
          <color theme="4" tint="0.39997558519241921"/>
        </left>
        <right style="thin">
          <color theme="4" tint="0.39997558519241921"/>
        </right>
        <top style="thin">
          <color theme="4" tint="0.39997558519241921"/>
        </top>
      </border>
    </dxf>
    <dxf>
      <fill>
        <patternFill patternType="none">
          <fgColor indexed="64"/>
          <bgColor auto="1"/>
        </patternFill>
      </fill>
      <border>
        <vertical/>
        <horizontal/>
      </border>
    </dxf>
    <dxf>
      <fill>
        <patternFill patternType="solid">
          <fgColor theme="4" tint="0.79995117038483843"/>
          <bgColor theme="0" tint="-4.9989318521683403E-2"/>
        </patternFill>
      </fill>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diagonalUp="0" diagonalDown="0">
        <left/>
        <right/>
        <top/>
        <bottom/>
        <vertical/>
        <horizontal/>
      </border>
    </dxf>
    <dxf>
      <fill>
        <patternFill>
          <bgColor theme="2"/>
        </patternFill>
      </fill>
    </dxf>
    <dxf>
      <font>
        <b val="0"/>
        <i val="0"/>
        <color theme="0" tint="-4.9989318521683403E-2"/>
      </font>
      <fill>
        <patternFill>
          <bgColor theme="1" tint="4.9989318521683403E-2"/>
        </patternFill>
      </fill>
      <border diagonalUp="0" diagonalDown="0">
        <left/>
        <right/>
        <top/>
        <bottom/>
        <vertical/>
        <horizontal/>
      </border>
    </dxf>
    <dxf>
      <font>
        <color auto="1"/>
      </font>
      <border diagonalUp="0" diagonalDown="0">
        <left/>
        <right/>
        <top/>
        <bottom/>
        <vertical/>
        <horizontal/>
      </border>
    </dxf>
  </dxfs>
  <tableStyles count="3" defaultTableStyle="Contacts" defaultPivotStyle="Contacts PivotTable">
    <tableStyle name="Contacts" pivot="0" count="3" xr9:uid="{00000000-0011-0000-FFFF-FFFF00000000}">
      <tableStyleElement type="wholeTable" dxfId="61"/>
      <tableStyleElement type="headerRow" dxfId="60"/>
      <tableStyleElement type="secondRowStripe" dxfId="59"/>
    </tableStyle>
    <tableStyle name="Contacts PivotTable" table="0" count="13" xr9:uid="{00000000-0011-0000-FFFF-FFFF01000000}">
      <tableStyleElement type="wholeTable" dxfId="58"/>
      <tableStyleElement type="headerRow" dxfId="57"/>
      <tableStyleElement type="totalRow" dxfId="56"/>
      <tableStyleElement type="firstRowStripe" dxfId="55"/>
      <tableStyleElement type="firstColumnStripe" dxfId="54"/>
      <tableStyleElement type="firstSubtotalColumn" dxfId="53"/>
      <tableStyleElement type="firstSubtotalRow" dxfId="52"/>
      <tableStyleElement type="secondSubtotalRow" dxfId="51"/>
      <tableStyleElement type="firstRowSubheading" dxfId="50"/>
      <tableStyleElement type="secondRowSubheading" dxfId="49"/>
      <tableStyleElement type="thirdRowSubheading" dxfId="48"/>
      <tableStyleElement type="pageFieldLabels" dxfId="47"/>
      <tableStyleElement type="pageFieldValues" dxfId="46"/>
    </tableStyle>
    <tableStyle name="Customer Contacts" pivot="0" table="0" count="2" xr9:uid="{00000000-0011-0000-FFFF-FFFF02000000}">
      <tableStyleElement type="wholeTable" dxfId="45"/>
      <tableStyleElement type="headerRow" dxfId="44"/>
    </tableStyle>
  </tableStyles>
  <colors>
    <mruColors>
      <color rgb="FF0D4B2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8</xdr:col>
      <xdr:colOff>66675</xdr:colOff>
      <xdr:row>57</xdr:row>
      <xdr:rowOff>133350</xdr:rowOff>
    </xdr:to>
    <xdr:pic>
      <xdr:nvPicPr>
        <xdr:cNvPr id="4" name="Imagen 3">
          <a:extLst>
            <a:ext uri="{FF2B5EF4-FFF2-40B4-BE49-F238E27FC236}">
              <a16:creationId xmlns:a16="http://schemas.microsoft.com/office/drawing/2014/main" id="{E33D0281-981E-45A5-89D8-D2EB0ECA16E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152400"/>
          <a:ext cx="5400675" cy="8667750"/>
        </a:xfrm>
        <a:prstGeom prst="rect">
          <a:avLst/>
        </a:prstGeom>
        <a:solidFill>
          <a:schemeClr val="accent3">
            <a:lumMod val="60000"/>
            <a:lumOff val="40000"/>
          </a:schemeClr>
        </a:solidFill>
      </xdr:spPr>
    </xdr:pic>
    <xdr:clientData/>
  </xdr:twoCellAnchor>
  <xdr:twoCellAnchor editAs="oneCell">
    <xdr:from>
      <xdr:col>1</xdr:col>
      <xdr:colOff>0</xdr:colOff>
      <xdr:row>58</xdr:row>
      <xdr:rowOff>0</xdr:rowOff>
    </xdr:from>
    <xdr:to>
      <xdr:col>8</xdr:col>
      <xdr:colOff>66675</xdr:colOff>
      <xdr:row>89</xdr:row>
      <xdr:rowOff>28575</xdr:rowOff>
    </xdr:to>
    <xdr:pic>
      <xdr:nvPicPr>
        <xdr:cNvPr id="5" name="Imagen 4">
          <a:extLst>
            <a:ext uri="{FF2B5EF4-FFF2-40B4-BE49-F238E27FC236}">
              <a16:creationId xmlns:a16="http://schemas.microsoft.com/office/drawing/2014/main" id="{AE4B79F0-F6B5-4C47-BC3B-A88D4D25B5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000" y="8991600"/>
          <a:ext cx="5400675" cy="4752975"/>
        </a:xfrm>
        <a:prstGeom prst="rect">
          <a:avLst/>
        </a:prstGeom>
        <a:solidFill>
          <a:schemeClr val="accent3">
            <a:lumMod val="60000"/>
            <a:lumOff val="40000"/>
          </a:schemeClr>
        </a:solid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419101</xdr:colOff>
      <xdr:row>0</xdr:row>
      <xdr:rowOff>109257</xdr:rowOff>
    </xdr:from>
    <xdr:to>
      <xdr:col>2</xdr:col>
      <xdr:colOff>1466851</xdr:colOff>
      <xdr:row>2</xdr:row>
      <xdr:rowOff>1539</xdr:rowOff>
    </xdr:to>
    <xdr:pic>
      <xdr:nvPicPr>
        <xdr:cNvPr id="5" name="irc_mi" descr="http://siae.carder.gov.co/media/maqueta/imagenes/logo_oficial.png">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28983" y="109257"/>
          <a:ext cx="1047750" cy="12818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16</xdr:col>
      <xdr:colOff>419101</xdr:colOff>
      <xdr:row>0</xdr:row>
      <xdr:rowOff>142875</xdr:rowOff>
    </xdr:from>
    <xdr:ext cx="1047750" cy="1273407"/>
    <xdr:pic>
      <xdr:nvPicPr>
        <xdr:cNvPr id="3" name="irc_mi" descr="http://siae.carder.gov.co/media/maqueta/imagenes/logo_oficial.png">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116176" y="142875"/>
          <a:ext cx="1047750" cy="1273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20</xdr:row>
      <xdr:rowOff>0</xdr:rowOff>
    </xdr:from>
    <xdr:to>
      <xdr:col>9</xdr:col>
      <xdr:colOff>315035</xdr:colOff>
      <xdr:row>34</xdr:row>
      <xdr:rowOff>95561</xdr:rowOff>
    </xdr:to>
    <xdr:pic>
      <xdr:nvPicPr>
        <xdr:cNvPr id="2" name="Imagen 1">
          <a:extLst>
            <a:ext uri="{FF2B5EF4-FFF2-40B4-BE49-F238E27FC236}">
              <a16:creationId xmlns:a16="http://schemas.microsoft.com/office/drawing/2014/main" id="{098C5283-4EEF-4CBD-B815-8190312A2CB7}"/>
            </a:ext>
          </a:extLst>
        </xdr:cNvPr>
        <xdr:cNvPicPr>
          <a:picLocks noChangeAspect="1"/>
        </xdr:cNvPicPr>
      </xdr:nvPicPr>
      <xdr:blipFill>
        <a:blip xmlns:r="http://schemas.openxmlformats.org/officeDocument/2006/relationships" r:embed="rId1"/>
        <a:stretch>
          <a:fillRect/>
        </a:stretch>
      </xdr:blipFill>
      <xdr:spPr>
        <a:xfrm>
          <a:off x="1524000" y="4505325"/>
          <a:ext cx="11688806" cy="2229161"/>
        </a:xfrm>
        <a:prstGeom prst="rect">
          <a:avLst/>
        </a:prstGeom>
      </xdr:spPr>
    </xdr:pic>
    <xdr:clientData/>
  </xdr:twoCellAnchor>
  <xdr:twoCellAnchor editAs="oneCell">
    <xdr:from>
      <xdr:col>2</xdr:col>
      <xdr:colOff>104774</xdr:colOff>
      <xdr:row>33</xdr:row>
      <xdr:rowOff>76311</xdr:rowOff>
    </xdr:from>
    <xdr:to>
      <xdr:col>9</xdr:col>
      <xdr:colOff>132428</xdr:colOff>
      <xdr:row>42</xdr:row>
      <xdr:rowOff>143074</xdr:rowOff>
    </xdr:to>
    <xdr:pic>
      <xdr:nvPicPr>
        <xdr:cNvPr id="3" name="Imagen 2">
          <a:extLst>
            <a:ext uri="{FF2B5EF4-FFF2-40B4-BE49-F238E27FC236}">
              <a16:creationId xmlns:a16="http://schemas.microsoft.com/office/drawing/2014/main" id="{41C68170-60AF-4F80-BDFB-BA29F85F8846}"/>
            </a:ext>
          </a:extLst>
        </xdr:cNvPr>
        <xdr:cNvPicPr>
          <a:picLocks noChangeAspect="1"/>
        </xdr:cNvPicPr>
      </xdr:nvPicPr>
      <xdr:blipFill>
        <a:blip xmlns:r="http://schemas.openxmlformats.org/officeDocument/2006/relationships" r:embed="rId2"/>
        <a:stretch>
          <a:fillRect/>
        </a:stretch>
      </xdr:blipFill>
      <xdr:spPr>
        <a:xfrm>
          <a:off x="1628774" y="6562836"/>
          <a:ext cx="11401425" cy="1438363"/>
        </a:xfrm>
        <a:prstGeom prst="rect">
          <a:avLst/>
        </a:prstGeom>
      </xdr:spPr>
    </xdr:pic>
    <xdr:clientData/>
  </xdr:twoCellAnchor>
  <xdr:twoCellAnchor editAs="oneCell">
    <xdr:from>
      <xdr:col>2</xdr:col>
      <xdr:colOff>1533525</xdr:colOff>
      <xdr:row>48</xdr:row>
      <xdr:rowOff>9525</xdr:rowOff>
    </xdr:from>
    <xdr:to>
      <xdr:col>7</xdr:col>
      <xdr:colOff>343008</xdr:colOff>
      <xdr:row>70</xdr:row>
      <xdr:rowOff>143362</xdr:rowOff>
    </xdr:to>
    <xdr:pic>
      <xdr:nvPicPr>
        <xdr:cNvPr id="5" name="Imagen 4">
          <a:extLst>
            <a:ext uri="{FF2B5EF4-FFF2-40B4-BE49-F238E27FC236}">
              <a16:creationId xmlns:a16="http://schemas.microsoft.com/office/drawing/2014/main" id="{19D8A9CF-7774-488C-BECD-DBC7F590A30B}"/>
            </a:ext>
          </a:extLst>
        </xdr:cNvPr>
        <xdr:cNvPicPr>
          <a:picLocks noChangeAspect="1"/>
        </xdr:cNvPicPr>
      </xdr:nvPicPr>
      <xdr:blipFill>
        <a:blip xmlns:r="http://schemas.openxmlformats.org/officeDocument/2006/relationships" r:embed="rId3"/>
        <a:stretch>
          <a:fillRect/>
        </a:stretch>
      </xdr:blipFill>
      <xdr:spPr>
        <a:xfrm>
          <a:off x="3057525" y="9810750"/>
          <a:ext cx="7382905" cy="348663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57310/Downloads/Precios%20Unitarios%20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wvelez/Desktop/Precios%20Unitarios%20-%20Presupuestos/Proceso%20Mantenimiento%20Sede%20Vivero%20de%20la%20Guadua%20CARDER%202019%20-%204/Presupuesto%20Mantenimiento%20Sede%20Vivero%20Guadua%20%202019%20CARDER.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57310/Downloads/PRESUPUESTO%20MANTENIMIENTO%20%20SEDES%202019-JARDINES%20ETC%20-%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
      <sheetName val="ANÁLISIS MANO DE OBRA"/>
      <sheetName val="LISTA DE INSUMOS"/>
      <sheetName val="ANALISIS UNITARIOS"/>
      <sheetName val="PG"/>
      <sheetName val="Datos de ejemplo"/>
    </sheetNames>
    <sheetDataSet>
      <sheetData sheetId="0"/>
      <sheetData sheetId="1"/>
      <sheetData sheetId="2">
        <row r="23">
          <cell r="A23" t="str">
            <v>MOB020</v>
          </cell>
          <cell r="C23" t="str">
            <v>Día</v>
          </cell>
        </row>
        <row r="97">
          <cell r="A97" t="str">
            <v>MAT073</v>
          </cell>
          <cell r="C97" t="str">
            <v>Un</v>
          </cell>
        </row>
        <row r="160">
          <cell r="A160" t="str">
            <v>MAT141</v>
          </cell>
          <cell r="C160" t="str">
            <v>M</v>
          </cell>
        </row>
        <row r="674">
          <cell r="A674" t="str">
            <v>EQU004</v>
          </cell>
          <cell r="C674" t="str">
            <v>Hr</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CLARACION"/>
      <sheetName val="ANÁLISIS MANO DE OBRA"/>
      <sheetName val="LISTA DE INSUMOS"/>
      <sheetName val="ANALISIS UNITARIOS"/>
      <sheetName val="Datos de ejemplo"/>
    </sheetNames>
    <sheetDataSet>
      <sheetData sheetId="0">
        <row r="22">
          <cell r="B22" t="str">
            <v>Techo en teja de zinc, No incluye entramado de madera</v>
          </cell>
        </row>
      </sheetData>
      <sheetData sheetId="1"/>
      <sheetData sheetId="2"/>
      <sheetData sheetId="3">
        <row r="9">
          <cell r="E9">
            <v>281873</v>
          </cell>
        </row>
        <row r="17">
          <cell r="B17" t="str">
            <v>Cuadrilla D 2 Of + 4 Ay (jornal + prestaciones)</v>
          </cell>
        </row>
        <row r="18">
          <cell r="B18" t="str">
            <v>Cuadrilla E 1 Of + 1 Ay (jornal + prestaciones)</v>
          </cell>
        </row>
        <row r="20">
          <cell r="E20">
            <v>187915</v>
          </cell>
        </row>
        <row r="62">
          <cell r="E62">
            <v>382</v>
          </cell>
        </row>
        <row r="251">
          <cell r="B251" t="str">
            <v>Calfos</v>
          </cell>
        </row>
        <row r="256">
          <cell r="B256" t="str">
            <v>Imprimante referencia 3501 o similar</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Unitario"/>
      <sheetName val="Insumos "/>
      <sheetName val="Presupuesto contrato"/>
    </sheetNames>
    <sheetDataSet>
      <sheetData sheetId="0">
        <row r="5138">
          <cell r="D5138" t="str">
            <v>Mantenimiiento, poda de zonas verdes inc poda, abonos, limpieza vegetal, asistencia técnica</v>
          </cell>
          <cell r="E5138" t="str">
            <v>M2</v>
          </cell>
        </row>
        <row r="5139">
          <cell r="B5139" t="str">
            <v>MAT</v>
          </cell>
          <cell r="E5139" t="str">
            <v>Kg</v>
          </cell>
          <cell r="F5139">
            <v>1</v>
          </cell>
          <cell r="H5139">
            <v>0.01</v>
          </cell>
        </row>
        <row r="5140">
          <cell r="E5140" t="str">
            <v>Kg</v>
          </cell>
          <cell r="F5140">
            <v>1</v>
          </cell>
        </row>
        <row r="5141">
          <cell r="B5141" t="str">
            <v>MO</v>
          </cell>
          <cell r="E5141" t="str">
            <v>Dia</v>
          </cell>
          <cell r="F5141">
            <v>1</v>
          </cell>
        </row>
        <row r="5142">
          <cell r="E5142" t="str">
            <v>Dia</v>
          </cell>
          <cell r="F5142">
            <v>1</v>
          </cell>
        </row>
        <row r="5143">
          <cell r="B5143" t="str">
            <v>EQUIPO</v>
          </cell>
          <cell r="E5143" t="str">
            <v>%MO</v>
          </cell>
          <cell r="F5143">
            <v>0.05</v>
          </cell>
          <cell r="H5143">
            <v>1</v>
          </cell>
        </row>
        <row r="5144">
          <cell r="E5144" t="str">
            <v>Un</v>
          </cell>
          <cell r="F5144">
            <v>1</v>
          </cell>
        </row>
        <row r="5145">
          <cell r="C5145" t="str">
            <v>EQU053</v>
          </cell>
          <cell r="D5145" t="str">
            <v>Transporte de materiales</v>
          </cell>
          <cell r="E5145" t="str">
            <v>%Mat.</v>
          </cell>
          <cell r="F5145">
            <v>0.15</v>
          </cell>
          <cell r="H5145">
            <v>1</v>
          </cell>
        </row>
        <row r="5170">
          <cell r="E5170" t="str">
            <v>Hect</v>
          </cell>
        </row>
        <row r="5171">
          <cell r="B5171" t="str">
            <v>MAT</v>
          </cell>
          <cell r="E5171" t="str">
            <v>Kg</v>
          </cell>
          <cell r="F5171">
            <v>1</v>
          </cell>
          <cell r="H5171">
            <v>0.5</v>
          </cell>
        </row>
        <row r="5172">
          <cell r="E5172" t="str">
            <v>Un</v>
          </cell>
          <cell r="F5172">
            <v>1</v>
          </cell>
          <cell r="H5172">
            <v>150</v>
          </cell>
        </row>
        <row r="5173">
          <cell r="E5173" t="str">
            <v>Kg</v>
          </cell>
          <cell r="F5173">
            <v>1</v>
          </cell>
          <cell r="H5173">
            <v>0.5</v>
          </cell>
        </row>
        <row r="5174">
          <cell r="B5174" t="str">
            <v>MO</v>
          </cell>
          <cell r="D5174" t="str">
            <v>Asistencia técnica manejo zonas verdes</v>
          </cell>
          <cell r="E5174" t="str">
            <v>Dia</v>
          </cell>
          <cell r="F5174">
            <v>1</v>
          </cell>
        </row>
        <row r="5175">
          <cell r="E5175" t="str">
            <v>Dia</v>
          </cell>
          <cell r="F5175">
            <v>1</v>
          </cell>
        </row>
        <row r="5176">
          <cell r="B5176" t="str">
            <v>EQUIPO</v>
          </cell>
          <cell r="C5176" t="str">
            <v>EQU002</v>
          </cell>
          <cell r="D5176" t="str">
            <v>Herramienta menor (% mano obra)</v>
          </cell>
          <cell r="E5176" t="str">
            <v>%MO</v>
          </cell>
          <cell r="F5176">
            <v>0.1</v>
          </cell>
          <cell r="H5176">
            <v>1</v>
          </cell>
        </row>
        <row r="5177">
          <cell r="C5177" t="str">
            <v>EQU053</v>
          </cell>
          <cell r="D5177" t="str">
            <v>Transporte de materiales</v>
          </cell>
          <cell r="E5177" t="str">
            <v>%Mat.</v>
          </cell>
          <cell r="F5177">
            <v>0.15</v>
          </cell>
          <cell r="H5177">
            <v>1</v>
          </cell>
        </row>
        <row r="5178">
          <cell r="E5178" t="str">
            <v>ML</v>
          </cell>
        </row>
        <row r="5179">
          <cell r="B5179" t="str">
            <v>MAT</v>
          </cell>
          <cell r="E5179" t="str">
            <v>Kg</v>
          </cell>
          <cell r="F5179">
            <v>1</v>
          </cell>
          <cell r="H5179">
            <v>2E-3</v>
          </cell>
        </row>
        <row r="5180">
          <cell r="E5180" t="str">
            <v>Un</v>
          </cell>
          <cell r="F5180">
            <v>1</v>
          </cell>
          <cell r="H5180">
            <v>0.1</v>
          </cell>
        </row>
        <row r="5181">
          <cell r="E5181" t="str">
            <v>Un</v>
          </cell>
          <cell r="F5181">
            <v>1</v>
          </cell>
          <cell r="H5181">
            <v>0.1</v>
          </cell>
        </row>
        <row r="5182">
          <cell r="E5182" t="str">
            <v>Kg</v>
          </cell>
          <cell r="F5182">
            <v>1</v>
          </cell>
          <cell r="H5182">
            <v>2E-3</v>
          </cell>
        </row>
        <row r="5183">
          <cell r="B5183" t="str">
            <v>MO</v>
          </cell>
          <cell r="E5183" t="str">
            <v>Dia</v>
          </cell>
          <cell r="F5183">
            <v>1</v>
          </cell>
          <cell r="H5183">
            <v>6.9999999999999999E-4</v>
          </cell>
        </row>
        <row r="5184">
          <cell r="E5184" t="str">
            <v>Dia</v>
          </cell>
          <cell r="F5184">
            <v>1</v>
          </cell>
          <cell r="H5184">
            <v>3.2000000000000002E-3</v>
          </cell>
        </row>
        <row r="5185">
          <cell r="B5185" t="str">
            <v>EQUIPO</v>
          </cell>
          <cell r="C5185" t="str">
            <v>EQU002</v>
          </cell>
          <cell r="D5185" t="str">
            <v>Herramienta menor (% mano obra)</v>
          </cell>
          <cell r="E5185" t="str">
            <v>%MO</v>
          </cell>
          <cell r="F5185">
            <v>0.1</v>
          </cell>
          <cell r="H5185">
            <v>1</v>
          </cell>
        </row>
        <row r="5186">
          <cell r="C5186" t="str">
            <v>EQU053</v>
          </cell>
          <cell r="D5186" t="str">
            <v>Transporte de materiales</v>
          </cell>
          <cell r="E5186" t="str">
            <v>%Mat.</v>
          </cell>
          <cell r="F5186">
            <v>0.15</v>
          </cell>
          <cell r="H5186">
            <v>1</v>
          </cell>
        </row>
      </sheetData>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DataSample" displayName="DataSample" ref="B6:U14" headerRowDxfId="43" dataDxfId="42">
  <autoFilter ref="B6:U14" xr:uid="{00000000-0009-0000-0100-000002000000}"/>
  <tableColumns count="20">
    <tableColumn id="1" xr3:uid="{00000000-0010-0000-0000-000001000000}" name="Id. cliente" totalsRowLabel="Total" dataDxfId="41"/>
    <tableColumn id="2" xr3:uid="{00000000-0010-0000-0000-000002000000}" name="Compañía" dataDxfId="40"/>
    <tableColumn id="3" xr3:uid="{00000000-0010-0000-0000-000003000000}" name="Contacto" totalsRowFunction="count" dataDxfId="39"/>
    <tableColumn id="13" xr3:uid="{00000000-0010-0000-0000-00000D000000}" name="Tipo de contacto" dataDxfId="38"/>
    <tableColumn id="4" xr3:uid="{00000000-0010-0000-0000-000004000000}" name="Teléfono" dataDxfId="37"/>
    <tableColumn id="5" xr3:uid="{00000000-0010-0000-0000-000005000000}" name="Móvil" dataDxfId="36"/>
    <tableColumn id="6" xr3:uid="{00000000-0010-0000-0000-000006000000}" name="Fax" dataDxfId="35"/>
    <tableColumn id="7" xr3:uid="{00000000-0010-0000-0000-000007000000}" name="Correo electrónico" dataDxfId="34" dataCellStyle="Hipervínculo"/>
    <tableColumn id="8" xr3:uid="{00000000-0010-0000-0000-000008000000}" name="Twitter" dataDxfId="33" dataCellStyle="Hipervínculo"/>
    <tableColumn id="9" xr3:uid="{00000000-0010-0000-0000-000009000000}" name="Facebook" dataDxfId="32" dataCellStyle="Hipervínculo"/>
    <tableColumn id="20" xr3:uid="{00000000-0010-0000-0000-000014000000}" name="LinkedIn" dataDxfId="31" dataCellStyle="Hipervínculo"/>
    <tableColumn id="16" xr3:uid="{00000000-0010-0000-0000-000010000000}" name="Sitio web" dataDxfId="30" dataCellStyle="Hipervínculo"/>
    <tableColumn id="10" xr3:uid="{00000000-0010-0000-0000-00000A000000}" name="Dirección" dataDxfId="29" dataCellStyle="Hipervínculo"/>
    <tableColumn id="11" xr3:uid="{00000000-0010-0000-0000-00000B000000}" name="Ciudad" dataDxfId="28"/>
    <tableColumn id="12" xr3:uid="{00000000-0010-0000-0000-00000C000000}" name="Provincia" dataDxfId="27"/>
    <tableColumn id="17" xr3:uid="{00000000-0010-0000-0000-000011000000}" name="Código postal" dataDxfId="26"/>
    <tableColumn id="19" xr3:uid="{00000000-0010-0000-0000-000013000000}" name="País" dataDxfId="25"/>
    <tableColumn id="18" xr3:uid="{00000000-0010-0000-0000-000012000000}" name="Instrucciones" dataDxfId="24" dataCellStyle="Hipervínculo"/>
    <tableColumn id="14" xr3:uid="{00000000-0010-0000-0000-00000E000000}" name="Cargo de contacto" dataDxfId="23"/>
    <tableColumn id="15" xr3:uid="{00000000-0010-0000-0000-00000F000000}" name="Notas" dataDxfId="22"/>
  </tableColumns>
  <tableStyleInfo name="Contacts"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DataCopy" displayName="DataCopy" ref="B28:U29" headerRowDxfId="21" dataDxfId="20">
  <autoFilter ref="B28:U29" xr:uid="{00000000-0009-0000-0100-000003000000}"/>
  <tableColumns count="20">
    <tableColumn id="1" xr3:uid="{00000000-0010-0000-0100-000001000000}" name="Id. cliente" totalsRowLabel="Total" dataDxfId="19"/>
    <tableColumn id="2" xr3:uid="{00000000-0010-0000-0100-000002000000}" name="Compañía" dataDxfId="18"/>
    <tableColumn id="3" xr3:uid="{00000000-0010-0000-0100-000003000000}" name="Contacto" totalsRowFunction="count" dataDxfId="17"/>
    <tableColumn id="13" xr3:uid="{00000000-0010-0000-0100-00000D000000}" name="Tipo de contacto" dataDxfId="16"/>
    <tableColumn id="4" xr3:uid="{00000000-0010-0000-0100-000004000000}" name="Teléfono" dataDxfId="15"/>
    <tableColumn id="5" xr3:uid="{00000000-0010-0000-0100-000005000000}" name="Móvil" dataDxfId="14"/>
    <tableColumn id="6" xr3:uid="{00000000-0010-0000-0100-000006000000}" name="Fax" dataDxfId="13"/>
    <tableColumn id="7" xr3:uid="{00000000-0010-0000-0100-000007000000}" name="Correo electrónico" dataDxfId="12" dataCellStyle="Hipervínculo"/>
    <tableColumn id="8" xr3:uid="{00000000-0010-0000-0100-000008000000}" name="Twitter" dataDxfId="11" dataCellStyle="Hipervínculo"/>
    <tableColumn id="9" xr3:uid="{00000000-0010-0000-0100-000009000000}" name="Facebook" dataDxfId="10" dataCellStyle="Hipervínculo"/>
    <tableColumn id="20" xr3:uid="{00000000-0010-0000-0100-000014000000}" name="LinkedIn" dataDxfId="9" dataCellStyle="Hipervínculo"/>
    <tableColumn id="16" xr3:uid="{00000000-0010-0000-0100-000010000000}" name="Sitio web" dataDxfId="8" dataCellStyle="Hipervínculo"/>
    <tableColumn id="10" xr3:uid="{00000000-0010-0000-0100-00000A000000}" name="Dirección" dataDxfId="7" dataCellStyle="Hipervínculo"/>
    <tableColumn id="11" xr3:uid="{00000000-0010-0000-0100-00000B000000}" name="Ciudad" dataDxfId="6"/>
    <tableColumn id="12" xr3:uid="{00000000-0010-0000-0100-00000C000000}" name="Provincia" dataDxfId="5"/>
    <tableColumn id="17" xr3:uid="{00000000-0010-0000-0100-000011000000}" name="Código postal" dataDxfId="4"/>
    <tableColumn id="19" xr3:uid="{00000000-0010-0000-0100-000013000000}" name="País" dataDxfId="3"/>
    <tableColumn id="18" xr3:uid="{00000000-0010-0000-0100-000012000000}" name="Instrucciones" dataDxfId="2" dataCellStyle="Hipervínculo"/>
    <tableColumn id="14" xr3:uid="{00000000-0010-0000-0100-00000E000000}" name="Cargo de contacto" dataDxfId="1"/>
    <tableColumn id="15" xr3:uid="{00000000-0010-0000-0100-00000F000000}" name="Notas" dataDxfId="0"/>
  </tableColumns>
  <tableStyleInfo name="Contacts" showFirstColumn="0" showLastColumn="0" showRowStripes="1" showColumnStripes="0"/>
</table>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Con bandas">
  <a:themeElements>
    <a:clrScheme name="Con bandas">
      <a:dk1>
        <a:srgbClr val="2C2C2C"/>
      </a:dk1>
      <a:lt1>
        <a:srgbClr val="FFFFFF"/>
      </a:lt1>
      <a:dk2>
        <a:srgbClr val="099BDD"/>
      </a:dk2>
      <a:lt2>
        <a:srgbClr val="F2F2F2"/>
      </a:lt2>
      <a:accent1>
        <a:srgbClr val="FFC000"/>
      </a:accent1>
      <a:accent2>
        <a:srgbClr val="A5D028"/>
      </a:accent2>
      <a:accent3>
        <a:srgbClr val="08CC78"/>
      </a:accent3>
      <a:accent4>
        <a:srgbClr val="F24099"/>
      </a:accent4>
      <a:accent5>
        <a:srgbClr val="828288"/>
      </a:accent5>
      <a:accent6>
        <a:srgbClr val="F56617"/>
      </a:accent6>
      <a:hlink>
        <a:srgbClr val="005DBA"/>
      </a:hlink>
      <a:folHlink>
        <a:srgbClr val="6C606A"/>
      </a:folHlink>
    </a:clrScheme>
    <a:fontScheme name="Con bandas">
      <a:majorFont>
        <a:latin typeface="Corbel" panose="020B0503020204020204"/>
        <a:ea typeface=""/>
        <a:cs typeface=""/>
        <a:font script="Jpan" typeface="ＭＳ ゴシック"/>
        <a:font script="Hang" typeface="맑은 고딕"/>
        <a:font script="Hans" typeface="宋体"/>
        <a:font script="Hant" typeface="新細明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orbel" panose="020B0503020204020204"/>
        <a:ea typeface=""/>
        <a:cs typeface=""/>
        <a:font script="Jpan" typeface="ＭＳ ゴシック"/>
        <a:font script="Hang" typeface="맑은 고딕"/>
        <a:font script="Hans" typeface="宋体"/>
        <a:font script="Hant" typeface="新細明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Verdana"/>
        <a:font script="Uigh" typeface="Microsoft Uighur"/>
        <a:font script="Geor" typeface="Sylfaen"/>
      </a:minorFont>
    </a:fontScheme>
    <a:fmtScheme name="Con bandas">
      <a:fillStyleLst>
        <a:solidFill>
          <a:schemeClr val="phClr"/>
        </a:solidFill>
        <a:gradFill rotWithShape="1">
          <a:gsLst>
            <a:gs pos="0">
              <a:schemeClr val="phClr">
                <a:tint val="65000"/>
                <a:satMod val="120000"/>
                <a:lumMod val="107000"/>
              </a:schemeClr>
            </a:gs>
            <a:gs pos="50000">
              <a:schemeClr val="phClr">
                <a:tint val="70000"/>
                <a:satMod val="124000"/>
                <a:lumMod val="103000"/>
              </a:schemeClr>
            </a:gs>
            <a:gs pos="100000">
              <a:schemeClr val="phClr">
                <a:tint val="85000"/>
                <a:satMod val="120000"/>
                <a:lumMod val="100000"/>
              </a:schemeClr>
            </a:gs>
          </a:gsLst>
          <a:lin ang="5400000" scaled="0"/>
        </a:gradFill>
        <a:gradFill rotWithShape="1">
          <a:gsLst>
            <a:gs pos="0">
              <a:schemeClr val="phClr">
                <a:tint val="85000"/>
                <a:shade val="98000"/>
                <a:satMod val="110000"/>
                <a:lumMod val="103000"/>
              </a:schemeClr>
            </a:gs>
            <a:gs pos="50000">
              <a:schemeClr val="phClr">
                <a:shade val="85000"/>
                <a:satMod val="105000"/>
                <a:lumMod val="100000"/>
              </a:schemeClr>
            </a:gs>
            <a:gs pos="100000">
              <a:schemeClr val="phClr">
                <a:shade val="60000"/>
                <a:satMod val="12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25400" cap="flat" cmpd="sng" algn="ctr">
          <a:solidFill>
            <a:schemeClr val="phClr"/>
          </a:solidFill>
          <a:prstDash val="solid"/>
        </a:ln>
      </a:lnStyleLst>
      <a:effectStyleLst>
        <a:effectStyle>
          <a:effectLst/>
        </a:effectStyle>
        <a:effectStyle>
          <a:effectLst>
            <a:outerShdw blurRad="50800" dist="15875" dir="5400000" algn="ctr" rotWithShape="0">
              <a:srgbClr val="000000">
                <a:alpha val="68000"/>
              </a:srgbClr>
            </a:outerShdw>
          </a:effectLst>
        </a:effectStyle>
        <a:effectStyle>
          <a:effectLst>
            <a:outerShdw blurRad="88900" dist="27940" dir="5400000" algn="ctr" rotWithShape="0">
              <a:srgbClr val="000000">
                <a:alpha val="63000"/>
              </a:srgbClr>
            </a:outerShdw>
          </a:effectLst>
        </a:effectStyle>
      </a:effectStyleLst>
      <a:bgFillStyleLst>
        <a:solidFill>
          <a:schemeClr val="phClr"/>
        </a:solidFill>
        <a:blipFill rotWithShape="1">
          <a:blip xmlns:r="http://schemas.openxmlformats.org/officeDocument/2006/relationships" r:embed="rId1">
            <a:duotone>
              <a:schemeClr val="phClr"/>
              <a:schemeClr val="phClr">
                <a:shade val="91000"/>
                <a:satMod val="105000"/>
              </a:schemeClr>
            </a:duotone>
          </a:blip>
          <a:tile tx="0" ty="0" sx="100000" sy="100000" flip="none" algn="tl"/>
        </a:blipFill>
        <a:gradFill rotWithShape="1">
          <a:gsLst>
            <a:gs pos="0">
              <a:schemeClr val="phClr">
                <a:tint val="100000"/>
                <a:shade val="0"/>
                <a:satMod val="100000"/>
              </a:schemeClr>
            </a:gs>
            <a:gs pos="100000">
              <a:schemeClr val="phClr">
                <a:shade val="100000"/>
                <a:satMod val="100000"/>
              </a:schemeClr>
            </a:gs>
          </a:gsLst>
          <a:lin ang="5400000" scaled="0"/>
        </a:gradFill>
      </a:bgFillStyleLst>
    </a:fmtScheme>
  </a:themeElements>
  <a:objectDefaults/>
  <a:extraClrSchemeLst/>
  <a:extLst>
    <a:ext uri="{05A4C25C-085E-4340-85A3-A5531E510DB2}">
      <thm15:themeFamily xmlns:thm15="http://schemas.microsoft.com/office/thememl/2012/main" name="Banded" id="{98DFF888-2449-4D28-977C-6306C017633E}" vid="{9792607F-9579-4224-82FF-9C88C3E1E53D}"/>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guaduabambucolombia.wordpress.com/guadua-inmunizada-2/" TargetMode="External"/><Relationship Id="rId7" Type="http://schemas.openxmlformats.org/officeDocument/2006/relationships/drawing" Target="../drawings/drawing1.xml"/><Relationship Id="rId2" Type="http://schemas.openxmlformats.org/officeDocument/2006/relationships/hyperlink" Target="http://www.canteracombia.co/" TargetMode="External"/><Relationship Id="rId1" Type="http://schemas.openxmlformats.org/officeDocument/2006/relationships/hyperlink" Target="https://pinturasalgreco.com/" TargetMode="External"/><Relationship Id="rId6" Type="http://schemas.openxmlformats.org/officeDocument/2006/relationships/printerSettings" Target="../printerSettings/printerSettings1.bin"/><Relationship Id="rId5" Type="http://schemas.openxmlformats.org/officeDocument/2006/relationships/hyperlink" Target="https://tienda.fibrasynormasdecolombia.com/producto/tanque-septico-horizontal-2400-lts/" TargetMode="External"/><Relationship Id="rId4" Type="http://schemas.openxmlformats.org/officeDocument/2006/relationships/hyperlink" Target="https://www.caficultoresaguadas.com/es/ipaginas/ver/G39/32/fertilizante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8" Type="http://schemas.openxmlformats.org/officeDocument/2006/relationships/hyperlink" Target="mailto:AdventureWorks@live.com" TargetMode="External"/><Relationship Id="rId13" Type="http://schemas.openxmlformats.org/officeDocument/2006/relationships/hyperlink" Target="http://facebook.com/AdventureWrks" TargetMode="External"/><Relationship Id="rId3" Type="http://schemas.openxmlformats.org/officeDocument/2006/relationships/hyperlink" Target="mailto:terry@example.com" TargetMode="External"/><Relationship Id="rId7" Type="http://schemas.openxmlformats.org/officeDocument/2006/relationships/hyperlink" Target="mailto:hazem@example.com" TargetMode="External"/><Relationship Id="rId12" Type="http://schemas.openxmlformats.org/officeDocument/2006/relationships/hyperlink" Target="http://www.bing.com/maps/?v=2&amp;where1=1%20Microsoft%20Way%20Redmond%20WA%2098052&amp;sty=h" TargetMode="External"/><Relationship Id="rId2" Type="http://schemas.openxmlformats.org/officeDocument/2006/relationships/hyperlink" Target="mailto:pilar@example.com" TargetMode="External"/><Relationship Id="rId16" Type="http://schemas.openxmlformats.org/officeDocument/2006/relationships/table" Target="../tables/table2.xml"/><Relationship Id="rId1" Type="http://schemas.openxmlformats.org/officeDocument/2006/relationships/hyperlink" Target="mailto:ahmed@example.com" TargetMode="External"/><Relationship Id="rId6" Type="http://schemas.openxmlformats.org/officeDocument/2006/relationships/hyperlink" Target="mailto:dave@example.com" TargetMode="External"/><Relationship Id="rId11" Type="http://schemas.openxmlformats.org/officeDocument/2006/relationships/hyperlink" Target="http://www.linkedin.com/in/AdventureWorks" TargetMode="External"/><Relationship Id="rId5" Type="http://schemas.openxmlformats.org/officeDocument/2006/relationships/hyperlink" Target="mailto:sean@example.com" TargetMode="External"/><Relationship Id="rId15" Type="http://schemas.openxmlformats.org/officeDocument/2006/relationships/table" Target="../tables/table1.xml"/><Relationship Id="rId10" Type="http://schemas.openxmlformats.org/officeDocument/2006/relationships/hyperlink" Target="http://adventure-works.com/" TargetMode="External"/><Relationship Id="rId4" Type="http://schemas.openxmlformats.org/officeDocument/2006/relationships/hyperlink" Target="mailto:nupur@example.com" TargetMode="External"/><Relationship Id="rId9" Type="http://schemas.openxmlformats.org/officeDocument/2006/relationships/hyperlink" Target="http://twitter.com/AdventureWrks" TargetMode="External"/><Relationship Id="rId14"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D4B2F"/>
  </sheetPr>
  <dimension ref="B90:B145"/>
  <sheetViews>
    <sheetView topLeftCell="A5" workbookViewId="0">
      <selection activeCell="B131" sqref="B131"/>
    </sheetView>
  </sheetViews>
  <sheetFormatPr baseColWidth="10" defaultRowHeight="11.4" x14ac:dyDescent="0.2"/>
  <sheetData>
    <row r="90" spans="2:2" x14ac:dyDescent="0.2">
      <c r="B90" s="499" t="s">
        <v>3244</v>
      </c>
    </row>
    <row r="91" spans="2:2" x14ac:dyDescent="0.2">
      <c r="B91" s="499" t="s">
        <v>3233</v>
      </c>
    </row>
    <row r="92" spans="2:2" x14ac:dyDescent="0.2">
      <c r="B92" s="499" t="s">
        <v>3245</v>
      </c>
    </row>
    <row r="93" spans="2:2" x14ac:dyDescent="0.2">
      <c r="B93" t="s">
        <v>3169</v>
      </c>
    </row>
    <row r="94" spans="2:2" x14ac:dyDescent="0.2">
      <c r="B94" s="496" t="s">
        <v>3175</v>
      </c>
    </row>
    <row r="95" spans="2:2" x14ac:dyDescent="0.2">
      <c r="B95" s="496" t="s">
        <v>3176</v>
      </c>
    </row>
    <row r="96" spans="2:2" x14ac:dyDescent="0.2">
      <c r="B96" s="496" t="s">
        <v>3177</v>
      </c>
    </row>
    <row r="97" spans="2:2" x14ac:dyDescent="0.2">
      <c r="B97" t="s">
        <v>3180</v>
      </c>
    </row>
    <row r="98" spans="2:2" x14ac:dyDescent="0.2">
      <c r="B98" t="s">
        <v>3181</v>
      </c>
    </row>
    <row r="99" spans="2:2" x14ac:dyDescent="0.2">
      <c r="B99" t="s">
        <v>3182</v>
      </c>
    </row>
    <row r="100" spans="2:2" x14ac:dyDescent="0.2">
      <c r="B100" t="s">
        <v>3183</v>
      </c>
    </row>
    <row r="101" spans="2:2" x14ac:dyDescent="0.2">
      <c r="B101" t="s">
        <v>3184</v>
      </c>
    </row>
    <row r="102" spans="2:2" x14ac:dyDescent="0.2">
      <c r="B102" t="s">
        <v>3185</v>
      </c>
    </row>
    <row r="103" spans="2:2" x14ac:dyDescent="0.2">
      <c r="B103" t="s">
        <v>3187</v>
      </c>
    </row>
    <row r="104" spans="2:2" x14ac:dyDescent="0.2">
      <c r="B104" t="s">
        <v>3188</v>
      </c>
    </row>
    <row r="105" spans="2:2" x14ac:dyDescent="0.2">
      <c r="B105" t="s">
        <v>3189</v>
      </c>
    </row>
    <row r="106" spans="2:2" x14ac:dyDescent="0.2">
      <c r="B106" t="s">
        <v>3190</v>
      </c>
    </row>
    <row r="107" spans="2:2" x14ac:dyDescent="0.2">
      <c r="B107" t="s">
        <v>3191</v>
      </c>
    </row>
    <row r="108" spans="2:2" x14ac:dyDescent="0.2">
      <c r="B108" t="s">
        <v>3192</v>
      </c>
    </row>
    <row r="109" spans="2:2" x14ac:dyDescent="0.2">
      <c r="B109" t="s">
        <v>3193</v>
      </c>
    </row>
    <row r="110" spans="2:2" x14ac:dyDescent="0.2">
      <c r="B110" t="s">
        <v>3194</v>
      </c>
    </row>
    <row r="111" spans="2:2" x14ac:dyDescent="0.2">
      <c r="B111" t="s">
        <v>3195</v>
      </c>
    </row>
    <row r="112" spans="2:2" x14ac:dyDescent="0.2">
      <c r="B112" t="s">
        <v>3196</v>
      </c>
    </row>
    <row r="113" spans="2:2" x14ac:dyDescent="0.2">
      <c r="B113" t="s">
        <v>3197</v>
      </c>
    </row>
    <row r="114" spans="2:2" x14ac:dyDescent="0.2">
      <c r="B114" t="s">
        <v>3198</v>
      </c>
    </row>
    <row r="115" spans="2:2" x14ac:dyDescent="0.2">
      <c r="B115" t="s">
        <v>3199</v>
      </c>
    </row>
    <row r="116" spans="2:2" x14ac:dyDescent="0.2">
      <c r="B116" t="s">
        <v>3200</v>
      </c>
    </row>
    <row r="117" spans="2:2" x14ac:dyDescent="0.2">
      <c r="B117" t="s">
        <v>3201</v>
      </c>
    </row>
    <row r="118" spans="2:2" x14ac:dyDescent="0.2">
      <c r="B118" t="s">
        <v>3202</v>
      </c>
    </row>
    <row r="119" spans="2:2" x14ac:dyDescent="0.2">
      <c r="B119" t="s">
        <v>3203</v>
      </c>
    </row>
    <row r="120" spans="2:2" x14ac:dyDescent="0.2">
      <c r="B120" t="s">
        <v>3204</v>
      </c>
    </row>
    <row r="121" spans="2:2" x14ac:dyDescent="0.2">
      <c r="B121" t="s">
        <v>3205</v>
      </c>
    </row>
    <row r="122" spans="2:2" x14ac:dyDescent="0.2">
      <c r="B122" t="s">
        <v>3206</v>
      </c>
    </row>
    <row r="123" spans="2:2" x14ac:dyDescent="0.2">
      <c r="B123" t="s">
        <v>3207</v>
      </c>
    </row>
    <row r="124" spans="2:2" x14ac:dyDescent="0.2">
      <c r="B124" t="s">
        <v>3208</v>
      </c>
    </row>
    <row r="125" spans="2:2" x14ac:dyDescent="0.2">
      <c r="B125" t="s">
        <v>3209</v>
      </c>
    </row>
    <row r="126" spans="2:2" x14ac:dyDescent="0.2">
      <c r="B126" t="s">
        <v>3210</v>
      </c>
    </row>
    <row r="127" spans="2:2" x14ac:dyDescent="0.2">
      <c r="B127" t="s">
        <v>3211</v>
      </c>
    </row>
    <row r="128" spans="2:2" x14ac:dyDescent="0.2">
      <c r="B128" t="s">
        <v>3212</v>
      </c>
    </row>
    <row r="129" spans="2:2" x14ac:dyDescent="0.2">
      <c r="B129" t="s">
        <v>3213</v>
      </c>
    </row>
    <row r="130" spans="2:2" x14ac:dyDescent="0.2">
      <c r="B130" t="s">
        <v>3213</v>
      </c>
    </row>
    <row r="131" spans="2:2" x14ac:dyDescent="0.2">
      <c r="B131" s="496" t="s">
        <v>3214</v>
      </c>
    </row>
    <row r="132" spans="2:2" x14ac:dyDescent="0.2">
      <c r="B132" t="s">
        <v>3215</v>
      </c>
    </row>
    <row r="133" spans="2:2" x14ac:dyDescent="0.2">
      <c r="B133" t="s">
        <v>3218</v>
      </c>
    </row>
    <row r="134" spans="2:2" x14ac:dyDescent="0.2">
      <c r="B134" t="s">
        <v>3226</v>
      </c>
    </row>
    <row r="135" spans="2:2" x14ac:dyDescent="0.2">
      <c r="B135" t="s">
        <v>3227</v>
      </c>
    </row>
    <row r="136" spans="2:2" x14ac:dyDescent="0.2">
      <c r="B136" s="496" t="s">
        <v>3228</v>
      </c>
    </row>
    <row r="137" spans="2:2" x14ac:dyDescent="0.2">
      <c r="B137" s="498" t="s">
        <v>3231</v>
      </c>
    </row>
    <row r="138" spans="2:2" x14ac:dyDescent="0.2">
      <c r="B138" s="498" t="s">
        <v>3229</v>
      </c>
    </row>
    <row r="139" spans="2:2" x14ac:dyDescent="0.2">
      <c r="B139" s="498" t="s">
        <v>3232</v>
      </c>
    </row>
    <row r="140" spans="2:2" x14ac:dyDescent="0.2">
      <c r="B140" s="496" t="s">
        <v>3230</v>
      </c>
    </row>
    <row r="141" spans="2:2" x14ac:dyDescent="0.2">
      <c r="B141" s="499" t="s">
        <v>3234</v>
      </c>
    </row>
    <row r="142" spans="2:2" x14ac:dyDescent="0.2">
      <c r="B142" s="499" t="s">
        <v>3237</v>
      </c>
    </row>
    <row r="143" spans="2:2" x14ac:dyDescent="0.2">
      <c r="B143" s="499" t="s">
        <v>3239</v>
      </c>
    </row>
    <row r="144" spans="2:2" x14ac:dyDescent="0.2">
      <c r="B144" s="499" t="s">
        <v>3240</v>
      </c>
    </row>
    <row r="145" spans="2:2" x14ac:dyDescent="0.2">
      <c r="B145" t="s">
        <v>3246</v>
      </c>
    </row>
  </sheetData>
  <hyperlinks>
    <hyperlink ref="B94" r:id="rId1" xr:uid="{00000000-0004-0000-0000-000000000000}"/>
    <hyperlink ref="B96" r:id="rId2" xr:uid="{00000000-0004-0000-0000-000001000000}"/>
    <hyperlink ref="B136" r:id="rId3" xr:uid="{00000000-0004-0000-0000-000002000000}"/>
    <hyperlink ref="B140" r:id="rId4" xr:uid="{00000000-0004-0000-0000-000003000000}"/>
    <hyperlink ref="B131" r:id="rId5" xr:uid="{00000000-0004-0000-0000-000004000000}"/>
  </hyperlinks>
  <pageMargins left="0.7" right="0.7" top="0.75" bottom="0.75" header="0.3" footer="0.3"/>
  <pageSetup paperSize="9" orientation="portrait"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D4B2F"/>
    <pageSetUpPr autoPageBreaks="0"/>
  </sheetPr>
  <dimension ref="A1:I1838"/>
  <sheetViews>
    <sheetView showGridLines="0" view="pageBreakPreview" zoomScale="80" zoomScaleNormal="80" zoomScaleSheetLayoutView="80" workbookViewId="0">
      <pane ySplit="4" topLeftCell="A817" activePane="bottomLeft" state="frozen"/>
      <selection pane="bottomLeft" activeCell="D830" sqref="D830"/>
    </sheetView>
  </sheetViews>
  <sheetFormatPr baseColWidth="10" defaultColWidth="9.125" defaultRowHeight="29.25" customHeight="1" x14ac:dyDescent="0.2"/>
  <cols>
    <col min="1" max="1" width="11.625" style="46" customWidth="1"/>
    <col min="2" max="2" width="57.875" style="53" customWidth="1"/>
    <col min="3" max="3" width="15.125" style="52" customWidth="1"/>
    <col min="4" max="4" width="12.375" style="52" customWidth="1"/>
    <col min="5" max="6" width="32.375" style="111" customWidth="1"/>
    <col min="7" max="7" width="18.125" style="46" customWidth="1"/>
    <col min="8" max="16384" width="9.125" style="46"/>
  </cols>
  <sheetData>
    <row r="1" spans="1:7" ht="12" customHeight="1" x14ac:dyDescent="0.2">
      <c r="A1" s="612"/>
      <c r="B1" s="613"/>
      <c r="C1" s="613"/>
      <c r="D1" s="613"/>
      <c r="E1" s="613"/>
      <c r="F1" s="508"/>
    </row>
    <row r="2" spans="1:7" ht="24.75" customHeight="1" x14ac:dyDescent="0.2">
      <c r="A2" s="615" t="s">
        <v>2619</v>
      </c>
      <c r="B2" s="616"/>
      <c r="C2" s="616"/>
      <c r="D2" s="616"/>
      <c r="E2" s="616"/>
      <c r="F2" s="508">
        <v>1.91</v>
      </c>
      <c r="G2" s="46">
        <v>7.71</v>
      </c>
    </row>
    <row r="3" spans="1:7" ht="20.25" customHeight="1" x14ac:dyDescent="0.2">
      <c r="A3" s="614"/>
      <c r="B3" s="614"/>
      <c r="C3" s="614"/>
      <c r="D3" s="614"/>
      <c r="E3" s="614"/>
      <c r="F3" s="508"/>
    </row>
    <row r="4" spans="1:7" ht="29.25" customHeight="1" x14ac:dyDescent="0.2">
      <c r="A4" s="78" t="s">
        <v>1014</v>
      </c>
      <c r="B4" s="78" t="s">
        <v>1408</v>
      </c>
      <c r="C4" s="78" t="s">
        <v>1409</v>
      </c>
      <c r="D4" s="78" t="s">
        <v>1013</v>
      </c>
      <c r="E4" s="109" t="s">
        <v>3323</v>
      </c>
      <c r="F4" s="109" t="s">
        <v>3323</v>
      </c>
    </row>
    <row r="5" spans="1:7" ht="29.25" customHeight="1" x14ac:dyDescent="0.2">
      <c r="A5" s="79" t="s">
        <v>2082</v>
      </c>
      <c r="B5" s="80" t="s">
        <v>2083</v>
      </c>
      <c r="C5" s="81" t="s">
        <v>2065</v>
      </c>
      <c r="D5" s="81">
        <v>1</v>
      </c>
      <c r="E5" s="110">
        <f>'ANÁLISIS MANO DE OBRA'!E32</f>
        <v>163723</v>
      </c>
      <c r="F5" s="110"/>
    </row>
    <row r="6" spans="1:7" ht="29.25" customHeight="1" x14ac:dyDescent="0.2">
      <c r="A6" s="79" t="s">
        <v>2063</v>
      </c>
      <c r="B6" s="80" t="s">
        <v>2535</v>
      </c>
      <c r="C6" s="81" t="s">
        <v>1074</v>
      </c>
      <c r="D6" s="81">
        <v>1</v>
      </c>
      <c r="E6" s="110">
        <f>'ANÁLISIS MANO DE OBRA'!E57</f>
        <v>147351</v>
      </c>
      <c r="F6" s="110"/>
    </row>
    <row r="7" spans="1:7" ht="29.25" customHeight="1" x14ac:dyDescent="0.2">
      <c r="A7" s="79" t="s">
        <v>1070</v>
      </c>
      <c r="B7" s="80" t="s">
        <v>2064</v>
      </c>
      <c r="C7" s="81" t="s">
        <v>1074</v>
      </c>
      <c r="D7" s="81">
        <v>1</v>
      </c>
      <c r="E7" s="110">
        <f>'ANÁLISIS MANO DE OBRA'!E30</f>
        <v>81861</v>
      </c>
      <c r="F7" s="110"/>
    </row>
    <row r="8" spans="1:7" ht="29.25" customHeight="1" x14ac:dyDescent="0.2">
      <c r="A8" s="79" t="s">
        <v>2067</v>
      </c>
      <c r="B8" s="80" t="s">
        <v>1071</v>
      </c>
      <c r="C8" s="81" t="s">
        <v>1074</v>
      </c>
      <c r="D8" s="81">
        <v>1</v>
      </c>
      <c r="E8" s="110">
        <f>'ANÁLISIS MANO DE OBRA'!E31</f>
        <v>114606</v>
      </c>
      <c r="F8" s="110"/>
    </row>
    <row r="9" spans="1:7" ht="29.25" customHeight="1" x14ac:dyDescent="0.2">
      <c r="A9" s="79" t="s">
        <v>2103</v>
      </c>
      <c r="B9" s="80" t="s">
        <v>2068</v>
      </c>
      <c r="C9" s="81" t="s">
        <v>2065</v>
      </c>
      <c r="D9" s="81">
        <v>1</v>
      </c>
      <c r="E9" s="110">
        <f>'ANÁLISIS MANO DE OBRA'!E34</f>
        <v>491167</v>
      </c>
      <c r="F9" s="110"/>
    </row>
    <row r="10" spans="1:7" ht="29.25" customHeight="1" x14ac:dyDescent="0.2">
      <c r="A10" s="79" t="s">
        <v>1367</v>
      </c>
      <c r="B10" s="80" t="s">
        <v>2104</v>
      </c>
      <c r="C10" s="81" t="s">
        <v>2065</v>
      </c>
      <c r="D10" s="81">
        <v>1</v>
      </c>
      <c r="E10" s="110">
        <f>'ANÁLISIS MANO DE OBRA'!E35</f>
        <v>412454</v>
      </c>
      <c r="F10" s="110"/>
    </row>
    <row r="11" spans="1:7" ht="29.25" customHeight="1" x14ac:dyDescent="0.2">
      <c r="A11" s="79" t="s">
        <v>276</v>
      </c>
      <c r="B11" s="80" t="s">
        <v>1368</v>
      </c>
      <c r="C11" s="81" t="s">
        <v>2065</v>
      </c>
      <c r="D11" s="81">
        <v>1</v>
      </c>
      <c r="E11" s="110">
        <f>'ANÁLISIS MANO DE OBRA'!E49</f>
        <v>163723</v>
      </c>
      <c r="F11" s="110"/>
    </row>
    <row r="12" spans="1:7" ht="29.25" customHeight="1" x14ac:dyDescent="0.2">
      <c r="A12" s="79" t="s">
        <v>2536</v>
      </c>
      <c r="B12" s="80" t="s">
        <v>275</v>
      </c>
      <c r="C12" s="81" t="s">
        <v>2065</v>
      </c>
      <c r="D12" s="81">
        <v>1</v>
      </c>
      <c r="E12" s="110">
        <f>'ANÁLISIS MANO DE OBRA'!E44</f>
        <v>261957</v>
      </c>
      <c r="F12" s="110"/>
    </row>
    <row r="13" spans="1:7" ht="29.25" customHeight="1" x14ac:dyDescent="0.2">
      <c r="A13" s="79" t="s">
        <v>2076</v>
      </c>
      <c r="B13" s="80" t="s">
        <v>3149</v>
      </c>
      <c r="C13" s="81" t="s">
        <v>2065</v>
      </c>
      <c r="D13" s="81">
        <v>1</v>
      </c>
      <c r="E13" s="110">
        <f>'ANÁLISIS MANO DE OBRA'!E47</f>
        <v>623679</v>
      </c>
      <c r="F13" s="110"/>
    </row>
    <row r="14" spans="1:7" ht="29.25" customHeight="1" x14ac:dyDescent="0.2">
      <c r="A14" s="79" t="s">
        <v>1015</v>
      </c>
      <c r="B14" s="80" t="s">
        <v>2524</v>
      </c>
      <c r="C14" s="81" t="s">
        <v>1016</v>
      </c>
      <c r="D14" s="81"/>
      <c r="E14" s="110">
        <v>5227</v>
      </c>
      <c r="F14" s="110"/>
    </row>
    <row r="15" spans="1:7" ht="29.25" customHeight="1" x14ac:dyDescent="0.2">
      <c r="A15" s="79" t="s">
        <v>1018</v>
      </c>
      <c r="B15" s="80" t="s">
        <v>475</v>
      </c>
      <c r="C15" s="81" t="s">
        <v>2065</v>
      </c>
      <c r="D15" s="81">
        <v>1</v>
      </c>
      <c r="E15" s="110">
        <f>'ANÁLISIS MANO DE OBRA'!E69</f>
        <v>205231</v>
      </c>
      <c r="F15" s="110"/>
    </row>
    <row r="16" spans="1:7" ht="29.25" customHeight="1" x14ac:dyDescent="0.2">
      <c r="A16" s="79" t="s">
        <v>2115</v>
      </c>
      <c r="B16" s="80" t="s">
        <v>2116</v>
      </c>
      <c r="C16" s="81" t="s">
        <v>2065</v>
      </c>
      <c r="D16" s="81">
        <v>1</v>
      </c>
      <c r="E16" s="110">
        <f>'ANÁLISIS MANO DE OBRA'!E36</f>
        <v>736750</v>
      </c>
      <c r="F16" s="110"/>
    </row>
    <row r="17" spans="1:7" ht="29.25" customHeight="1" x14ac:dyDescent="0.2">
      <c r="A17" s="79" t="s">
        <v>2091</v>
      </c>
      <c r="B17" s="80" t="s">
        <v>2092</v>
      </c>
      <c r="C17" s="81" t="s">
        <v>2065</v>
      </c>
      <c r="D17" s="81">
        <v>1</v>
      </c>
      <c r="E17" s="110">
        <f>'ANÁLISIS MANO DE OBRA'!E37</f>
        <v>654890</v>
      </c>
      <c r="F17" s="110"/>
    </row>
    <row r="18" spans="1:7" ht="29.25" customHeight="1" x14ac:dyDescent="0.2">
      <c r="A18" s="79" t="s">
        <v>2159</v>
      </c>
      <c r="B18" s="80" t="s">
        <v>2160</v>
      </c>
      <c r="C18" s="81" t="s">
        <v>2065</v>
      </c>
      <c r="D18" s="81">
        <v>1</v>
      </c>
      <c r="E18" s="110">
        <f>'ANÁLISIS MANO DE OBRA'!E38</f>
        <v>245584</v>
      </c>
      <c r="F18" s="110"/>
    </row>
    <row r="19" spans="1:7" ht="29.25" customHeight="1" x14ac:dyDescent="0.2">
      <c r="A19" s="79" t="s">
        <v>1019</v>
      </c>
      <c r="B19" s="80" t="s">
        <v>1020</v>
      </c>
      <c r="C19" s="81" t="s">
        <v>2065</v>
      </c>
      <c r="D19" s="81">
        <v>1</v>
      </c>
      <c r="E19" s="110">
        <f>'ANÁLISIS MANO DE OBRA'!E39</f>
        <v>1309782</v>
      </c>
      <c r="F19" s="110"/>
    </row>
    <row r="20" spans="1:7" ht="29.25" customHeight="1" x14ac:dyDescent="0.2">
      <c r="A20" s="79" t="s">
        <v>2093</v>
      </c>
      <c r="B20" s="80" t="s">
        <v>2094</v>
      </c>
      <c r="C20" s="81" t="s">
        <v>2065</v>
      </c>
      <c r="D20" s="81">
        <v>1</v>
      </c>
      <c r="E20" s="110">
        <f>'ANÁLISIS MANO DE OBRA'!E40</f>
        <v>327445</v>
      </c>
      <c r="F20" s="110"/>
    </row>
    <row r="21" spans="1:7" ht="29.25" customHeight="1" x14ac:dyDescent="0.2">
      <c r="A21" s="79" t="s">
        <v>2079</v>
      </c>
      <c r="B21" s="80" t="s">
        <v>2080</v>
      </c>
      <c r="C21" s="81" t="s">
        <v>2065</v>
      </c>
      <c r="D21" s="81">
        <v>1</v>
      </c>
      <c r="E21" s="110">
        <f>'ANÁLISIS MANO DE OBRA'!E41</f>
        <v>327444</v>
      </c>
      <c r="F21" s="110"/>
    </row>
    <row r="22" spans="1:7" ht="29.25" customHeight="1" x14ac:dyDescent="0.2">
      <c r="A22" s="79" t="s">
        <v>1366</v>
      </c>
      <c r="B22" s="80" t="s">
        <v>1069</v>
      </c>
      <c r="C22" s="81" t="s">
        <v>2065</v>
      </c>
      <c r="D22" s="81">
        <v>1</v>
      </c>
      <c r="E22" s="110">
        <f>'ANÁLISIS MANO DE OBRA'!E51</f>
        <v>130978</v>
      </c>
      <c r="F22" s="110"/>
    </row>
    <row r="23" spans="1:7" ht="29.25" customHeight="1" x14ac:dyDescent="0.2">
      <c r="A23" s="79" t="s">
        <v>921</v>
      </c>
      <c r="B23" s="80" t="s">
        <v>1365</v>
      </c>
      <c r="C23" s="81" t="s">
        <v>2065</v>
      </c>
      <c r="D23" s="81">
        <v>1</v>
      </c>
      <c r="E23" s="110">
        <f>'ANÁLISIS MANO DE OBRA'!E42</f>
        <v>294701</v>
      </c>
      <c r="F23" s="110"/>
    </row>
    <row r="24" spans="1:7" ht="29.25" customHeight="1" x14ac:dyDescent="0.2">
      <c r="A24" s="79" t="s">
        <v>922</v>
      </c>
      <c r="B24" s="80" t="s">
        <v>1364</v>
      </c>
      <c r="C24" s="81" t="s">
        <v>2065</v>
      </c>
      <c r="D24" s="81">
        <v>1</v>
      </c>
      <c r="E24" s="110">
        <f>'ANÁLISIS MANO DE OBRA'!E43</f>
        <v>425679</v>
      </c>
      <c r="F24" s="110"/>
    </row>
    <row r="25" spans="1:7" ht="29.25" customHeight="1" x14ac:dyDescent="0.2">
      <c r="A25" s="79" t="s">
        <v>2249</v>
      </c>
      <c r="B25" s="80" t="s">
        <v>2250</v>
      </c>
      <c r="C25" s="81" t="s">
        <v>2065</v>
      </c>
      <c r="D25" s="81">
        <v>1</v>
      </c>
      <c r="E25" s="110">
        <f>'ANÁLISIS MANO DE OBRA'!E45</f>
        <v>982334</v>
      </c>
      <c r="F25" s="110"/>
    </row>
    <row r="26" spans="1:7" ht="29.25" customHeight="1" x14ac:dyDescent="0.2">
      <c r="A26" s="79" t="s">
        <v>2424</v>
      </c>
      <c r="B26" s="80" t="s">
        <v>3040</v>
      </c>
      <c r="C26" s="81" t="s">
        <v>2065</v>
      </c>
      <c r="D26" s="81">
        <v>1</v>
      </c>
      <c r="E26" s="110">
        <f>'ANÁLISIS MANO DE OBRA'!E46</f>
        <v>383612</v>
      </c>
      <c r="F26" s="110"/>
    </row>
    <row r="27" spans="1:7" ht="29.25" customHeight="1" x14ac:dyDescent="0.2">
      <c r="A27" s="79" t="s">
        <v>2808</v>
      </c>
      <c r="B27" s="80" t="s">
        <v>3055</v>
      </c>
      <c r="C27" s="81" t="s">
        <v>2065</v>
      </c>
      <c r="D27" s="81">
        <v>1</v>
      </c>
      <c r="E27" s="110">
        <f>'ANÁLISIS MANO DE OBRA'!E43</f>
        <v>425679</v>
      </c>
      <c r="F27" s="110"/>
    </row>
    <row r="28" spans="1:7" ht="29.25" customHeight="1" x14ac:dyDescent="0.2">
      <c r="A28" s="79" t="s">
        <v>2808</v>
      </c>
      <c r="B28" s="80" t="s">
        <v>2425</v>
      </c>
      <c r="C28" s="81" t="s">
        <v>2065</v>
      </c>
      <c r="D28" s="81">
        <v>1</v>
      </c>
      <c r="E28" s="110">
        <f>'ANÁLISIS MANO DE OBRA'!E30</f>
        <v>81861</v>
      </c>
      <c r="F28" s="110"/>
    </row>
    <row r="29" spans="1:7" ht="29.25" customHeight="1" x14ac:dyDescent="0.2">
      <c r="A29" s="79" t="s">
        <v>3039</v>
      </c>
      <c r="B29" s="80" t="s">
        <v>2827</v>
      </c>
      <c r="C29" s="81" t="s">
        <v>2065</v>
      </c>
      <c r="D29" s="81">
        <v>1</v>
      </c>
      <c r="E29" s="110">
        <f>'ANÁLISIS MANO DE OBRA'!E67</f>
        <v>183242</v>
      </c>
      <c r="F29" s="110"/>
    </row>
    <row r="30" spans="1:7" ht="38.1" customHeight="1" x14ac:dyDescent="0.2">
      <c r="A30" s="79" t="s">
        <v>2110</v>
      </c>
      <c r="B30" s="80" t="s">
        <v>2111</v>
      </c>
      <c r="C30" s="81" t="s">
        <v>2112</v>
      </c>
      <c r="D30" s="81">
        <v>1</v>
      </c>
      <c r="E30" s="110">
        <f>34500</f>
        <v>34500</v>
      </c>
      <c r="F30" s="110"/>
      <c r="G30" s="509"/>
    </row>
    <row r="31" spans="1:7" ht="29.25" customHeight="1" x14ac:dyDescent="0.2">
      <c r="A31" s="79" t="s">
        <v>2230</v>
      </c>
      <c r="B31" s="80" t="s">
        <v>2231</v>
      </c>
      <c r="C31" s="81" t="s">
        <v>1414</v>
      </c>
      <c r="D31" s="81">
        <v>1</v>
      </c>
      <c r="E31" s="110">
        <v>2900</v>
      </c>
      <c r="F31" s="110"/>
      <c r="G31" s="509"/>
    </row>
    <row r="32" spans="1:7" ht="29.25" customHeight="1" x14ac:dyDescent="0.2">
      <c r="A32" s="79" t="s">
        <v>2164</v>
      </c>
      <c r="B32" s="80" t="s">
        <v>2165</v>
      </c>
      <c r="C32" s="81" t="s">
        <v>1432</v>
      </c>
      <c r="D32" s="81">
        <v>1</v>
      </c>
      <c r="E32" s="110">
        <f>102688.7125*(1+9.59/100)</f>
        <v>112536.56002875</v>
      </c>
      <c r="F32" s="110"/>
      <c r="G32" s="509"/>
    </row>
    <row r="33" spans="1:7" ht="29.25" customHeight="1" x14ac:dyDescent="0.2">
      <c r="A33" s="79" t="s">
        <v>2185</v>
      </c>
      <c r="B33" s="80" t="s">
        <v>2525</v>
      </c>
      <c r="C33" s="81" t="s">
        <v>1432</v>
      </c>
      <c r="D33" s="81">
        <v>1</v>
      </c>
      <c r="E33" s="110">
        <f>102688.7125*(1+9.59/100)</f>
        <v>112536.56002875</v>
      </c>
      <c r="F33" s="110"/>
      <c r="G33" s="509"/>
    </row>
    <row r="34" spans="1:7" ht="29.25" customHeight="1" x14ac:dyDescent="0.2">
      <c r="A34" s="79" t="s">
        <v>2135</v>
      </c>
      <c r="B34" s="80" t="s">
        <v>2136</v>
      </c>
      <c r="C34" s="81" t="s">
        <v>1432</v>
      </c>
      <c r="D34" s="81">
        <v>1</v>
      </c>
      <c r="E34" s="110">
        <f>110000*(1+9.59/100)</f>
        <v>120549.00000000001</v>
      </c>
      <c r="F34" s="110"/>
      <c r="G34" s="509"/>
    </row>
    <row r="35" spans="1:7" ht="29.25" customHeight="1" x14ac:dyDescent="0.2">
      <c r="A35" s="79" t="s">
        <v>2084</v>
      </c>
      <c r="B35" s="80" t="s">
        <v>2085</v>
      </c>
      <c r="C35" s="81" t="s">
        <v>1432</v>
      </c>
      <c r="D35" s="81">
        <v>1</v>
      </c>
      <c r="E35" s="110">
        <f>50740.305*(1+9.59/100)</f>
        <v>55606.300249500004</v>
      </c>
      <c r="F35" s="110"/>
      <c r="G35" s="509"/>
    </row>
    <row r="36" spans="1:7" ht="29.25" customHeight="1" x14ac:dyDescent="0.2">
      <c r="A36" s="79" t="s">
        <v>2147</v>
      </c>
      <c r="B36" s="80" t="s">
        <v>2148</v>
      </c>
      <c r="C36" s="81" t="s">
        <v>1432</v>
      </c>
      <c r="D36" s="81">
        <v>1</v>
      </c>
      <c r="E36" s="110">
        <f>45133*(1+9.59/100)</f>
        <v>49461.254700000005</v>
      </c>
      <c r="F36" s="110"/>
      <c r="G36" s="509"/>
    </row>
    <row r="37" spans="1:7" ht="29.25" customHeight="1" x14ac:dyDescent="0.2">
      <c r="A37" s="79" t="s">
        <v>540</v>
      </c>
      <c r="B37" s="80" t="s">
        <v>541</v>
      </c>
      <c r="C37" s="81" t="s">
        <v>1435</v>
      </c>
      <c r="D37" s="81">
        <v>1</v>
      </c>
      <c r="E37" s="110">
        <v>15900</v>
      </c>
      <c r="F37" s="110"/>
      <c r="G37" s="509"/>
    </row>
    <row r="38" spans="1:7" ht="29.25" customHeight="1" x14ac:dyDescent="0.2">
      <c r="A38" s="79" t="s">
        <v>2131</v>
      </c>
      <c r="B38" s="80" t="s">
        <v>2132</v>
      </c>
      <c r="C38" s="81" t="s">
        <v>1432</v>
      </c>
      <c r="D38" s="81">
        <v>1</v>
      </c>
      <c r="E38" s="110">
        <f>102688.7125*(1+9.59/100)</f>
        <v>112536.56002875</v>
      </c>
      <c r="F38" s="110"/>
      <c r="G38" s="509"/>
    </row>
    <row r="39" spans="1:7" ht="29.25" customHeight="1" x14ac:dyDescent="0.2">
      <c r="A39" s="79" t="s">
        <v>2121</v>
      </c>
      <c r="B39" s="80" t="s">
        <v>2921</v>
      </c>
      <c r="C39" s="81" t="s">
        <v>1432</v>
      </c>
      <c r="D39" s="81">
        <v>1</v>
      </c>
      <c r="E39" s="110">
        <f>99703.3*(1+9.59/100)</f>
        <v>109264.84647000002</v>
      </c>
      <c r="F39" s="110"/>
      <c r="G39" s="509"/>
    </row>
    <row r="40" spans="1:7" ht="29.25" customHeight="1" x14ac:dyDescent="0.2">
      <c r="A40" s="79" t="s">
        <v>562</v>
      </c>
      <c r="B40" s="80" t="s">
        <v>1246</v>
      </c>
      <c r="C40" s="81" t="s">
        <v>1414</v>
      </c>
      <c r="D40" s="81">
        <v>1</v>
      </c>
      <c r="E40" s="110">
        <f>1377.8381925*(1+9.59/100)</f>
        <v>1509.9728751607502</v>
      </c>
      <c r="F40" s="110"/>
      <c r="G40" s="509"/>
    </row>
    <row r="41" spans="1:7" ht="29.25" customHeight="1" x14ac:dyDescent="0.2">
      <c r="A41" s="79" t="s">
        <v>490</v>
      </c>
      <c r="B41" s="80" t="s">
        <v>1247</v>
      </c>
      <c r="C41" s="81" t="s">
        <v>2112</v>
      </c>
      <c r="D41" s="81">
        <v>1</v>
      </c>
      <c r="E41" s="110">
        <f>26603.1864*(1+9.59/100)</f>
        <v>29154.431975760002</v>
      </c>
      <c r="F41" s="110"/>
      <c r="G41" s="509"/>
    </row>
    <row r="42" spans="1:7" ht="29.25" customHeight="1" x14ac:dyDescent="0.2">
      <c r="A42" s="79" t="s">
        <v>2113</v>
      </c>
      <c r="B42" s="80" t="s">
        <v>1248</v>
      </c>
      <c r="C42" s="81" t="s">
        <v>2114</v>
      </c>
      <c r="D42" s="81">
        <v>1</v>
      </c>
      <c r="E42" s="110">
        <f>88.355497806576*(1+9.59/100)</f>
        <v>96.828790046226644</v>
      </c>
      <c r="F42" s="110"/>
      <c r="G42" s="509"/>
    </row>
    <row r="43" spans="1:7" ht="43.5" customHeight="1" x14ac:dyDescent="0.2">
      <c r="A43" s="79" t="s">
        <v>2198</v>
      </c>
      <c r="B43" s="80" t="s">
        <v>3057</v>
      </c>
      <c r="C43" s="81" t="s">
        <v>1435</v>
      </c>
      <c r="D43" s="81">
        <v>1</v>
      </c>
      <c r="E43" s="110">
        <f>776471.827094964*1.0959</f>
        <v>850935.47531337105</v>
      </c>
      <c r="F43" s="110"/>
      <c r="G43" s="509"/>
    </row>
    <row r="44" spans="1:7" ht="29.25" customHeight="1" x14ac:dyDescent="0.2">
      <c r="A44" s="79" t="s">
        <v>2187</v>
      </c>
      <c r="B44" s="80" t="s">
        <v>252</v>
      </c>
      <c r="C44" s="81" t="s">
        <v>1414</v>
      </c>
      <c r="D44" s="81">
        <v>1</v>
      </c>
      <c r="E44" s="110">
        <f>4660*1.0191</f>
        <v>4749.0059999999994</v>
      </c>
      <c r="F44" s="110"/>
      <c r="G44" s="509"/>
    </row>
    <row r="45" spans="1:7" ht="29.25" customHeight="1" x14ac:dyDescent="0.2">
      <c r="A45" s="79" t="s">
        <v>2188</v>
      </c>
      <c r="B45" s="80" t="s">
        <v>253</v>
      </c>
      <c r="C45" s="81" t="s">
        <v>1414</v>
      </c>
      <c r="D45" s="81">
        <v>1</v>
      </c>
      <c r="E45" s="110">
        <f>4519*1.0191</f>
        <v>4605.3128999999999</v>
      </c>
      <c r="F45" s="110"/>
      <c r="G45" s="509"/>
    </row>
    <row r="46" spans="1:7" ht="29.25" customHeight="1" x14ac:dyDescent="0.2">
      <c r="A46" s="79" t="s">
        <v>2137</v>
      </c>
      <c r="B46" s="80" t="s">
        <v>2138</v>
      </c>
      <c r="C46" s="81" t="s">
        <v>1412</v>
      </c>
      <c r="D46" s="81">
        <v>1</v>
      </c>
      <c r="E46" s="110">
        <f>7960*1.0191</f>
        <v>8112.0359999999991</v>
      </c>
      <c r="F46" s="110"/>
      <c r="G46" s="509"/>
    </row>
    <row r="47" spans="1:7" ht="29.25" customHeight="1" x14ac:dyDescent="0.2">
      <c r="A47" s="79" t="s">
        <v>2719</v>
      </c>
      <c r="B47" s="80" t="s">
        <v>2720</v>
      </c>
      <c r="C47" s="81" t="s">
        <v>1412</v>
      </c>
      <c r="D47" s="81">
        <v>1</v>
      </c>
      <c r="E47" s="110">
        <f>2672.17346704*1.0191</f>
        <v>2723.2119802604639</v>
      </c>
      <c r="F47" s="110"/>
      <c r="G47" s="509"/>
    </row>
    <row r="48" spans="1:7" ht="29.25" customHeight="1" x14ac:dyDescent="0.2">
      <c r="A48" s="79" t="s">
        <v>2728</v>
      </c>
      <c r="B48" s="80" t="s">
        <v>2729</v>
      </c>
      <c r="C48" s="81" t="s">
        <v>1435</v>
      </c>
      <c r="D48" s="81">
        <v>1</v>
      </c>
      <c r="E48" s="110">
        <f>33936*1.0191</f>
        <v>34584.177599999995</v>
      </c>
      <c r="F48" s="110"/>
      <c r="G48" s="509"/>
    </row>
    <row r="49" spans="1:7" ht="29.25" customHeight="1" x14ac:dyDescent="0.2">
      <c r="A49" s="79" t="s">
        <v>2072</v>
      </c>
      <c r="B49" s="80" t="s">
        <v>2073</v>
      </c>
      <c r="C49" s="81" t="s">
        <v>1412</v>
      </c>
      <c r="D49" s="81">
        <v>1</v>
      </c>
      <c r="E49" s="110">
        <f>11720.9406776*1.0191</f>
        <v>11944.810644542158</v>
      </c>
      <c r="F49" s="110"/>
      <c r="G49" s="509"/>
    </row>
    <row r="50" spans="1:7" ht="29.25" customHeight="1" x14ac:dyDescent="0.2">
      <c r="A50" s="79" t="s">
        <v>2074</v>
      </c>
      <c r="B50" s="80" t="s">
        <v>2075</v>
      </c>
      <c r="C50" s="81" t="s">
        <v>1412</v>
      </c>
      <c r="D50" s="81">
        <v>1</v>
      </c>
      <c r="E50" s="110">
        <f>7149*1.0191</f>
        <v>7285.5458999999992</v>
      </c>
      <c r="F50" s="110"/>
      <c r="G50" s="509"/>
    </row>
    <row r="51" spans="1:7" ht="29.25" customHeight="1" x14ac:dyDescent="0.2">
      <c r="A51" s="79" t="s">
        <v>2070</v>
      </c>
      <c r="B51" s="80" t="s">
        <v>2071</v>
      </c>
      <c r="C51" s="81" t="s">
        <v>1435</v>
      </c>
      <c r="D51" s="81">
        <v>1</v>
      </c>
      <c r="E51" s="110">
        <f>8500*1.0191</f>
        <v>8662.3499999999985</v>
      </c>
      <c r="F51" s="110"/>
      <c r="G51" s="509"/>
    </row>
    <row r="52" spans="1:7" ht="29.25" customHeight="1" x14ac:dyDescent="0.2">
      <c r="A52" s="79" t="s">
        <v>2087</v>
      </c>
      <c r="B52" s="80" t="s">
        <v>2088</v>
      </c>
      <c r="C52" s="81" t="s">
        <v>2069</v>
      </c>
      <c r="D52" s="81">
        <v>1</v>
      </c>
      <c r="E52" s="110">
        <f>6565.3*1.0191</f>
        <v>6690.6972299999998</v>
      </c>
      <c r="F52" s="110"/>
      <c r="G52" s="509"/>
    </row>
    <row r="53" spans="1:7" ht="29.25" customHeight="1" x14ac:dyDescent="0.2">
      <c r="A53" s="79" t="s">
        <v>2089</v>
      </c>
      <c r="B53" s="80" t="s">
        <v>2529</v>
      </c>
      <c r="C53" s="81" t="s">
        <v>1414</v>
      </c>
      <c r="D53" s="81">
        <v>1</v>
      </c>
      <c r="E53" s="110">
        <f>7800*1.0191</f>
        <v>7948.98</v>
      </c>
      <c r="F53" s="110"/>
      <c r="G53" s="509"/>
    </row>
    <row r="54" spans="1:7" ht="29.25" customHeight="1" x14ac:dyDescent="0.2">
      <c r="A54" s="518" t="s">
        <v>2194</v>
      </c>
      <c r="B54" s="519" t="s">
        <v>2195</v>
      </c>
      <c r="C54" s="520" t="s">
        <v>1435</v>
      </c>
      <c r="D54" s="520">
        <v>1</v>
      </c>
      <c r="E54" s="521">
        <f>800*1.0191</f>
        <v>815.28</v>
      </c>
      <c r="F54" s="521">
        <f>800*1.0191</f>
        <v>815.28</v>
      </c>
      <c r="G54" s="509"/>
    </row>
    <row r="55" spans="1:7" ht="29.25" customHeight="1" x14ac:dyDescent="0.2">
      <c r="A55" s="79" t="s">
        <v>2214</v>
      </c>
      <c r="B55" s="80" t="s">
        <v>2654</v>
      </c>
      <c r="C55" s="81" t="s">
        <v>1412</v>
      </c>
      <c r="D55" s="81">
        <v>1</v>
      </c>
      <c r="E55" s="110">
        <f>+F55*(1+($F$2/100))</f>
        <v>24104.904833954999</v>
      </c>
      <c r="F55" s="110">
        <v>23653.13005</v>
      </c>
      <c r="G55" s="509"/>
    </row>
    <row r="56" spans="1:7" ht="29.25" customHeight="1" x14ac:dyDescent="0.2">
      <c r="A56" s="79" t="s">
        <v>501</v>
      </c>
      <c r="B56" s="82" t="s">
        <v>2256</v>
      </c>
      <c r="C56" s="83" t="s">
        <v>1412</v>
      </c>
      <c r="D56" s="83">
        <v>1</v>
      </c>
      <c r="E56" s="110">
        <f t="shared" ref="E56:E119" si="0">+F56*(1+($F$2/100))</f>
        <v>81385.325999999986</v>
      </c>
      <c r="F56" s="110">
        <v>79860</v>
      </c>
      <c r="G56" s="509"/>
    </row>
    <row r="57" spans="1:7" ht="29.25" customHeight="1" x14ac:dyDescent="0.2">
      <c r="A57" s="79" t="s">
        <v>2701</v>
      </c>
      <c r="B57" s="458" t="s">
        <v>2702</v>
      </c>
      <c r="C57" s="83" t="s">
        <v>1124</v>
      </c>
      <c r="D57" s="83">
        <v>1</v>
      </c>
      <c r="E57" s="110">
        <f t="shared" si="0"/>
        <v>57360.65496</v>
      </c>
      <c r="F57" s="110">
        <v>56285.600000000006</v>
      </c>
      <c r="G57" s="509"/>
    </row>
    <row r="58" spans="1:7" ht="29.25" customHeight="1" x14ac:dyDescent="0.2">
      <c r="A58" s="79" t="s">
        <v>2097</v>
      </c>
      <c r="B58" s="80" t="s">
        <v>2098</v>
      </c>
      <c r="C58" s="81" t="s">
        <v>1414</v>
      </c>
      <c r="D58" s="81">
        <v>1</v>
      </c>
      <c r="E58" s="110">
        <f t="shared" si="0"/>
        <v>17276.183208172071</v>
      </c>
      <c r="F58" s="110">
        <v>16952.392511208</v>
      </c>
      <c r="G58" s="509"/>
    </row>
    <row r="59" spans="1:7" ht="29.25" customHeight="1" x14ac:dyDescent="0.2">
      <c r="A59" s="79" t="s">
        <v>2099</v>
      </c>
      <c r="B59" s="80" t="s">
        <v>2100</v>
      </c>
      <c r="C59" s="81" t="s">
        <v>1435</v>
      </c>
      <c r="D59" s="81">
        <v>1</v>
      </c>
      <c r="E59" s="110">
        <f t="shared" si="0"/>
        <v>376.11789280343123</v>
      </c>
      <c r="F59" s="110">
        <v>369.06868099640002</v>
      </c>
      <c r="G59" s="509"/>
    </row>
    <row r="60" spans="1:7" ht="29.25" customHeight="1" x14ac:dyDescent="0.2">
      <c r="A60" s="79" t="s">
        <v>2101</v>
      </c>
      <c r="B60" s="80" t="s">
        <v>2102</v>
      </c>
      <c r="C60" s="81" t="s">
        <v>1412</v>
      </c>
      <c r="D60" s="81">
        <v>1</v>
      </c>
      <c r="E60" s="110">
        <f t="shared" si="0"/>
        <v>2442.5521477701391</v>
      </c>
      <c r="F60" s="110">
        <v>2396.7737687863205</v>
      </c>
      <c r="G60" s="509"/>
    </row>
    <row r="61" spans="1:7" ht="29.25" customHeight="1" x14ac:dyDescent="0.2">
      <c r="A61" s="79" t="s">
        <v>814</v>
      </c>
      <c r="B61" s="80" t="s">
        <v>2260</v>
      </c>
      <c r="C61" s="81" t="s">
        <v>1435</v>
      </c>
      <c r="D61" s="81">
        <v>1</v>
      </c>
      <c r="E61" s="110">
        <f t="shared" si="0"/>
        <v>27234.428399999997</v>
      </c>
      <c r="F61" s="110">
        <v>26724</v>
      </c>
      <c r="G61" s="509"/>
    </row>
    <row r="62" spans="1:7" ht="29.25" customHeight="1" x14ac:dyDescent="0.2">
      <c r="A62" s="79" t="s">
        <v>1012</v>
      </c>
      <c r="B62" s="80" t="s">
        <v>3225</v>
      </c>
      <c r="C62" s="81" t="s">
        <v>1435</v>
      </c>
      <c r="D62" s="81">
        <v>1</v>
      </c>
      <c r="E62" s="110">
        <f t="shared" si="0"/>
        <v>24981.304286399998</v>
      </c>
      <c r="F62" s="110">
        <v>24513.103999999999</v>
      </c>
      <c r="G62" s="509"/>
    </row>
    <row r="63" spans="1:7" ht="29.25" customHeight="1" x14ac:dyDescent="0.2">
      <c r="A63" s="79" t="s">
        <v>2225</v>
      </c>
      <c r="B63" s="80" t="s">
        <v>2254</v>
      </c>
      <c r="C63" s="81" t="s">
        <v>1432</v>
      </c>
      <c r="D63" s="81">
        <v>1</v>
      </c>
      <c r="E63" s="110">
        <f t="shared" si="0"/>
        <v>541142.1</v>
      </c>
      <c r="F63" s="110">
        <v>531000</v>
      </c>
      <c r="G63" s="509"/>
    </row>
    <row r="64" spans="1:7" ht="29.25" customHeight="1" x14ac:dyDescent="0.2">
      <c r="A64" s="79" t="s">
        <v>2226</v>
      </c>
      <c r="B64" s="80" t="s">
        <v>2479</v>
      </c>
      <c r="C64" s="81" t="s">
        <v>1435</v>
      </c>
      <c r="D64" s="81">
        <v>1</v>
      </c>
      <c r="E64" s="110">
        <f t="shared" si="0"/>
        <v>19556.084456957364</v>
      </c>
      <c r="F64" s="110">
        <v>19189.563788595198</v>
      </c>
      <c r="G64" s="509"/>
    </row>
    <row r="65" spans="1:7" ht="29.25" customHeight="1" x14ac:dyDescent="0.2">
      <c r="A65" s="79" t="s">
        <v>1011</v>
      </c>
      <c r="B65" s="80" t="s">
        <v>2924</v>
      </c>
      <c r="C65" s="81" t="s">
        <v>1412</v>
      </c>
      <c r="D65" s="81">
        <v>1</v>
      </c>
      <c r="E65" s="110">
        <f t="shared" si="0"/>
        <v>981.39329999999995</v>
      </c>
      <c r="F65" s="110">
        <v>963</v>
      </c>
      <c r="G65" s="509"/>
    </row>
    <row r="66" spans="1:7" ht="29.25" customHeight="1" x14ac:dyDescent="0.2">
      <c r="A66" s="79" t="s">
        <v>3222</v>
      </c>
      <c r="B66" s="80" t="s">
        <v>1079</v>
      </c>
      <c r="C66" s="81" t="s">
        <v>1412</v>
      </c>
      <c r="D66" s="81">
        <v>1</v>
      </c>
      <c r="E66" s="110">
        <f t="shared" si="0"/>
        <v>697.06439999999998</v>
      </c>
      <c r="F66" s="110">
        <v>684</v>
      </c>
      <c r="G66" s="509"/>
    </row>
    <row r="67" spans="1:7" ht="29.25" customHeight="1" x14ac:dyDescent="0.2">
      <c r="A67" s="79" t="s">
        <v>2154</v>
      </c>
      <c r="B67" s="80" t="s">
        <v>2155</v>
      </c>
      <c r="C67" s="81" t="s">
        <v>2156</v>
      </c>
      <c r="D67" s="81">
        <v>1</v>
      </c>
      <c r="E67" s="110">
        <f t="shared" si="0"/>
        <v>9681.4499999999989</v>
      </c>
      <c r="F67" s="110">
        <v>9500</v>
      </c>
      <c r="G67" s="509"/>
    </row>
    <row r="68" spans="1:7" ht="29.25" customHeight="1" x14ac:dyDescent="0.2">
      <c r="A68" s="79" t="s">
        <v>2422</v>
      </c>
      <c r="B68" s="80" t="s">
        <v>2423</v>
      </c>
      <c r="C68" s="81" t="s">
        <v>1432</v>
      </c>
      <c r="D68" s="81">
        <v>1</v>
      </c>
      <c r="E68" s="110">
        <f t="shared" si="0"/>
        <v>11866.119536039998</v>
      </c>
      <c r="F68" s="110">
        <v>11643.724399999999</v>
      </c>
      <c r="G68" s="509"/>
    </row>
    <row r="69" spans="1:7" ht="29.25" customHeight="1" x14ac:dyDescent="0.2">
      <c r="A69" s="79" t="s">
        <v>2212</v>
      </c>
      <c r="B69" s="80" t="s">
        <v>3168</v>
      </c>
      <c r="C69" s="81" t="s">
        <v>1424</v>
      </c>
      <c r="D69" s="81">
        <v>1</v>
      </c>
      <c r="E69" s="110">
        <f t="shared" si="0"/>
        <v>2533.4825999999998</v>
      </c>
      <c r="F69" s="110">
        <v>2486</v>
      </c>
      <c r="G69" s="509"/>
    </row>
    <row r="70" spans="1:7" ht="29.25" customHeight="1" x14ac:dyDescent="0.2">
      <c r="A70" s="79" t="s">
        <v>2221</v>
      </c>
      <c r="B70" s="80" t="s">
        <v>2655</v>
      </c>
      <c r="C70" s="81" t="s">
        <v>1414</v>
      </c>
      <c r="D70" s="81">
        <v>1</v>
      </c>
      <c r="E70" s="110">
        <f t="shared" si="0"/>
        <v>22394.722499999996</v>
      </c>
      <c r="F70" s="110">
        <v>21975</v>
      </c>
      <c r="G70" s="509"/>
    </row>
    <row r="71" spans="1:7" ht="29.25" customHeight="1" x14ac:dyDescent="0.2">
      <c r="A71" s="79" t="s">
        <v>2223</v>
      </c>
      <c r="B71" s="80" t="s">
        <v>279</v>
      </c>
      <c r="C71" s="81" t="s">
        <v>1435</v>
      </c>
      <c r="D71" s="81">
        <v>1</v>
      </c>
      <c r="E71" s="110">
        <f t="shared" si="0"/>
        <v>1936.2899999999997</v>
      </c>
      <c r="F71" s="110">
        <v>1900</v>
      </c>
      <c r="G71" s="509"/>
    </row>
    <row r="72" spans="1:7" ht="29.25" customHeight="1" x14ac:dyDescent="0.2">
      <c r="A72" s="79" t="s">
        <v>280</v>
      </c>
      <c r="B72" s="80" t="s">
        <v>2255</v>
      </c>
      <c r="C72" s="81" t="s">
        <v>1435</v>
      </c>
      <c r="D72" s="81">
        <v>1</v>
      </c>
      <c r="E72" s="110">
        <f t="shared" si="0"/>
        <v>756.58310111999992</v>
      </c>
      <c r="F72" s="110">
        <v>742.40319999999997</v>
      </c>
      <c r="G72" s="509"/>
    </row>
    <row r="73" spans="1:7" ht="29.25" customHeight="1" x14ac:dyDescent="0.2">
      <c r="A73" s="84" t="s">
        <v>558</v>
      </c>
      <c r="B73" s="82" t="s">
        <v>559</v>
      </c>
      <c r="C73" s="83" t="s">
        <v>2156</v>
      </c>
      <c r="D73" s="83">
        <v>1</v>
      </c>
      <c r="E73" s="110">
        <f t="shared" si="0"/>
        <v>69711.851420999985</v>
      </c>
      <c r="F73" s="110">
        <v>68405.31</v>
      </c>
      <c r="G73" s="509"/>
    </row>
    <row r="74" spans="1:7" ht="29.25" customHeight="1" x14ac:dyDescent="0.2">
      <c r="A74" s="84" t="s">
        <v>2716</v>
      </c>
      <c r="B74" s="455" t="s">
        <v>2715</v>
      </c>
      <c r="C74" s="83" t="s">
        <v>1435</v>
      </c>
      <c r="D74" s="83">
        <v>1</v>
      </c>
      <c r="E74" s="110">
        <f t="shared" si="0"/>
        <v>269959.58999999997</v>
      </c>
      <c r="F74" s="110">
        <v>264900</v>
      </c>
      <c r="G74" s="509"/>
    </row>
    <row r="75" spans="1:7" ht="29.25" customHeight="1" x14ac:dyDescent="0.2">
      <c r="A75" s="79" t="s">
        <v>2717</v>
      </c>
      <c r="B75" s="80" t="s">
        <v>2863</v>
      </c>
      <c r="C75" s="81" t="s">
        <v>1435</v>
      </c>
      <c r="D75" s="81">
        <v>1</v>
      </c>
      <c r="E75" s="110">
        <f t="shared" si="0"/>
        <v>1630.56</v>
      </c>
      <c r="F75" s="110">
        <v>1600</v>
      </c>
      <c r="G75" s="509"/>
    </row>
    <row r="76" spans="1:7" ht="51" customHeight="1" x14ac:dyDescent="0.2">
      <c r="A76" s="84" t="s">
        <v>2718</v>
      </c>
      <c r="B76" s="80" t="s">
        <v>3170</v>
      </c>
      <c r="C76" s="81" t="s">
        <v>1435</v>
      </c>
      <c r="D76" s="457">
        <v>1</v>
      </c>
      <c r="E76" s="110">
        <f t="shared" si="0"/>
        <v>41681.189999999995</v>
      </c>
      <c r="F76" s="110">
        <v>40900</v>
      </c>
      <c r="G76" s="509"/>
    </row>
    <row r="77" spans="1:7" ht="29.25" customHeight="1" x14ac:dyDescent="0.2">
      <c r="A77" s="79" t="s">
        <v>563</v>
      </c>
      <c r="B77" s="454" t="s">
        <v>3171</v>
      </c>
      <c r="C77" s="81" t="s">
        <v>1424</v>
      </c>
      <c r="D77" s="81">
        <v>1</v>
      </c>
      <c r="E77" s="110">
        <f t="shared" si="0"/>
        <v>36279.96</v>
      </c>
      <c r="F77" s="110">
        <v>35600</v>
      </c>
      <c r="G77" s="509"/>
    </row>
    <row r="78" spans="1:7" ht="29.25" customHeight="1" x14ac:dyDescent="0.2">
      <c r="A78" s="79" t="s">
        <v>564</v>
      </c>
      <c r="B78" s="80" t="s">
        <v>443</v>
      </c>
      <c r="C78" s="81" t="s">
        <v>1435</v>
      </c>
      <c r="D78" s="81">
        <v>1</v>
      </c>
      <c r="E78" s="110">
        <f t="shared" si="0"/>
        <v>832.87476149999986</v>
      </c>
      <c r="F78" s="110">
        <v>817.26499999999999</v>
      </c>
      <c r="G78" s="509"/>
    </row>
    <row r="79" spans="1:7" ht="29.25" customHeight="1" x14ac:dyDescent="0.2">
      <c r="A79" s="79" t="s">
        <v>2830</v>
      </c>
      <c r="B79" s="80" t="s">
        <v>3172</v>
      </c>
      <c r="C79" s="81" t="s">
        <v>1435</v>
      </c>
      <c r="D79" s="81">
        <v>1</v>
      </c>
      <c r="E79" s="110">
        <f t="shared" si="0"/>
        <v>1397.4408749999998</v>
      </c>
      <c r="F79" s="110">
        <v>1371.25</v>
      </c>
      <c r="G79" s="509"/>
    </row>
    <row r="80" spans="1:7" ht="29.25" customHeight="1" x14ac:dyDescent="0.2">
      <c r="A80" s="79" t="s">
        <v>565</v>
      </c>
      <c r="B80" s="80" t="s">
        <v>2258</v>
      </c>
      <c r="C80" s="81" t="s">
        <v>1435</v>
      </c>
      <c r="D80" s="81">
        <v>1</v>
      </c>
      <c r="E80" s="110">
        <f t="shared" si="0"/>
        <v>662.41499999999996</v>
      </c>
      <c r="F80" s="110">
        <v>650</v>
      </c>
      <c r="G80" s="509"/>
    </row>
    <row r="81" spans="1:7" ht="29.25" customHeight="1" x14ac:dyDescent="0.2">
      <c r="A81" s="79" t="s">
        <v>2466</v>
      </c>
      <c r="B81" s="80" t="s">
        <v>2467</v>
      </c>
      <c r="C81" s="81" t="s">
        <v>1435</v>
      </c>
      <c r="D81" s="81">
        <v>1</v>
      </c>
      <c r="E81" s="110">
        <f t="shared" si="0"/>
        <v>2047.2178862704798</v>
      </c>
      <c r="F81" s="110">
        <v>2008.8488728</v>
      </c>
      <c r="G81" s="509"/>
    </row>
    <row r="82" spans="1:7" ht="29.25" customHeight="1" x14ac:dyDescent="0.2">
      <c r="A82" s="79" t="s">
        <v>568</v>
      </c>
      <c r="B82" s="80" t="s">
        <v>310</v>
      </c>
      <c r="C82" s="81" t="s">
        <v>1412</v>
      </c>
      <c r="D82" s="81">
        <v>1</v>
      </c>
      <c r="E82" s="110">
        <f t="shared" si="0"/>
        <v>60534.539999999994</v>
      </c>
      <c r="F82" s="110">
        <v>59400</v>
      </c>
      <c r="G82" s="509"/>
    </row>
    <row r="83" spans="1:7" ht="29.25" customHeight="1" x14ac:dyDescent="0.2">
      <c r="A83" s="79" t="s">
        <v>2831</v>
      </c>
      <c r="B83" s="80" t="s">
        <v>3173</v>
      </c>
      <c r="C83" s="81" t="s">
        <v>1424</v>
      </c>
      <c r="D83" s="81">
        <v>1</v>
      </c>
      <c r="E83" s="110">
        <f t="shared" si="0"/>
        <v>64101.389999999992</v>
      </c>
      <c r="F83" s="110">
        <v>62900</v>
      </c>
      <c r="G83" s="509"/>
    </row>
    <row r="84" spans="1:7" ht="29.25" customHeight="1" x14ac:dyDescent="0.2">
      <c r="A84" s="79" t="s">
        <v>3174</v>
      </c>
      <c r="B84" s="80" t="s">
        <v>3293</v>
      </c>
      <c r="C84" s="81" t="s">
        <v>1432</v>
      </c>
      <c r="D84" s="81">
        <v>1</v>
      </c>
      <c r="E84" s="110">
        <f t="shared" si="0"/>
        <v>38623.89</v>
      </c>
      <c r="F84" s="110">
        <v>37900</v>
      </c>
      <c r="G84" s="509"/>
    </row>
    <row r="85" spans="1:7" ht="29.25" customHeight="1" x14ac:dyDescent="0.2">
      <c r="A85" s="79" t="s">
        <v>570</v>
      </c>
      <c r="B85" s="80" t="s">
        <v>311</v>
      </c>
      <c r="C85" s="81" t="s">
        <v>1412</v>
      </c>
      <c r="D85" s="81">
        <v>1</v>
      </c>
      <c r="E85" s="110">
        <f t="shared" si="0"/>
        <v>30878.729999999996</v>
      </c>
      <c r="F85" s="110">
        <v>30300</v>
      </c>
      <c r="G85" s="509"/>
    </row>
    <row r="86" spans="1:7" ht="29.25" customHeight="1" x14ac:dyDescent="0.2">
      <c r="A86" s="79" t="s">
        <v>863</v>
      </c>
      <c r="B86" s="80" t="s">
        <v>3178</v>
      </c>
      <c r="C86" s="81" t="s">
        <v>2946</v>
      </c>
      <c r="D86" s="81">
        <v>1</v>
      </c>
      <c r="E86" s="110">
        <f t="shared" si="0"/>
        <v>4433.0849999999991</v>
      </c>
      <c r="F86" s="110">
        <v>4350</v>
      </c>
      <c r="G86" s="509"/>
    </row>
    <row r="87" spans="1:7" ht="29.25" customHeight="1" x14ac:dyDescent="0.2">
      <c r="A87" s="79" t="s">
        <v>2835</v>
      </c>
      <c r="B87" s="80" t="s">
        <v>2834</v>
      </c>
      <c r="C87" s="81" t="s">
        <v>1435</v>
      </c>
      <c r="D87" s="81">
        <v>1</v>
      </c>
      <c r="E87" s="110">
        <f t="shared" si="0"/>
        <v>755153.1</v>
      </c>
      <c r="F87" s="110">
        <v>741000</v>
      </c>
      <c r="G87" s="509"/>
    </row>
    <row r="88" spans="1:7" ht="29.25" customHeight="1" x14ac:dyDescent="0.2">
      <c r="A88" s="79" t="s">
        <v>2839</v>
      </c>
      <c r="B88" s="80" t="s">
        <v>2840</v>
      </c>
      <c r="C88" s="81" t="s">
        <v>1435</v>
      </c>
      <c r="D88" s="81">
        <v>1</v>
      </c>
      <c r="E88" s="110">
        <f t="shared" si="0"/>
        <v>666491.39999999991</v>
      </c>
      <c r="F88" s="110">
        <v>654000</v>
      </c>
      <c r="G88" s="509"/>
    </row>
    <row r="89" spans="1:7" ht="29.25" customHeight="1" x14ac:dyDescent="0.2">
      <c r="A89" s="79" t="s">
        <v>2843</v>
      </c>
      <c r="B89" s="80" t="s">
        <v>2841</v>
      </c>
      <c r="C89" s="81" t="s">
        <v>1435</v>
      </c>
      <c r="D89" s="81">
        <v>1</v>
      </c>
      <c r="E89" s="110">
        <f t="shared" si="0"/>
        <v>437193.89999999997</v>
      </c>
      <c r="F89" s="110">
        <v>429000</v>
      </c>
      <c r="G89" s="509"/>
    </row>
    <row r="90" spans="1:7" ht="29.25" customHeight="1" x14ac:dyDescent="0.2">
      <c r="A90" s="79" t="s">
        <v>2468</v>
      </c>
      <c r="B90" s="80" t="s">
        <v>2469</v>
      </c>
      <c r="C90" s="81" t="s">
        <v>1412</v>
      </c>
      <c r="D90" s="81">
        <v>1</v>
      </c>
      <c r="E90" s="110">
        <f t="shared" si="0"/>
        <v>61671.380342714991</v>
      </c>
      <c r="F90" s="110">
        <v>60515.533649999998</v>
      </c>
      <c r="G90" s="509"/>
    </row>
    <row r="91" spans="1:7" ht="29.25" customHeight="1" x14ac:dyDescent="0.2">
      <c r="A91" s="79" t="s">
        <v>2470</v>
      </c>
      <c r="B91" s="80" t="s">
        <v>2471</v>
      </c>
      <c r="C91" s="81" t="s">
        <v>1412</v>
      </c>
      <c r="D91" s="81">
        <v>1</v>
      </c>
      <c r="E91" s="110">
        <f t="shared" si="0"/>
        <v>90653.95484454307</v>
      </c>
      <c r="F91" s="110">
        <v>88954.915949899994</v>
      </c>
      <c r="G91" s="509"/>
    </row>
    <row r="92" spans="1:7" ht="29.25" customHeight="1" x14ac:dyDescent="0.2">
      <c r="A92" s="79" t="s">
        <v>658</v>
      </c>
      <c r="B92" s="80" t="s">
        <v>659</v>
      </c>
      <c r="C92" s="81" t="s">
        <v>1435</v>
      </c>
      <c r="D92" s="81">
        <v>1</v>
      </c>
      <c r="E92" s="110">
        <f t="shared" si="0"/>
        <v>20432.954999999998</v>
      </c>
      <c r="F92" s="110">
        <v>20050</v>
      </c>
      <c r="G92" s="509"/>
    </row>
    <row r="93" spans="1:7" ht="29.25" customHeight="1" x14ac:dyDescent="0.2">
      <c r="A93" s="79" t="s">
        <v>2203</v>
      </c>
      <c r="B93" s="80" t="s">
        <v>2204</v>
      </c>
      <c r="C93" s="81" t="s">
        <v>1414</v>
      </c>
      <c r="D93" s="81">
        <v>1</v>
      </c>
      <c r="E93" s="110">
        <f t="shared" si="0"/>
        <v>11510.734499999999</v>
      </c>
      <c r="F93" s="110">
        <v>11295</v>
      </c>
      <c r="G93" s="509"/>
    </row>
    <row r="94" spans="1:7" ht="29.25" customHeight="1" x14ac:dyDescent="0.2">
      <c r="A94" s="79" t="s">
        <v>2481</v>
      </c>
      <c r="B94" s="80" t="s">
        <v>2484</v>
      </c>
      <c r="C94" s="81" t="s">
        <v>1435</v>
      </c>
      <c r="D94" s="81">
        <v>1</v>
      </c>
      <c r="E94" s="110">
        <f t="shared" si="0"/>
        <v>3747.1956429599995</v>
      </c>
      <c r="F94" s="110">
        <v>3676.9656</v>
      </c>
      <c r="G94" s="509"/>
    </row>
    <row r="95" spans="1:7" ht="29.25" customHeight="1" x14ac:dyDescent="0.2">
      <c r="A95" s="79" t="s">
        <v>2482</v>
      </c>
      <c r="B95" s="80" t="s">
        <v>2483</v>
      </c>
      <c r="C95" s="81" t="s">
        <v>1435</v>
      </c>
      <c r="D95" s="81">
        <v>1</v>
      </c>
      <c r="E95" s="110">
        <f t="shared" si="0"/>
        <v>9992.52171456</v>
      </c>
      <c r="F95" s="110">
        <v>9805.2416000000012</v>
      </c>
      <c r="G95" s="509"/>
    </row>
    <row r="96" spans="1:7" ht="29.25" customHeight="1" x14ac:dyDescent="0.2">
      <c r="A96" s="79" t="s">
        <v>571</v>
      </c>
      <c r="B96" s="80" t="s">
        <v>1080</v>
      </c>
      <c r="C96" s="81" t="s">
        <v>1424</v>
      </c>
      <c r="D96" s="81">
        <v>1</v>
      </c>
      <c r="E96" s="110">
        <f t="shared" si="0"/>
        <v>21910.649999999998</v>
      </c>
      <c r="F96" s="110">
        <v>21500</v>
      </c>
      <c r="G96" s="509"/>
    </row>
    <row r="97" spans="1:7" ht="29.25" customHeight="1" x14ac:dyDescent="0.2">
      <c r="A97" s="79" t="s">
        <v>572</v>
      </c>
      <c r="B97" s="80" t="s">
        <v>573</v>
      </c>
      <c r="C97" s="81" t="s">
        <v>1412</v>
      </c>
      <c r="D97" s="81">
        <v>1</v>
      </c>
      <c r="E97" s="110">
        <f t="shared" si="0"/>
        <v>3668.7599999999998</v>
      </c>
      <c r="F97" s="110">
        <v>3600</v>
      </c>
      <c r="G97" s="509"/>
    </row>
    <row r="98" spans="1:7" ht="29.25" customHeight="1" x14ac:dyDescent="0.2">
      <c r="A98" s="79" t="s">
        <v>672</v>
      </c>
      <c r="B98" s="80" t="s">
        <v>673</v>
      </c>
      <c r="C98" s="81" t="s">
        <v>2156</v>
      </c>
      <c r="D98" s="81">
        <v>1</v>
      </c>
      <c r="E98" s="110">
        <f t="shared" si="0"/>
        <v>41783.1</v>
      </c>
      <c r="F98" s="110">
        <v>41000</v>
      </c>
      <c r="G98" s="509"/>
    </row>
    <row r="99" spans="1:7" ht="29.25" customHeight="1" x14ac:dyDescent="0.2">
      <c r="A99" s="79" t="s">
        <v>579</v>
      </c>
      <c r="B99" s="80" t="s">
        <v>446</v>
      </c>
      <c r="C99" s="81" t="s">
        <v>1424</v>
      </c>
      <c r="D99" s="81">
        <v>1</v>
      </c>
      <c r="E99" s="110">
        <f t="shared" si="0"/>
        <v>76330.59</v>
      </c>
      <c r="F99" s="110">
        <v>74900</v>
      </c>
      <c r="G99" s="509"/>
    </row>
    <row r="100" spans="1:7" ht="29.25" customHeight="1" x14ac:dyDescent="0.2">
      <c r="A100" s="79" t="s">
        <v>795</v>
      </c>
      <c r="B100" s="80" t="s">
        <v>2259</v>
      </c>
      <c r="C100" s="81" t="s">
        <v>1412</v>
      </c>
      <c r="D100" s="81">
        <v>1</v>
      </c>
      <c r="E100" s="110">
        <f t="shared" si="0"/>
        <v>31770.646319999996</v>
      </c>
      <c r="F100" s="110">
        <v>31175.200000000001</v>
      </c>
      <c r="G100" s="509"/>
    </row>
    <row r="101" spans="1:7" ht="29.25" customHeight="1" x14ac:dyDescent="0.2">
      <c r="A101" s="79" t="s">
        <v>740</v>
      </c>
      <c r="B101" s="80" t="s">
        <v>741</v>
      </c>
      <c r="C101" s="81" t="s">
        <v>1435</v>
      </c>
      <c r="D101" s="81">
        <v>1</v>
      </c>
      <c r="E101" s="110">
        <f t="shared" si="0"/>
        <v>2853.4799999999996</v>
      </c>
      <c r="F101" s="110">
        <v>2800</v>
      </c>
      <c r="G101" s="509"/>
    </row>
    <row r="102" spans="1:7" ht="29.25" customHeight="1" x14ac:dyDescent="0.2">
      <c r="A102" s="84" t="s">
        <v>790</v>
      </c>
      <c r="B102" s="82" t="s">
        <v>1997</v>
      </c>
      <c r="C102" s="83" t="s">
        <v>1412</v>
      </c>
      <c r="D102" s="83">
        <v>1</v>
      </c>
      <c r="E102" s="110">
        <f t="shared" si="0"/>
        <v>14878.859999999999</v>
      </c>
      <c r="F102" s="110">
        <v>14600</v>
      </c>
      <c r="G102" s="509"/>
    </row>
    <row r="103" spans="1:7" ht="29.25" customHeight="1" x14ac:dyDescent="0.2">
      <c r="A103" s="79" t="s">
        <v>634</v>
      </c>
      <c r="B103" s="85" t="s">
        <v>1293</v>
      </c>
      <c r="C103" s="81" t="s">
        <v>1435</v>
      </c>
      <c r="D103" s="81">
        <v>1</v>
      </c>
      <c r="E103" s="110">
        <f t="shared" si="0"/>
        <v>217725.90550919206</v>
      </c>
      <c r="F103" s="110">
        <v>213645.28064879999</v>
      </c>
      <c r="G103" s="509"/>
    </row>
    <row r="104" spans="1:7" ht="29.25" customHeight="1" x14ac:dyDescent="0.2">
      <c r="A104" s="79" t="s">
        <v>699</v>
      </c>
      <c r="B104" s="80" t="s">
        <v>2018</v>
      </c>
      <c r="C104" s="81" t="s">
        <v>1412</v>
      </c>
      <c r="D104" s="81">
        <v>1</v>
      </c>
      <c r="E104" s="110">
        <f t="shared" si="0"/>
        <v>4346.137670784</v>
      </c>
      <c r="F104" s="110">
        <v>4264.6822400000001</v>
      </c>
      <c r="G104" s="509"/>
    </row>
    <row r="105" spans="1:7" ht="29.25" customHeight="1" x14ac:dyDescent="0.2">
      <c r="A105" s="79" t="s">
        <v>794</v>
      </c>
      <c r="B105" s="80" t="s">
        <v>2262</v>
      </c>
      <c r="C105" s="81" t="s">
        <v>1412</v>
      </c>
      <c r="D105" s="81">
        <v>1</v>
      </c>
      <c r="E105" s="110">
        <f t="shared" si="0"/>
        <v>31395.405710256</v>
      </c>
      <c r="F105" s="110">
        <v>30806.992160000002</v>
      </c>
      <c r="G105" s="509"/>
    </row>
    <row r="106" spans="1:7" ht="29.25" customHeight="1" x14ac:dyDescent="0.2">
      <c r="A106" s="79" t="s">
        <v>637</v>
      </c>
      <c r="B106" s="80" t="s">
        <v>638</v>
      </c>
      <c r="C106" s="81" t="s">
        <v>1424</v>
      </c>
      <c r="D106" s="81">
        <v>1</v>
      </c>
      <c r="E106" s="110">
        <f t="shared" si="0"/>
        <v>138699.50999999998</v>
      </c>
      <c r="F106" s="110">
        <v>136100</v>
      </c>
      <c r="G106" s="509"/>
    </row>
    <row r="107" spans="1:7" ht="29.25" customHeight="1" x14ac:dyDescent="0.2">
      <c r="A107" s="79" t="s">
        <v>624</v>
      </c>
      <c r="B107" s="80" t="s">
        <v>1292</v>
      </c>
      <c r="C107" s="81" t="s">
        <v>1435</v>
      </c>
      <c r="D107" s="81">
        <v>1</v>
      </c>
      <c r="E107" s="110">
        <f t="shared" si="0"/>
        <v>118972.8417689912</v>
      </c>
      <c r="F107" s="110">
        <v>116743.04952310001</v>
      </c>
      <c r="G107" s="509"/>
    </row>
    <row r="108" spans="1:7" ht="29.25" customHeight="1" x14ac:dyDescent="0.2">
      <c r="A108" s="79" t="s">
        <v>632</v>
      </c>
      <c r="B108" s="80" t="s">
        <v>633</v>
      </c>
      <c r="C108" s="81" t="s">
        <v>1435</v>
      </c>
      <c r="D108" s="81">
        <v>1</v>
      </c>
      <c r="E108" s="110">
        <f t="shared" si="0"/>
        <v>339922.40505426057</v>
      </c>
      <c r="F108" s="110">
        <v>333551.57006599999</v>
      </c>
      <c r="G108" s="509"/>
    </row>
    <row r="109" spans="1:7" ht="29.25" customHeight="1" x14ac:dyDescent="0.2">
      <c r="A109" s="79" t="s">
        <v>625</v>
      </c>
      <c r="B109" s="80" t="s">
        <v>1251</v>
      </c>
      <c r="C109" s="81" t="s">
        <v>1435</v>
      </c>
      <c r="D109" s="81">
        <v>1</v>
      </c>
      <c r="E109" s="110">
        <f t="shared" si="0"/>
        <v>47795.789999999994</v>
      </c>
      <c r="F109" s="110">
        <v>46900</v>
      </c>
      <c r="G109" s="509"/>
    </row>
    <row r="110" spans="1:7" ht="29.25" customHeight="1" x14ac:dyDescent="0.2">
      <c r="A110" s="79" t="s">
        <v>2668</v>
      </c>
      <c r="B110" s="80" t="s">
        <v>2836</v>
      </c>
      <c r="C110" s="81" t="s">
        <v>1435</v>
      </c>
      <c r="D110" s="81">
        <v>1</v>
      </c>
      <c r="E110" s="110">
        <f t="shared" si="0"/>
        <v>149705.78999999998</v>
      </c>
      <c r="F110" s="110">
        <v>146900</v>
      </c>
      <c r="G110" s="509"/>
    </row>
    <row r="111" spans="1:7" ht="29.25" customHeight="1" x14ac:dyDescent="0.2">
      <c r="A111" s="79" t="s">
        <v>2668</v>
      </c>
      <c r="B111" s="450" t="s">
        <v>2669</v>
      </c>
      <c r="C111" s="81" t="s">
        <v>1435</v>
      </c>
      <c r="D111" s="81">
        <v>1</v>
      </c>
      <c r="E111" s="110">
        <f t="shared" si="0"/>
        <v>183336.08999999997</v>
      </c>
      <c r="F111" s="110">
        <v>179900</v>
      </c>
      <c r="G111" s="509"/>
    </row>
    <row r="112" spans="1:7" ht="29.25" customHeight="1" x14ac:dyDescent="0.2">
      <c r="A112" s="79" t="s">
        <v>815</v>
      </c>
      <c r="B112" s="80" t="s">
        <v>816</v>
      </c>
      <c r="C112" s="81" t="s">
        <v>1414</v>
      </c>
      <c r="D112" s="81">
        <v>1</v>
      </c>
      <c r="E112" s="110">
        <f t="shared" si="0"/>
        <v>14940.005999999998</v>
      </c>
      <c r="F112" s="110">
        <v>14660</v>
      </c>
      <c r="G112" s="509"/>
    </row>
    <row r="113" spans="1:7" ht="29.25" customHeight="1" x14ac:dyDescent="0.2">
      <c r="A113" s="79" t="s">
        <v>626</v>
      </c>
      <c r="B113" s="80" t="s">
        <v>2265</v>
      </c>
      <c r="C113" s="81" t="s">
        <v>1435</v>
      </c>
      <c r="D113" s="81">
        <v>1</v>
      </c>
      <c r="E113" s="110">
        <f t="shared" si="0"/>
        <v>23337.389999999996</v>
      </c>
      <c r="F113" s="110">
        <v>22900</v>
      </c>
      <c r="G113" s="509"/>
    </row>
    <row r="114" spans="1:7" ht="29.25" customHeight="1" x14ac:dyDescent="0.2">
      <c r="A114" s="79" t="s">
        <v>510</v>
      </c>
      <c r="B114" s="80" t="s">
        <v>2864</v>
      </c>
      <c r="C114" s="81" t="s">
        <v>1435</v>
      </c>
      <c r="D114" s="81">
        <v>1</v>
      </c>
      <c r="E114" s="110">
        <f t="shared" si="0"/>
        <v>149272.97822999998</v>
      </c>
      <c r="F114" s="110">
        <v>146475.29999999999</v>
      </c>
      <c r="G114" s="509"/>
    </row>
    <row r="115" spans="1:7" ht="29.25" customHeight="1" x14ac:dyDescent="0.2">
      <c r="A115" s="79" t="s">
        <v>511</v>
      </c>
      <c r="B115" s="80" t="s">
        <v>512</v>
      </c>
      <c r="C115" s="81" t="s">
        <v>1435</v>
      </c>
      <c r="D115" s="81">
        <v>1</v>
      </c>
      <c r="E115" s="110">
        <f t="shared" si="0"/>
        <v>10089.089999999998</v>
      </c>
      <c r="F115" s="110">
        <v>9900</v>
      </c>
      <c r="G115" s="509"/>
    </row>
    <row r="116" spans="1:7" ht="29.25" customHeight="1" x14ac:dyDescent="0.2">
      <c r="A116" s="79" t="s">
        <v>645</v>
      </c>
      <c r="B116" s="80" t="s">
        <v>646</v>
      </c>
      <c r="C116" s="81" t="s">
        <v>1424</v>
      </c>
      <c r="D116" s="81">
        <v>1</v>
      </c>
      <c r="E116" s="110">
        <f t="shared" si="0"/>
        <v>246520.28999999998</v>
      </c>
      <c r="F116" s="110">
        <v>241900</v>
      </c>
      <c r="G116" s="509"/>
    </row>
    <row r="117" spans="1:7" ht="36.6" customHeight="1" x14ac:dyDescent="0.2">
      <c r="A117" s="79" t="s">
        <v>2499</v>
      </c>
      <c r="B117" s="80" t="s">
        <v>3294</v>
      </c>
      <c r="C117" s="81" t="s">
        <v>1412</v>
      </c>
      <c r="D117" s="81">
        <v>1</v>
      </c>
      <c r="E117" s="110">
        <f t="shared" si="0"/>
        <v>10212.146953580881</v>
      </c>
      <c r="F117" s="110">
        <v>10020.750616800002</v>
      </c>
      <c r="G117" s="509"/>
    </row>
    <row r="118" spans="1:7" ht="38.1" customHeight="1" x14ac:dyDescent="0.2">
      <c r="A118" s="79" t="s">
        <v>2500</v>
      </c>
      <c r="B118" s="80" t="s">
        <v>3295</v>
      </c>
      <c r="C118" s="81" t="s">
        <v>1412</v>
      </c>
      <c r="D118" s="81">
        <v>1</v>
      </c>
      <c r="E118" s="110">
        <f t="shared" si="0"/>
        <v>6156.6362578921198</v>
      </c>
      <c r="F118" s="110">
        <v>6041.2484132000009</v>
      </c>
      <c r="G118" s="509"/>
    </row>
    <row r="119" spans="1:7" ht="29.25" customHeight="1" x14ac:dyDescent="0.2">
      <c r="A119" s="79" t="s">
        <v>2090</v>
      </c>
      <c r="B119" s="80" t="s">
        <v>2264</v>
      </c>
      <c r="C119" s="81" t="s">
        <v>1435</v>
      </c>
      <c r="D119" s="81">
        <v>1</v>
      </c>
      <c r="E119" s="110">
        <f t="shared" si="0"/>
        <v>8560.4399999999987</v>
      </c>
      <c r="F119" s="110">
        <v>8400</v>
      </c>
      <c r="G119" s="509"/>
    </row>
    <row r="120" spans="1:7" ht="29.25" customHeight="1" x14ac:dyDescent="0.2">
      <c r="A120" s="79" t="s">
        <v>599</v>
      </c>
      <c r="B120" s="80" t="s">
        <v>3179</v>
      </c>
      <c r="C120" s="81" t="s">
        <v>1424</v>
      </c>
      <c r="D120" s="81">
        <v>1</v>
      </c>
      <c r="E120" s="110">
        <f t="shared" ref="E120:E183" si="1">+F120*(1+($F$2/100))</f>
        <v>68842.243199999997</v>
      </c>
      <c r="F120" s="110">
        <v>67552</v>
      </c>
      <c r="G120" s="509"/>
    </row>
    <row r="121" spans="1:7" ht="29.25" customHeight="1" x14ac:dyDescent="0.2">
      <c r="A121" s="79" t="s">
        <v>2501</v>
      </c>
      <c r="B121" s="80" t="s">
        <v>3296</v>
      </c>
      <c r="C121" s="81" t="s">
        <v>1435</v>
      </c>
      <c r="D121" s="81">
        <v>1</v>
      </c>
      <c r="E121" s="110">
        <f t="shared" si="1"/>
        <v>0</v>
      </c>
      <c r="F121" s="110" t="s">
        <v>3298</v>
      </c>
      <c r="G121" s="509"/>
    </row>
    <row r="122" spans="1:7" ht="29.25" customHeight="1" x14ac:dyDescent="0.2">
      <c r="A122" s="79" t="s">
        <v>700</v>
      </c>
      <c r="B122" s="80" t="s">
        <v>701</v>
      </c>
      <c r="C122" s="81" t="s">
        <v>1412</v>
      </c>
      <c r="D122" s="81">
        <v>1</v>
      </c>
      <c r="E122" s="110">
        <f t="shared" si="1"/>
        <v>5104.989859199999</v>
      </c>
      <c r="F122" s="110">
        <v>5009.3119999999999</v>
      </c>
      <c r="G122" s="509"/>
    </row>
    <row r="123" spans="1:7" ht="29.25" customHeight="1" x14ac:dyDescent="0.2">
      <c r="A123" s="79" t="s">
        <v>821</v>
      </c>
      <c r="B123" s="80" t="s">
        <v>822</v>
      </c>
      <c r="C123" s="81" t="s">
        <v>1412</v>
      </c>
      <c r="D123" s="81">
        <v>1</v>
      </c>
      <c r="E123" s="110">
        <f t="shared" si="1"/>
        <v>176575.38059999997</v>
      </c>
      <c r="F123" s="110">
        <v>173266</v>
      </c>
      <c r="G123" s="509"/>
    </row>
    <row r="124" spans="1:7" ht="29.25" customHeight="1" x14ac:dyDescent="0.2">
      <c r="A124" s="79" t="s">
        <v>693</v>
      </c>
      <c r="B124" s="80" t="s">
        <v>694</v>
      </c>
      <c r="C124" s="81" t="s">
        <v>1412</v>
      </c>
      <c r="D124" s="81">
        <v>1</v>
      </c>
      <c r="E124" s="110">
        <f t="shared" si="1"/>
        <v>6822.4313015627995</v>
      </c>
      <c r="F124" s="110">
        <v>6694.5651079999998</v>
      </c>
      <c r="G124" s="509"/>
    </row>
    <row r="125" spans="1:7" ht="29.25" customHeight="1" x14ac:dyDescent="0.2">
      <c r="A125" s="79" t="s">
        <v>703</v>
      </c>
      <c r="B125" s="80" t="s">
        <v>704</v>
      </c>
      <c r="C125" s="81" t="s">
        <v>1412</v>
      </c>
      <c r="D125" s="81">
        <v>1</v>
      </c>
      <c r="E125" s="110">
        <f t="shared" si="1"/>
        <v>24874.2062195088</v>
      </c>
      <c r="F125" s="110">
        <v>24408.013168000001</v>
      </c>
      <c r="G125" s="509"/>
    </row>
    <row r="126" spans="1:7" ht="29.25" customHeight="1" x14ac:dyDescent="0.2">
      <c r="A126" s="84" t="s">
        <v>2502</v>
      </c>
      <c r="B126" s="80" t="s">
        <v>3297</v>
      </c>
      <c r="C126" s="83" t="s">
        <v>1435</v>
      </c>
      <c r="D126" s="83">
        <v>1</v>
      </c>
      <c r="E126" s="110">
        <f t="shared" si="1"/>
        <v>31548.369770037116</v>
      </c>
      <c r="F126" s="110">
        <v>30957.089363200001</v>
      </c>
      <c r="G126" s="509"/>
    </row>
    <row r="127" spans="1:7" ht="29.25" customHeight="1" x14ac:dyDescent="0.2">
      <c r="A127" s="79" t="s">
        <v>695</v>
      </c>
      <c r="B127" s="80" t="s">
        <v>1252</v>
      </c>
      <c r="C127" s="81" t="s">
        <v>696</v>
      </c>
      <c r="D127" s="81"/>
      <c r="E127" s="110">
        <f t="shared" si="1"/>
        <v>0</v>
      </c>
      <c r="F127" s="110" t="s">
        <v>3298</v>
      </c>
      <c r="G127" s="509"/>
    </row>
    <row r="128" spans="1:7" ht="29.25" customHeight="1" x14ac:dyDescent="0.2">
      <c r="A128" s="79" t="s">
        <v>3314</v>
      </c>
      <c r="B128" s="80" t="s">
        <v>3315</v>
      </c>
      <c r="C128" s="81" t="s">
        <v>2946</v>
      </c>
      <c r="D128" s="81">
        <v>1</v>
      </c>
      <c r="E128" s="110">
        <f t="shared" si="1"/>
        <v>40662.089999999997</v>
      </c>
      <c r="F128" s="110">
        <v>39900</v>
      </c>
      <c r="G128" s="509"/>
    </row>
    <row r="129" spans="1:7" ht="29.25" customHeight="1" x14ac:dyDescent="0.2">
      <c r="A129" s="79" t="s">
        <v>764</v>
      </c>
      <c r="B129" s="80" t="s">
        <v>1728</v>
      </c>
      <c r="C129" s="81" t="s">
        <v>1435</v>
      </c>
      <c r="D129" s="81">
        <v>1</v>
      </c>
      <c r="E129" s="110">
        <f t="shared" si="1"/>
        <v>83464.289999999994</v>
      </c>
      <c r="F129" s="110">
        <v>81900</v>
      </c>
      <c r="G129" s="509"/>
    </row>
    <row r="130" spans="1:7" ht="29.25" customHeight="1" x14ac:dyDescent="0.2">
      <c r="A130" s="79" t="s">
        <v>884</v>
      </c>
      <c r="B130" s="80" t="s">
        <v>2865</v>
      </c>
      <c r="C130" s="81" t="s">
        <v>1435</v>
      </c>
      <c r="D130" s="81">
        <v>1</v>
      </c>
      <c r="E130" s="110">
        <f t="shared" si="1"/>
        <v>49833.99</v>
      </c>
      <c r="F130" s="110">
        <v>48900</v>
      </c>
      <c r="G130" s="509"/>
    </row>
    <row r="131" spans="1:7" ht="29.25" customHeight="1" x14ac:dyDescent="0.2">
      <c r="A131" s="79" t="s">
        <v>497</v>
      </c>
      <c r="B131" s="80" t="s">
        <v>2266</v>
      </c>
      <c r="C131" s="81" t="s">
        <v>1435</v>
      </c>
      <c r="D131" s="81">
        <v>1</v>
      </c>
      <c r="E131" s="110">
        <f t="shared" si="1"/>
        <v>277195.19999999995</v>
      </c>
      <c r="F131" s="110">
        <v>272000</v>
      </c>
      <c r="G131" s="509"/>
    </row>
    <row r="132" spans="1:7" ht="29.25" customHeight="1" x14ac:dyDescent="0.2">
      <c r="A132" s="79" t="s">
        <v>2189</v>
      </c>
      <c r="B132" s="80" t="s">
        <v>2190</v>
      </c>
      <c r="C132" s="81" t="s">
        <v>1412</v>
      </c>
      <c r="D132" s="81">
        <v>1</v>
      </c>
      <c r="E132" s="110">
        <f t="shared" si="1"/>
        <v>2979.6450687603597</v>
      </c>
      <c r="F132" s="110">
        <v>2923.8004796</v>
      </c>
      <c r="G132" s="509"/>
    </row>
    <row r="133" spans="1:7" ht="29.25" customHeight="1" x14ac:dyDescent="0.2">
      <c r="A133" s="79" t="s">
        <v>2233</v>
      </c>
      <c r="B133" s="80" t="s">
        <v>312</v>
      </c>
      <c r="C133" s="81" t="s">
        <v>1424</v>
      </c>
      <c r="D133" s="81">
        <v>1</v>
      </c>
      <c r="E133" s="110">
        <f t="shared" si="1"/>
        <v>42649.334999999999</v>
      </c>
      <c r="F133" s="110">
        <v>41850</v>
      </c>
      <c r="G133" s="509"/>
    </row>
    <row r="134" spans="1:7" ht="29.25" customHeight="1" x14ac:dyDescent="0.2">
      <c r="A134" s="79" t="s">
        <v>586</v>
      </c>
      <c r="B134" s="80" t="s">
        <v>314</v>
      </c>
      <c r="C134" s="81" t="s">
        <v>1435</v>
      </c>
      <c r="D134" s="81">
        <v>1</v>
      </c>
      <c r="E134" s="110">
        <f t="shared" si="1"/>
        <v>118981.46310154104</v>
      </c>
      <c r="F134" s="110">
        <v>116751.50927440001</v>
      </c>
      <c r="G134" s="509"/>
    </row>
    <row r="135" spans="1:7" ht="29.25" customHeight="1" x14ac:dyDescent="0.2">
      <c r="A135" s="79" t="s">
        <v>835</v>
      </c>
      <c r="B135" s="80" t="s">
        <v>836</v>
      </c>
      <c r="C135" s="81" t="s">
        <v>1412</v>
      </c>
      <c r="D135" s="81">
        <v>1</v>
      </c>
      <c r="E135" s="110">
        <f t="shared" si="1"/>
        <v>651630.91833947715</v>
      </c>
      <c r="F135" s="110">
        <v>639418.03389213735</v>
      </c>
      <c r="G135" s="509"/>
    </row>
    <row r="136" spans="1:7" ht="29.25" customHeight="1" x14ac:dyDescent="0.2">
      <c r="A136" s="79" t="s">
        <v>588</v>
      </c>
      <c r="B136" s="80" t="s">
        <v>313</v>
      </c>
      <c r="C136" s="81" t="s">
        <v>1435</v>
      </c>
      <c r="D136" s="81">
        <v>1</v>
      </c>
      <c r="E136" s="110">
        <f t="shared" si="1"/>
        <v>80207.327927999999</v>
      </c>
      <c r="F136" s="110">
        <v>78704.08</v>
      </c>
      <c r="G136" s="509"/>
    </row>
    <row r="137" spans="1:7" ht="29.25" customHeight="1" x14ac:dyDescent="0.2">
      <c r="A137" s="79" t="s">
        <v>620</v>
      </c>
      <c r="B137" s="80" t="s">
        <v>2866</v>
      </c>
      <c r="C137" s="81" t="s">
        <v>1435</v>
      </c>
      <c r="D137" s="81">
        <v>1</v>
      </c>
      <c r="E137" s="110">
        <f t="shared" si="1"/>
        <v>183109.52368800002</v>
      </c>
      <c r="F137" s="110">
        <v>179677.68000000002</v>
      </c>
      <c r="G137" s="509"/>
    </row>
    <row r="138" spans="1:7" ht="29.25" customHeight="1" x14ac:dyDescent="0.2">
      <c r="A138" s="79" t="s">
        <v>587</v>
      </c>
      <c r="B138" s="80" t="s">
        <v>2867</v>
      </c>
      <c r="C138" s="81" t="s">
        <v>1435</v>
      </c>
      <c r="D138" s="81">
        <v>1</v>
      </c>
      <c r="E138" s="110">
        <f t="shared" si="1"/>
        <v>86637.359759999992</v>
      </c>
      <c r="F138" s="110">
        <v>85013.6</v>
      </c>
      <c r="G138" s="509"/>
    </row>
    <row r="139" spans="1:7" ht="29.25" customHeight="1" x14ac:dyDescent="0.2">
      <c r="A139" s="79" t="s">
        <v>702</v>
      </c>
      <c r="B139" s="80" t="s">
        <v>3186</v>
      </c>
      <c r="C139" s="81" t="s">
        <v>1435</v>
      </c>
      <c r="D139" s="81">
        <v>1</v>
      </c>
      <c r="E139" s="110">
        <f t="shared" si="1"/>
        <v>19413.855</v>
      </c>
      <c r="F139" s="110">
        <v>19050</v>
      </c>
      <c r="G139" s="509"/>
    </row>
    <row r="140" spans="1:7" ht="29.25" customHeight="1" x14ac:dyDescent="0.2">
      <c r="A140" s="79" t="s">
        <v>593</v>
      </c>
      <c r="B140" s="80" t="s">
        <v>2868</v>
      </c>
      <c r="C140" s="81" t="s">
        <v>1435</v>
      </c>
      <c r="D140" s="81">
        <v>1</v>
      </c>
      <c r="E140" s="110">
        <f t="shared" si="1"/>
        <v>227157.38999999998</v>
      </c>
      <c r="F140" s="110">
        <v>222900</v>
      </c>
      <c r="G140" s="509"/>
    </row>
    <row r="141" spans="1:7" ht="29.25" customHeight="1" x14ac:dyDescent="0.2">
      <c r="A141" s="79" t="s">
        <v>2869</v>
      </c>
      <c r="B141" s="80" t="s">
        <v>2870</v>
      </c>
      <c r="C141" s="81" t="s">
        <v>1435</v>
      </c>
      <c r="D141" s="81">
        <v>1</v>
      </c>
      <c r="E141" s="110">
        <f t="shared" si="1"/>
        <v>398366.18999999994</v>
      </c>
      <c r="F141" s="110">
        <v>390900</v>
      </c>
      <c r="G141" s="509"/>
    </row>
    <row r="142" spans="1:7" ht="29.25" customHeight="1" x14ac:dyDescent="0.2">
      <c r="A142" s="79" t="s">
        <v>590</v>
      </c>
      <c r="B142" s="80" t="s">
        <v>2871</v>
      </c>
      <c r="C142" s="81" t="s">
        <v>1435</v>
      </c>
      <c r="D142" s="81">
        <v>1</v>
      </c>
      <c r="E142" s="110">
        <f t="shared" si="1"/>
        <v>216966.38999999998</v>
      </c>
      <c r="F142" s="110">
        <v>212900</v>
      </c>
      <c r="G142" s="509"/>
    </row>
    <row r="143" spans="1:7" ht="29.25" customHeight="1" x14ac:dyDescent="0.2">
      <c r="A143" s="79" t="s">
        <v>613</v>
      </c>
      <c r="B143" s="80" t="s">
        <v>315</v>
      </c>
      <c r="C143" s="81" t="s">
        <v>1412</v>
      </c>
      <c r="D143" s="81">
        <v>1</v>
      </c>
      <c r="E143" s="110">
        <f t="shared" si="1"/>
        <v>31490.189999999995</v>
      </c>
      <c r="F143" s="110">
        <v>30900</v>
      </c>
      <c r="G143" s="509"/>
    </row>
    <row r="144" spans="1:7" ht="29.25" customHeight="1" x14ac:dyDescent="0.2">
      <c r="A144" s="79" t="s">
        <v>801</v>
      </c>
      <c r="B144" s="80" t="s">
        <v>802</v>
      </c>
      <c r="C144" s="81" t="s">
        <v>1412</v>
      </c>
      <c r="D144" s="81">
        <v>1</v>
      </c>
      <c r="E144" s="110">
        <f t="shared" si="1"/>
        <v>16397.123332799998</v>
      </c>
      <c r="F144" s="110">
        <v>16089.808000000001</v>
      </c>
      <c r="G144" s="509"/>
    </row>
    <row r="145" spans="1:7" ht="29.25" customHeight="1" x14ac:dyDescent="0.2">
      <c r="A145" s="79" t="s">
        <v>803</v>
      </c>
      <c r="B145" s="80" t="s">
        <v>804</v>
      </c>
      <c r="C145" s="81" t="s">
        <v>1412</v>
      </c>
      <c r="D145" s="81">
        <v>1</v>
      </c>
      <c r="E145" s="110">
        <f t="shared" si="1"/>
        <v>34443.320315599995</v>
      </c>
      <c r="F145" s="110">
        <v>33797.782666666666</v>
      </c>
      <c r="G145" s="509"/>
    </row>
    <row r="146" spans="1:7" ht="29.25" customHeight="1" x14ac:dyDescent="0.2">
      <c r="A146" s="79" t="s">
        <v>805</v>
      </c>
      <c r="B146" s="80" t="s">
        <v>806</v>
      </c>
      <c r="C146" s="81" t="s">
        <v>1412</v>
      </c>
      <c r="D146" s="81">
        <v>1</v>
      </c>
      <c r="E146" s="110">
        <f t="shared" si="1"/>
        <v>72276.593894399994</v>
      </c>
      <c r="F146" s="110">
        <v>70921.983999999997</v>
      </c>
      <c r="G146" s="509"/>
    </row>
    <row r="147" spans="1:7" ht="29.25" customHeight="1" x14ac:dyDescent="0.2">
      <c r="A147" s="79" t="s">
        <v>498</v>
      </c>
      <c r="B147" s="80" t="s">
        <v>499</v>
      </c>
      <c r="C147" s="81" t="s">
        <v>1435</v>
      </c>
      <c r="D147" s="81">
        <v>1</v>
      </c>
      <c r="E147" s="110">
        <f t="shared" si="1"/>
        <v>53480.718235264321</v>
      </c>
      <c r="F147" s="110">
        <v>52478.381155200004</v>
      </c>
      <c r="G147" s="509"/>
    </row>
    <row r="148" spans="1:7" ht="29.25" customHeight="1" x14ac:dyDescent="0.2">
      <c r="A148" s="79" t="s">
        <v>837</v>
      </c>
      <c r="B148" s="80" t="s">
        <v>838</v>
      </c>
      <c r="C148" s="81" t="s">
        <v>1412</v>
      </c>
      <c r="D148" s="81">
        <v>1</v>
      </c>
      <c r="E148" s="110">
        <f t="shared" si="1"/>
        <v>907677.07112025283</v>
      </c>
      <c r="F148" s="110">
        <v>890665.36269282002</v>
      </c>
      <c r="G148" s="509"/>
    </row>
    <row r="149" spans="1:7" ht="29.25" customHeight="1" x14ac:dyDescent="0.2">
      <c r="A149" s="79" t="s">
        <v>583</v>
      </c>
      <c r="B149" s="80" t="s">
        <v>2267</v>
      </c>
      <c r="C149" s="81" t="s">
        <v>1435</v>
      </c>
      <c r="D149" s="81">
        <v>1</v>
      </c>
      <c r="E149" s="110">
        <f t="shared" si="1"/>
        <v>44738.49</v>
      </c>
      <c r="F149" s="110">
        <v>43900</v>
      </c>
      <c r="G149" s="509"/>
    </row>
    <row r="150" spans="1:7" ht="29.25" customHeight="1" x14ac:dyDescent="0.2">
      <c r="A150" s="79" t="s">
        <v>839</v>
      </c>
      <c r="B150" s="80" t="s">
        <v>840</v>
      </c>
      <c r="C150" s="81" t="s">
        <v>1412</v>
      </c>
      <c r="D150" s="81">
        <v>1</v>
      </c>
      <c r="E150" s="110">
        <f t="shared" si="1"/>
        <v>990194.818496197</v>
      </c>
      <c r="F150" s="110">
        <v>971636.56019644497</v>
      </c>
      <c r="G150" s="509"/>
    </row>
    <row r="151" spans="1:7" ht="29.25" customHeight="1" x14ac:dyDescent="0.2">
      <c r="A151" s="79" t="s">
        <v>2235</v>
      </c>
      <c r="B151" s="80" t="s">
        <v>2872</v>
      </c>
      <c r="C151" s="81" t="s">
        <v>1424</v>
      </c>
      <c r="D151" s="81">
        <v>1</v>
      </c>
      <c r="E151" s="110">
        <f t="shared" si="1"/>
        <v>38757.239234999994</v>
      </c>
      <c r="F151" s="110">
        <v>38030.85</v>
      </c>
      <c r="G151" s="509"/>
    </row>
    <row r="152" spans="1:7" ht="29.25" customHeight="1" x14ac:dyDescent="0.2">
      <c r="A152" s="79" t="s">
        <v>808</v>
      </c>
      <c r="B152" s="80" t="s">
        <v>1081</v>
      </c>
      <c r="C152" s="81" t="s">
        <v>1435</v>
      </c>
      <c r="D152" s="81">
        <v>1</v>
      </c>
      <c r="E152" s="110">
        <f t="shared" si="1"/>
        <v>48208.401598637276</v>
      </c>
      <c r="F152" s="110">
        <v>47304.8784208</v>
      </c>
      <c r="G152" s="509"/>
    </row>
    <row r="153" spans="1:7" ht="29.25" customHeight="1" x14ac:dyDescent="0.2">
      <c r="A153" s="79" t="s">
        <v>2157</v>
      </c>
      <c r="B153" s="80" t="s">
        <v>2158</v>
      </c>
      <c r="C153" s="81" t="s">
        <v>2156</v>
      </c>
      <c r="D153" s="81">
        <v>1</v>
      </c>
      <c r="E153" s="110">
        <f t="shared" si="1"/>
        <v>99769.889999999985</v>
      </c>
      <c r="F153" s="110">
        <v>97900</v>
      </c>
      <c r="G153" s="509"/>
    </row>
    <row r="154" spans="1:7" ht="29.25" customHeight="1" x14ac:dyDescent="0.2">
      <c r="A154" s="79" t="s">
        <v>2873</v>
      </c>
      <c r="B154" s="80" t="s">
        <v>2928</v>
      </c>
      <c r="C154" s="81" t="s">
        <v>2156</v>
      </c>
      <c r="D154" s="81">
        <v>1</v>
      </c>
      <c r="E154" s="110">
        <f t="shared" si="1"/>
        <v>88410.783669284981</v>
      </c>
      <c r="F154" s="110">
        <v>86753.786349999995</v>
      </c>
      <c r="G154" s="509"/>
    </row>
    <row r="155" spans="1:7" ht="29.25" customHeight="1" x14ac:dyDescent="0.2">
      <c r="A155" s="79" t="s">
        <v>555</v>
      </c>
      <c r="B155" s="80" t="s">
        <v>2928</v>
      </c>
      <c r="C155" s="81" t="s">
        <v>2156</v>
      </c>
      <c r="D155" s="81">
        <v>1</v>
      </c>
      <c r="E155" s="110">
        <f t="shared" si="1"/>
        <v>82704.194264999984</v>
      </c>
      <c r="F155" s="110">
        <v>81154.149999999994</v>
      </c>
      <c r="G155" s="509"/>
    </row>
    <row r="156" spans="1:7" ht="29.25" customHeight="1" x14ac:dyDescent="0.2">
      <c r="A156" s="79" t="s">
        <v>2686</v>
      </c>
      <c r="B156" s="80" t="s">
        <v>2687</v>
      </c>
      <c r="C156" s="81" t="s">
        <v>2156</v>
      </c>
      <c r="D156" s="81">
        <v>1</v>
      </c>
      <c r="E156" s="110">
        <f t="shared" si="1"/>
        <v>111664.35427388999</v>
      </c>
      <c r="F156" s="110">
        <v>109571.5379</v>
      </c>
      <c r="G156" s="509"/>
    </row>
    <row r="157" spans="1:7" ht="29.25" customHeight="1" x14ac:dyDescent="0.2">
      <c r="A157" s="79" t="s">
        <v>2688</v>
      </c>
      <c r="B157" s="80" t="s">
        <v>2712</v>
      </c>
      <c r="C157" s="81" t="s">
        <v>2156</v>
      </c>
      <c r="D157" s="81">
        <v>1</v>
      </c>
      <c r="E157" s="110">
        <f t="shared" si="1"/>
        <v>185674.44954844497</v>
      </c>
      <c r="F157" s="110">
        <v>182194.53394999998</v>
      </c>
      <c r="G157" s="509"/>
    </row>
    <row r="158" spans="1:7" ht="29.25" customHeight="1" x14ac:dyDescent="0.2">
      <c r="A158" s="79" t="s">
        <v>2692</v>
      </c>
      <c r="B158" s="80" t="s">
        <v>2713</v>
      </c>
      <c r="C158" s="81" t="s">
        <v>2156</v>
      </c>
      <c r="D158" s="81">
        <v>1</v>
      </c>
      <c r="E158" s="110">
        <f t="shared" si="1"/>
        <v>107375.66401613812</v>
      </c>
      <c r="F158" s="110">
        <v>105363.22639204998</v>
      </c>
      <c r="G158" s="509"/>
    </row>
    <row r="159" spans="1:7" ht="29.25" customHeight="1" x14ac:dyDescent="0.2">
      <c r="A159" s="79" t="s">
        <v>629</v>
      </c>
      <c r="B159" s="82" t="s">
        <v>1296</v>
      </c>
      <c r="C159" s="81" t="s">
        <v>1435</v>
      </c>
      <c r="D159" s="81">
        <v>1</v>
      </c>
      <c r="E159" s="110">
        <f t="shared" si="1"/>
        <v>93478.661389921646</v>
      </c>
      <c r="F159" s="110">
        <v>91726.681768149996</v>
      </c>
      <c r="G159" s="509"/>
    </row>
    <row r="160" spans="1:7" ht="29.25" customHeight="1" x14ac:dyDescent="0.2">
      <c r="A160" s="79" t="s">
        <v>2227</v>
      </c>
      <c r="B160" s="80" t="s">
        <v>3223</v>
      </c>
      <c r="C160" s="81" t="s">
        <v>1435</v>
      </c>
      <c r="D160" s="81">
        <v>1</v>
      </c>
      <c r="E160" s="110">
        <f t="shared" si="1"/>
        <v>2248.3173857759998</v>
      </c>
      <c r="F160" s="110">
        <v>2206.1793600000001</v>
      </c>
      <c r="G160" s="509"/>
    </row>
    <row r="161" spans="1:7" ht="29.25" customHeight="1" x14ac:dyDescent="0.2">
      <c r="A161" s="79" t="s">
        <v>611</v>
      </c>
      <c r="B161" s="80" t="s">
        <v>612</v>
      </c>
      <c r="C161" s="81" t="s">
        <v>2156</v>
      </c>
      <c r="D161" s="81">
        <v>1</v>
      </c>
      <c r="E161" s="110">
        <f t="shared" si="1"/>
        <v>107375.66401613812</v>
      </c>
      <c r="F161" s="110">
        <v>105363.22639204998</v>
      </c>
      <c r="G161" s="509"/>
    </row>
    <row r="162" spans="1:7" ht="29.25" customHeight="1" x14ac:dyDescent="0.2">
      <c r="A162" s="79" t="s">
        <v>841</v>
      </c>
      <c r="B162" s="80" t="s">
        <v>842</v>
      </c>
      <c r="C162" s="81" t="s">
        <v>1412</v>
      </c>
      <c r="D162" s="81">
        <v>1</v>
      </c>
      <c r="E162" s="110">
        <f t="shared" si="1"/>
        <v>1191118.4433145879</v>
      </c>
      <c r="F162" s="110">
        <v>1168794.4689574998</v>
      </c>
      <c r="G162" s="509"/>
    </row>
    <row r="163" spans="1:7" ht="29.25" customHeight="1" x14ac:dyDescent="0.2">
      <c r="A163" s="79" t="s">
        <v>560</v>
      </c>
      <c r="B163" s="80" t="s">
        <v>2874</v>
      </c>
      <c r="C163" s="81" t="s">
        <v>561</v>
      </c>
      <c r="D163" s="81">
        <v>1</v>
      </c>
      <c r="E163" s="110">
        <f t="shared" si="1"/>
        <v>119100.77533018499</v>
      </c>
      <c r="F163" s="110">
        <v>116868.58534999999</v>
      </c>
      <c r="G163" s="509"/>
    </row>
    <row r="164" spans="1:7" ht="29.25" customHeight="1" x14ac:dyDescent="0.2">
      <c r="A164" s="79" t="s">
        <v>2234</v>
      </c>
      <c r="B164" s="80" t="s">
        <v>2875</v>
      </c>
      <c r="C164" s="81" t="s">
        <v>1424</v>
      </c>
      <c r="D164" s="81">
        <v>1</v>
      </c>
      <c r="E164" s="110">
        <f t="shared" si="1"/>
        <v>80495.804564999984</v>
      </c>
      <c r="F164" s="110">
        <v>78987.149999999994</v>
      </c>
      <c r="G164" s="509"/>
    </row>
    <row r="165" spans="1:7" ht="29.25" customHeight="1" x14ac:dyDescent="0.2">
      <c r="A165" s="79" t="s">
        <v>2142</v>
      </c>
      <c r="B165" s="80" t="s">
        <v>2143</v>
      </c>
      <c r="C165" s="81" t="s">
        <v>1424</v>
      </c>
      <c r="D165" s="81">
        <v>1</v>
      </c>
      <c r="E165" s="110">
        <f t="shared" si="1"/>
        <v>3843.0260999999996</v>
      </c>
      <c r="F165" s="110">
        <v>3771</v>
      </c>
      <c r="G165" s="509"/>
    </row>
    <row r="166" spans="1:7" ht="29.25" customHeight="1" x14ac:dyDescent="0.2">
      <c r="A166" s="79" t="s">
        <v>513</v>
      </c>
      <c r="B166" s="80" t="s">
        <v>2876</v>
      </c>
      <c r="C166" s="81" t="s">
        <v>1435</v>
      </c>
      <c r="D166" s="81">
        <v>1</v>
      </c>
      <c r="E166" s="110">
        <f t="shared" si="1"/>
        <v>12127.289999999999</v>
      </c>
      <c r="F166" s="110">
        <v>11900</v>
      </c>
      <c r="G166" s="509"/>
    </row>
    <row r="167" spans="1:7" ht="29.25" customHeight="1" x14ac:dyDescent="0.2">
      <c r="A167" s="79" t="s">
        <v>607</v>
      </c>
      <c r="B167" s="80" t="s">
        <v>2877</v>
      </c>
      <c r="C167" s="81" t="s">
        <v>1435</v>
      </c>
      <c r="D167" s="81">
        <v>1</v>
      </c>
      <c r="E167" s="110">
        <f t="shared" si="1"/>
        <v>83464.289999999994</v>
      </c>
      <c r="F167" s="110">
        <v>81900</v>
      </c>
      <c r="G167" s="509"/>
    </row>
    <row r="168" spans="1:7" ht="29.25" customHeight="1" x14ac:dyDescent="0.2">
      <c r="A168" s="79" t="s">
        <v>843</v>
      </c>
      <c r="B168" s="80" t="s">
        <v>2268</v>
      </c>
      <c r="C168" s="81" t="s">
        <v>1412</v>
      </c>
      <c r="D168" s="81">
        <v>1</v>
      </c>
      <c r="E168" s="110">
        <f t="shared" si="1"/>
        <v>26781.841215304998</v>
      </c>
      <c r="F168" s="110">
        <v>26279.895216666668</v>
      </c>
      <c r="G168" s="509"/>
    </row>
    <row r="169" spans="1:7" ht="29.25" customHeight="1" x14ac:dyDescent="0.2">
      <c r="A169" s="79" t="s">
        <v>844</v>
      </c>
      <c r="B169" s="80" t="s">
        <v>2269</v>
      </c>
      <c r="C169" s="81" t="s">
        <v>1412</v>
      </c>
      <c r="D169" s="81">
        <v>1</v>
      </c>
      <c r="E169" s="110">
        <f t="shared" si="1"/>
        <v>47831.067845000005</v>
      </c>
      <c r="F169" s="110">
        <v>46934.616666666676</v>
      </c>
      <c r="G169" s="509"/>
    </row>
    <row r="170" spans="1:7" ht="29.25" customHeight="1" x14ac:dyDescent="0.2">
      <c r="A170" s="79" t="s">
        <v>2859</v>
      </c>
      <c r="B170" s="80" t="s">
        <v>2274</v>
      </c>
      <c r="C170" s="81" t="s">
        <v>1412</v>
      </c>
      <c r="D170" s="81">
        <v>1</v>
      </c>
      <c r="E170" s="110">
        <f t="shared" si="1"/>
        <v>233333.89169662003</v>
      </c>
      <c r="F170" s="110">
        <v>228960.74153333338</v>
      </c>
      <c r="G170" s="509"/>
    </row>
    <row r="171" spans="1:7" s="49" customFormat="1" ht="29.25" customHeight="1" x14ac:dyDescent="0.2">
      <c r="A171" s="79" t="s">
        <v>813</v>
      </c>
      <c r="B171" s="80" t="s">
        <v>43</v>
      </c>
      <c r="C171" s="81" t="s">
        <v>1412</v>
      </c>
      <c r="D171" s="81">
        <v>1</v>
      </c>
      <c r="E171" s="110">
        <f t="shared" si="1"/>
        <v>74083.745071049983</v>
      </c>
      <c r="F171" s="110">
        <v>72695.265499999994</v>
      </c>
      <c r="G171" s="509"/>
    </row>
    <row r="172" spans="1:7" ht="29.25" customHeight="1" x14ac:dyDescent="0.2">
      <c r="A172" s="79" t="s">
        <v>491</v>
      </c>
      <c r="B172" s="80" t="s">
        <v>492</v>
      </c>
      <c r="C172" s="81" t="s">
        <v>1412</v>
      </c>
      <c r="D172" s="81">
        <v>1</v>
      </c>
      <c r="E172" s="110">
        <f t="shared" si="1"/>
        <v>10209.562254275999</v>
      </c>
      <c r="F172" s="110">
        <v>10018.21436</v>
      </c>
      <c r="G172" s="509"/>
    </row>
    <row r="173" spans="1:7" ht="29.25" customHeight="1" x14ac:dyDescent="0.2">
      <c r="A173" s="79" t="s">
        <v>494</v>
      </c>
      <c r="B173" s="80" t="s">
        <v>1253</v>
      </c>
      <c r="C173" s="81" t="s">
        <v>1412</v>
      </c>
      <c r="D173" s="81">
        <v>1</v>
      </c>
      <c r="E173" s="110">
        <f t="shared" si="1"/>
        <v>31278.748354919993</v>
      </c>
      <c r="F173" s="110">
        <v>30692.521199999996</v>
      </c>
      <c r="G173" s="509"/>
    </row>
    <row r="174" spans="1:7" ht="29.25" customHeight="1" x14ac:dyDescent="0.2">
      <c r="A174" s="84" t="s">
        <v>2220</v>
      </c>
      <c r="B174" s="82" t="s">
        <v>1082</v>
      </c>
      <c r="C174" s="83" t="s">
        <v>1424</v>
      </c>
      <c r="D174" s="83">
        <v>1</v>
      </c>
      <c r="E174" s="110">
        <f t="shared" si="1"/>
        <v>46715.039015567992</v>
      </c>
      <c r="F174" s="110">
        <v>45839.504479999996</v>
      </c>
      <c r="G174" s="509"/>
    </row>
    <row r="175" spans="1:7" ht="29.25" customHeight="1" x14ac:dyDescent="0.2">
      <c r="A175" s="79" t="s">
        <v>845</v>
      </c>
      <c r="B175" s="80" t="s">
        <v>2270</v>
      </c>
      <c r="C175" s="81" t="s">
        <v>1412</v>
      </c>
      <c r="D175" s="81">
        <v>1</v>
      </c>
      <c r="E175" s="110">
        <f t="shared" si="1"/>
        <v>74083.984313267501</v>
      </c>
      <c r="F175" s="110">
        <v>72695.500258333341</v>
      </c>
      <c r="G175" s="509"/>
    </row>
    <row r="176" spans="1:7" ht="29.25" customHeight="1" x14ac:dyDescent="0.2">
      <c r="A176" s="79" t="s">
        <v>488</v>
      </c>
      <c r="B176" s="80" t="s">
        <v>489</v>
      </c>
      <c r="C176" s="81" t="s">
        <v>2112</v>
      </c>
      <c r="D176" s="81">
        <v>1</v>
      </c>
      <c r="E176" s="110">
        <f t="shared" si="1"/>
        <v>50396.024926932289</v>
      </c>
      <c r="F176" s="110">
        <v>49451.501252999995</v>
      </c>
      <c r="G176" s="509"/>
    </row>
    <row r="177" spans="1:7" ht="29.25" customHeight="1" x14ac:dyDescent="0.2">
      <c r="A177" s="79" t="s">
        <v>846</v>
      </c>
      <c r="B177" s="80" t="s">
        <v>2271</v>
      </c>
      <c r="C177" s="81" t="s">
        <v>1412</v>
      </c>
      <c r="D177" s="81">
        <v>1</v>
      </c>
      <c r="E177" s="110">
        <f t="shared" si="1"/>
        <v>108203.10829058499</v>
      </c>
      <c r="F177" s="110">
        <v>106175.16268333333</v>
      </c>
      <c r="G177" s="509"/>
    </row>
    <row r="178" spans="1:7" ht="29.25" customHeight="1" x14ac:dyDescent="0.2">
      <c r="A178" s="79" t="s">
        <v>502</v>
      </c>
      <c r="B178" s="80" t="s">
        <v>2925</v>
      </c>
      <c r="C178" s="81" t="s">
        <v>1435</v>
      </c>
      <c r="D178" s="81">
        <v>1</v>
      </c>
      <c r="E178" s="110">
        <f t="shared" si="1"/>
        <v>44014.586964562499</v>
      </c>
      <c r="F178" s="110">
        <v>43189.664375</v>
      </c>
      <c r="G178" s="509"/>
    </row>
    <row r="179" spans="1:7" ht="29.25" customHeight="1" x14ac:dyDescent="0.2">
      <c r="A179" s="79" t="s">
        <v>2926</v>
      </c>
      <c r="B179" s="80" t="s">
        <v>2927</v>
      </c>
      <c r="C179" s="81" t="s">
        <v>1435</v>
      </c>
      <c r="D179" s="81">
        <v>2</v>
      </c>
      <c r="E179" s="110">
        <f t="shared" si="1"/>
        <v>41002.729881959989</v>
      </c>
      <c r="F179" s="110">
        <v>40234.255599999997</v>
      </c>
      <c r="G179" s="509"/>
    </row>
    <row r="180" spans="1:7" ht="29.25" customHeight="1" x14ac:dyDescent="0.2">
      <c r="A180" s="79" t="s">
        <v>503</v>
      </c>
      <c r="B180" s="80" t="s">
        <v>504</v>
      </c>
      <c r="C180" s="81" t="s">
        <v>1424</v>
      </c>
      <c r="D180" s="81">
        <v>1</v>
      </c>
      <c r="E180" s="110">
        <f t="shared" si="1"/>
        <v>43792.809428939989</v>
      </c>
      <c r="F180" s="110">
        <v>42972.043399999995</v>
      </c>
      <c r="G180" s="509"/>
    </row>
    <row r="181" spans="1:7" ht="29.25" customHeight="1" x14ac:dyDescent="0.2">
      <c r="A181" s="79" t="s">
        <v>2192</v>
      </c>
      <c r="B181" s="80" t="s">
        <v>2193</v>
      </c>
      <c r="C181" s="81" t="s">
        <v>1412</v>
      </c>
      <c r="D181" s="81">
        <v>1</v>
      </c>
      <c r="E181" s="110">
        <f t="shared" si="1"/>
        <v>8460.7605347429999</v>
      </c>
      <c r="F181" s="110">
        <v>8302.1887299999999</v>
      </c>
      <c r="G181" s="509"/>
    </row>
    <row r="182" spans="1:7" ht="29.25" customHeight="1" x14ac:dyDescent="0.2">
      <c r="A182" s="79" t="s">
        <v>847</v>
      </c>
      <c r="B182" s="80" t="s">
        <v>2272</v>
      </c>
      <c r="C182" s="81" t="s">
        <v>1412</v>
      </c>
      <c r="D182" s="81">
        <v>1</v>
      </c>
      <c r="E182" s="110">
        <f t="shared" si="1"/>
        <v>155697.76776064499</v>
      </c>
      <c r="F182" s="110">
        <v>152779.67595</v>
      </c>
      <c r="G182" s="509"/>
    </row>
    <row r="183" spans="1:7" s="49" customFormat="1" ht="29.25" customHeight="1" x14ac:dyDescent="0.2">
      <c r="A183" s="79" t="s">
        <v>1090</v>
      </c>
      <c r="B183" s="80" t="s">
        <v>2274</v>
      </c>
      <c r="C183" s="81" t="s">
        <v>1412</v>
      </c>
      <c r="D183" s="81">
        <v>1</v>
      </c>
      <c r="E183" s="110">
        <f t="shared" si="1"/>
        <v>233333.89169662003</v>
      </c>
      <c r="F183" s="110">
        <v>228960.74153333338</v>
      </c>
      <c r="G183" s="509"/>
    </row>
    <row r="184" spans="1:7" ht="29.25" customHeight="1" x14ac:dyDescent="0.2">
      <c r="A184" s="79" t="s">
        <v>664</v>
      </c>
      <c r="B184" s="80" t="s">
        <v>2656</v>
      </c>
      <c r="C184" s="81" t="s">
        <v>1412</v>
      </c>
      <c r="D184" s="81">
        <v>1</v>
      </c>
      <c r="E184" s="110">
        <f t="shared" ref="E184:E247" si="2">+F184*(1+($F$2/100))</f>
        <v>29244.840698378179</v>
      </c>
      <c r="F184" s="110">
        <v>28696.733096239997</v>
      </c>
      <c r="G184" s="509"/>
    </row>
    <row r="185" spans="1:7" ht="29.25" customHeight="1" x14ac:dyDescent="0.2">
      <c r="A185" s="79" t="s">
        <v>848</v>
      </c>
      <c r="B185" s="80" t="s">
        <v>2273</v>
      </c>
      <c r="C185" s="81" t="s">
        <v>1412</v>
      </c>
      <c r="D185" s="81">
        <v>1</v>
      </c>
      <c r="E185" s="110">
        <f t="shared" si="2"/>
        <v>285392.46453044243</v>
      </c>
      <c r="F185" s="110">
        <v>280043.63117499999</v>
      </c>
      <c r="G185" s="509"/>
    </row>
    <row r="186" spans="1:7" ht="29.25" customHeight="1" x14ac:dyDescent="0.2">
      <c r="A186" s="84" t="s">
        <v>817</v>
      </c>
      <c r="B186" s="82" t="s">
        <v>322</v>
      </c>
      <c r="C186" s="83" t="s">
        <v>1412</v>
      </c>
      <c r="D186" s="83">
        <v>1</v>
      </c>
      <c r="E186" s="110">
        <f t="shared" si="2"/>
        <v>90433.558214999983</v>
      </c>
      <c r="F186" s="110">
        <v>88738.65</v>
      </c>
      <c r="G186" s="509"/>
    </row>
    <row r="187" spans="1:7" ht="29.25" customHeight="1" x14ac:dyDescent="0.2">
      <c r="A187" s="79" t="s">
        <v>818</v>
      </c>
      <c r="B187" s="82" t="s">
        <v>2878</v>
      </c>
      <c r="C187" s="81" t="s">
        <v>1435</v>
      </c>
      <c r="D187" s="81">
        <v>1</v>
      </c>
      <c r="E187" s="110">
        <f t="shared" si="2"/>
        <v>9827.3341649999984</v>
      </c>
      <c r="F187" s="110">
        <v>9643.15</v>
      </c>
      <c r="G187" s="509"/>
    </row>
    <row r="188" spans="1:7" ht="29.25" customHeight="1" x14ac:dyDescent="0.2">
      <c r="A188" s="79" t="s">
        <v>556</v>
      </c>
      <c r="B188" s="80" t="s">
        <v>557</v>
      </c>
      <c r="C188" s="81" t="s">
        <v>1414</v>
      </c>
      <c r="D188" s="81">
        <v>1</v>
      </c>
      <c r="E188" s="110">
        <f t="shared" si="2"/>
        <v>2398.3774658909997</v>
      </c>
      <c r="F188" s="110">
        <v>2353.4270099999999</v>
      </c>
      <c r="G188" s="509"/>
    </row>
    <row r="189" spans="1:7" ht="29.25" customHeight="1" x14ac:dyDescent="0.2">
      <c r="A189" s="79" t="s">
        <v>707</v>
      </c>
      <c r="B189" s="80" t="s">
        <v>708</v>
      </c>
      <c r="C189" s="81" t="s">
        <v>1412</v>
      </c>
      <c r="D189" s="81">
        <v>1</v>
      </c>
      <c r="E189" s="110">
        <f t="shared" si="2"/>
        <v>3914.8795562368796</v>
      </c>
      <c r="F189" s="110">
        <v>3841.5067767999999</v>
      </c>
      <c r="G189" s="509"/>
    </row>
    <row r="190" spans="1:7" ht="29.25" customHeight="1" x14ac:dyDescent="0.2">
      <c r="A190" s="79" t="s">
        <v>2140</v>
      </c>
      <c r="B190" s="80" t="s">
        <v>2141</v>
      </c>
      <c r="C190" s="81" t="s">
        <v>1414</v>
      </c>
      <c r="D190" s="81">
        <v>1</v>
      </c>
      <c r="E190" s="110">
        <f t="shared" si="2"/>
        <v>10174.934703779998</v>
      </c>
      <c r="F190" s="110">
        <v>9984.2357999999986</v>
      </c>
      <c r="G190" s="509"/>
    </row>
    <row r="191" spans="1:7" ht="29.25" customHeight="1" x14ac:dyDescent="0.2">
      <c r="A191" s="79" t="s">
        <v>810</v>
      </c>
      <c r="B191" s="80" t="s">
        <v>41</v>
      </c>
      <c r="C191" s="81" t="s">
        <v>1412</v>
      </c>
      <c r="D191" s="81">
        <v>1</v>
      </c>
      <c r="E191" s="110">
        <f t="shared" si="2"/>
        <v>11453.813179049999</v>
      </c>
      <c r="F191" s="110">
        <v>11239.145500000001</v>
      </c>
      <c r="G191" s="509"/>
    </row>
    <row r="192" spans="1:7" ht="29.25" customHeight="1" x14ac:dyDescent="0.2">
      <c r="A192" s="79" t="s">
        <v>811</v>
      </c>
      <c r="B192" s="80" t="s">
        <v>42</v>
      </c>
      <c r="C192" s="81" t="s">
        <v>1412</v>
      </c>
      <c r="D192" s="81">
        <v>1</v>
      </c>
      <c r="E192" s="110">
        <f t="shared" si="2"/>
        <v>19726.551414735</v>
      </c>
      <c r="F192" s="110">
        <v>19356.835850000003</v>
      </c>
      <c r="G192" s="509"/>
    </row>
    <row r="193" spans="1:7" ht="29.25" customHeight="1" x14ac:dyDescent="0.2">
      <c r="A193" s="79" t="s">
        <v>812</v>
      </c>
      <c r="B193" s="80" t="s">
        <v>44</v>
      </c>
      <c r="C193" s="81" t="s">
        <v>1412</v>
      </c>
      <c r="D193" s="81">
        <v>1</v>
      </c>
      <c r="E193" s="110">
        <f t="shared" si="2"/>
        <v>48538.418055270005</v>
      </c>
      <c r="F193" s="110">
        <v>47628.709700000007</v>
      </c>
      <c r="G193" s="509"/>
    </row>
    <row r="194" spans="1:7" ht="29.25" customHeight="1" x14ac:dyDescent="0.2">
      <c r="A194" s="79" t="s">
        <v>1004</v>
      </c>
      <c r="B194" s="80" t="s">
        <v>1008</v>
      </c>
      <c r="C194" s="81" t="s">
        <v>1435</v>
      </c>
      <c r="D194" s="81">
        <v>1</v>
      </c>
      <c r="E194" s="110">
        <f t="shared" si="2"/>
        <v>1094.1811277443198</v>
      </c>
      <c r="F194" s="110">
        <v>1073.6739551999999</v>
      </c>
      <c r="G194" s="509"/>
    </row>
    <row r="195" spans="1:7" ht="29.25" customHeight="1" x14ac:dyDescent="0.2">
      <c r="A195" s="79" t="s">
        <v>2149</v>
      </c>
      <c r="B195" s="80" t="s">
        <v>2150</v>
      </c>
      <c r="C195" s="81" t="s">
        <v>1432</v>
      </c>
      <c r="D195" s="81">
        <v>1</v>
      </c>
      <c r="E195" s="110">
        <f t="shared" si="2"/>
        <v>49247.090309999992</v>
      </c>
      <c r="F195" s="110">
        <v>48324.1</v>
      </c>
      <c r="G195" s="509"/>
    </row>
    <row r="196" spans="1:7" ht="29.25" customHeight="1" x14ac:dyDescent="0.2">
      <c r="A196" s="79" t="s">
        <v>974</v>
      </c>
      <c r="B196" s="80" t="s">
        <v>2879</v>
      </c>
      <c r="C196" s="81" t="s">
        <v>1414</v>
      </c>
      <c r="D196" s="81">
        <v>1</v>
      </c>
      <c r="E196" s="110">
        <f t="shared" si="2"/>
        <v>14878.859999999999</v>
      </c>
      <c r="F196" s="110">
        <v>14600</v>
      </c>
      <c r="G196" s="509"/>
    </row>
    <row r="197" spans="1:7" ht="29.25" customHeight="1" x14ac:dyDescent="0.2">
      <c r="A197" s="79" t="s">
        <v>890</v>
      </c>
      <c r="B197" s="80" t="s">
        <v>891</v>
      </c>
      <c r="C197" s="81" t="s">
        <v>1412</v>
      </c>
      <c r="D197" s="81">
        <v>1</v>
      </c>
      <c r="E197" s="110">
        <f t="shared" si="2"/>
        <v>3025.7078999999999</v>
      </c>
      <c r="F197" s="110">
        <v>2969</v>
      </c>
      <c r="G197" s="509"/>
    </row>
    <row r="198" spans="1:7" ht="29.25" customHeight="1" x14ac:dyDescent="0.2">
      <c r="A198" s="79" t="s">
        <v>505</v>
      </c>
      <c r="B198" s="80" t="s">
        <v>506</v>
      </c>
      <c r="C198" s="81" t="s">
        <v>1435</v>
      </c>
      <c r="D198" s="81">
        <v>1</v>
      </c>
      <c r="E198" s="110">
        <f t="shared" si="2"/>
        <v>4069.5101196749997</v>
      </c>
      <c r="F198" s="110">
        <v>3993.2392500000001</v>
      </c>
      <c r="G198" s="509"/>
    </row>
    <row r="199" spans="1:7" ht="29.25" customHeight="1" x14ac:dyDescent="0.2">
      <c r="A199" s="79" t="s">
        <v>596</v>
      </c>
      <c r="B199" s="80" t="s">
        <v>316</v>
      </c>
      <c r="C199" s="81" t="s">
        <v>1435</v>
      </c>
      <c r="D199" s="81">
        <v>1</v>
      </c>
      <c r="E199" s="110">
        <f t="shared" si="2"/>
        <v>96396.210404999991</v>
      </c>
      <c r="F199" s="110">
        <v>94589.55</v>
      </c>
      <c r="G199" s="509"/>
    </row>
    <row r="200" spans="1:7" ht="29.25" customHeight="1" x14ac:dyDescent="0.2">
      <c r="A200" s="79" t="s">
        <v>600</v>
      </c>
      <c r="B200" s="80" t="s">
        <v>317</v>
      </c>
      <c r="C200" s="81" t="s">
        <v>1424</v>
      </c>
      <c r="D200" s="81">
        <v>1</v>
      </c>
      <c r="E200" s="110">
        <f t="shared" si="2"/>
        <v>62580.892799999994</v>
      </c>
      <c r="F200" s="110">
        <v>61408</v>
      </c>
      <c r="G200" s="509"/>
    </row>
    <row r="201" spans="1:7" ht="29.25" customHeight="1" x14ac:dyDescent="0.2">
      <c r="A201" s="79" t="s">
        <v>2694</v>
      </c>
      <c r="B201" s="80" t="s">
        <v>2714</v>
      </c>
      <c r="C201" s="81" t="s">
        <v>1424</v>
      </c>
      <c r="D201" s="81">
        <v>1</v>
      </c>
      <c r="E201" s="110">
        <f t="shared" si="2"/>
        <v>16101.779999999999</v>
      </c>
      <c r="F201" s="110">
        <v>15800</v>
      </c>
      <c r="G201" s="509"/>
    </row>
    <row r="202" spans="1:7" ht="29.25" customHeight="1" x14ac:dyDescent="0.2">
      <c r="A202" s="79" t="s">
        <v>589</v>
      </c>
      <c r="B202" s="80" t="s">
        <v>397</v>
      </c>
      <c r="C202" s="81" t="s">
        <v>1435</v>
      </c>
      <c r="D202" s="81">
        <v>1</v>
      </c>
      <c r="E202" s="110">
        <f t="shared" si="2"/>
        <v>166011.38999999998</v>
      </c>
      <c r="F202" s="110">
        <v>162900</v>
      </c>
      <c r="G202" s="509"/>
    </row>
    <row r="203" spans="1:7" ht="29.25" customHeight="1" x14ac:dyDescent="0.2">
      <c r="A203" s="79" t="s">
        <v>514</v>
      </c>
      <c r="B203" s="80" t="s">
        <v>515</v>
      </c>
      <c r="C203" s="81" t="s">
        <v>1424</v>
      </c>
      <c r="D203" s="81">
        <v>1</v>
      </c>
      <c r="E203" s="110">
        <f t="shared" si="2"/>
        <v>31975.109941267347</v>
      </c>
      <c r="F203" s="110">
        <v>31375.831558499998</v>
      </c>
      <c r="G203" s="509"/>
    </row>
    <row r="204" spans="1:7" ht="29.25" customHeight="1" x14ac:dyDescent="0.2">
      <c r="A204" s="79" t="s">
        <v>2119</v>
      </c>
      <c r="B204" s="80" t="s">
        <v>2120</v>
      </c>
      <c r="C204" s="81" t="s">
        <v>1432</v>
      </c>
      <c r="D204" s="81">
        <v>1</v>
      </c>
      <c r="E204" s="110">
        <f t="shared" si="2"/>
        <v>13083.720718109247</v>
      </c>
      <c r="F204" s="110">
        <v>12838.505267499999</v>
      </c>
      <c r="G204" s="509"/>
    </row>
    <row r="205" spans="1:7" ht="29.25" customHeight="1" x14ac:dyDescent="0.2">
      <c r="A205" s="79" t="s">
        <v>2130</v>
      </c>
      <c r="B205" s="80" t="s">
        <v>2922</v>
      </c>
      <c r="C205" s="81" t="s">
        <v>1432</v>
      </c>
      <c r="D205" s="81">
        <v>1</v>
      </c>
      <c r="E205" s="110">
        <f t="shared" si="2"/>
        <v>79637.100387123661</v>
      </c>
      <c r="F205" s="110">
        <v>78144.539679249996</v>
      </c>
      <c r="G205" s="509"/>
    </row>
    <row r="206" spans="1:7" ht="29.25" customHeight="1" x14ac:dyDescent="0.2">
      <c r="A206" s="79" t="s">
        <v>517</v>
      </c>
      <c r="B206" s="80" t="s">
        <v>438</v>
      </c>
      <c r="C206" s="81" t="s">
        <v>1424</v>
      </c>
      <c r="D206" s="81">
        <v>1</v>
      </c>
      <c r="E206" s="110">
        <f t="shared" si="2"/>
        <v>42289.70762645475</v>
      </c>
      <c r="F206" s="110">
        <v>41497.112772500004</v>
      </c>
      <c r="G206" s="509"/>
    </row>
    <row r="207" spans="1:7" ht="29.25" customHeight="1" x14ac:dyDescent="0.2">
      <c r="A207" s="79" t="s">
        <v>977</v>
      </c>
      <c r="B207" s="80" t="s">
        <v>3224</v>
      </c>
      <c r="C207" s="81" t="s">
        <v>1414</v>
      </c>
      <c r="D207" s="81">
        <v>1</v>
      </c>
      <c r="E207" s="110">
        <f t="shared" si="2"/>
        <v>5300.1352799999995</v>
      </c>
      <c r="F207" s="110">
        <v>5200.8</v>
      </c>
      <c r="G207" s="509"/>
    </row>
    <row r="208" spans="1:7" ht="29.25" customHeight="1" x14ac:dyDescent="0.2">
      <c r="A208" s="79" t="s">
        <v>678</v>
      </c>
      <c r="B208" s="80" t="s">
        <v>679</v>
      </c>
      <c r="C208" s="81" t="s">
        <v>1424</v>
      </c>
      <c r="D208" s="81">
        <v>1</v>
      </c>
      <c r="E208" s="110">
        <f t="shared" si="2"/>
        <v>4631.5338146985587</v>
      </c>
      <c r="F208" s="110">
        <v>4544.7294815999994</v>
      </c>
      <c r="G208" s="509"/>
    </row>
    <row r="209" spans="1:7" ht="29.25" customHeight="1" x14ac:dyDescent="0.2">
      <c r="A209" s="79" t="s">
        <v>2153</v>
      </c>
      <c r="B209" s="80" t="s">
        <v>3219</v>
      </c>
      <c r="C209" s="81" t="s">
        <v>1424</v>
      </c>
      <c r="D209" s="81">
        <v>1</v>
      </c>
      <c r="E209" s="110">
        <f t="shared" si="2"/>
        <v>8504.5574476799993</v>
      </c>
      <c r="F209" s="110">
        <v>8345.1648000000005</v>
      </c>
      <c r="G209" s="509"/>
    </row>
    <row r="210" spans="1:7" ht="29.25" customHeight="1" x14ac:dyDescent="0.2">
      <c r="A210" s="79" t="s">
        <v>2139</v>
      </c>
      <c r="B210" s="80" t="s">
        <v>2923</v>
      </c>
      <c r="C210" s="81" t="s">
        <v>1424</v>
      </c>
      <c r="D210" s="81">
        <v>1</v>
      </c>
      <c r="E210" s="110">
        <f t="shared" si="2"/>
        <v>6847.1034312911997</v>
      </c>
      <c r="F210" s="110">
        <v>6718.7748320000001</v>
      </c>
      <c r="G210" s="509"/>
    </row>
    <row r="211" spans="1:7" ht="29.25" customHeight="1" x14ac:dyDescent="0.2">
      <c r="A211" s="79" t="s">
        <v>1098</v>
      </c>
      <c r="B211" s="80" t="s">
        <v>1099</v>
      </c>
      <c r="C211" s="81" t="s">
        <v>1435</v>
      </c>
      <c r="D211" s="81">
        <v>1</v>
      </c>
      <c r="E211" s="110">
        <f t="shared" si="2"/>
        <v>1355.4029999999998</v>
      </c>
      <c r="F211" s="110">
        <v>1330</v>
      </c>
      <c r="G211" s="509"/>
    </row>
    <row r="212" spans="1:7" ht="29.25" customHeight="1" x14ac:dyDescent="0.2">
      <c r="A212" s="79" t="s">
        <v>516</v>
      </c>
      <c r="B212" s="80" t="s">
        <v>2528</v>
      </c>
      <c r="C212" s="81" t="s">
        <v>1424</v>
      </c>
      <c r="D212" s="81">
        <v>1</v>
      </c>
      <c r="E212" s="110">
        <f t="shared" si="2"/>
        <v>52643.227075909796</v>
      </c>
      <c r="F212" s="110">
        <v>51656.586278000002</v>
      </c>
      <c r="G212" s="509"/>
    </row>
    <row r="213" spans="1:7" ht="29.25" customHeight="1" x14ac:dyDescent="0.2">
      <c r="A213" s="79" t="s">
        <v>507</v>
      </c>
      <c r="B213" s="80" t="s">
        <v>508</v>
      </c>
      <c r="C213" s="81" t="s">
        <v>1414</v>
      </c>
      <c r="D213" s="81">
        <v>1</v>
      </c>
      <c r="E213" s="110">
        <f t="shared" si="2"/>
        <v>14247.017999999998</v>
      </c>
      <c r="F213" s="110">
        <v>13980</v>
      </c>
      <c r="G213" s="509"/>
    </row>
    <row r="214" spans="1:7" ht="29.25" customHeight="1" x14ac:dyDescent="0.2">
      <c r="A214" s="79" t="s">
        <v>538</v>
      </c>
      <c r="B214" s="80" t="s">
        <v>539</v>
      </c>
      <c r="C214" s="81" t="s">
        <v>2156</v>
      </c>
      <c r="D214" s="81">
        <v>1</v>
      </c>
      <c r="E214" s="110">
        <f t="shared" si="2"/>
        <v>65120.489999999991</v>
      </c>
      <c r="F214" s="110">
        <v>63900</v>
      </c>
      <c r="G214" s="509"/>
    </row>
    <row r="215" spans="1:7" ht="29.25" customHeight="1" x14ac:dyDescent="0.2">
      <c r="A215" s="79" t="s">
        <v>2182</v>
      </c>
      <c r="B215" s="80" t="s">
        <v>2275</v>
      </c>
      <c r="C215" s="81" t="s">
        <v>1435</v>
      </c>
      <c r="D215" s="81">
        <v>1</v>
      </c>
      <c r="E215" s="110">
        <f t="shared" si="2"/>
        <v>68573.680266167983</v>
      </c>
      <c r="F215" s="110">
        <v>67288.470479999989</v>
      </c>
      <c r="G215" s="509"/>
    </row>
    <row r="216" spans="1:7" ht="29.25" customHeight="1" x14ac:dyDescent="0.2">
      <c r="A216" s="79" t="s">
        <v>768</v>
      </c>
      <c r="B216" s="80" t="s">
        <v>1495</v>
      </c>
      <c r="C216" s="81" t="s">
        <v>1435</v>
      </c>
      <c r="D216" s="81">
        <v>1</v>
      </c>
      <c r="E216" s="110">
        <f t="shared" si="2"/>
        <v>70986.284701453071</v>
      </c>
      <c r="F216" s="110">
        <v>69655.857817145603</v>
      </c>
      <c r="G216" s="509"/>
    </row>
    <row r="217" spans="1:7" ht="29.25" customHeight="1" x14ac:dyDescent="0.2">
      <c r="A217" s="79" t="s">
        <v>769</v>
      </c>
      <c r="B217" s="80" t="s">
        <v>318</v>
      </c>
      <c r="C217" s="81" t="s">
        <v>1435</v>
      </c>
      <c r="D217" s="81">
        <v>1</v>
      </c>
      <c r="E217" s="110">
        <f t="shared" si="2"/>
        <v>244150.98028487884</v>
      </c>
      <c r="F217" s="110">
        <v>239575.095952192</v>
      </c>
      <c r="G217" s="509"/>
    </row>
    <row r="218" spans="1:7" ht="29.25" customHeight="1" x14ac:dyDescent="0.2">
      <c r="A218" s="79" t="s">
        <v>601</v>
      </c>
      <c r="B218" s="80" t="s">
        <v>602</v>
      </c>
      <c r="C218" s="81" t="s">
        <v>1435</v>
      </c>
      <c r="D218" s="81">
        <v>1</v>
      </c>
      <c r="E218" s="110">
        <f t="shared" si="2"/>
        <v>74292.39</v>
      </c>
      <c r="F218" s="110">
        <v>72900</v>
      </c>
      <c r="G218" s="509"/>
    </row>
    <row r="219" spans="1:7" ht="29.25" customHeight="1" x14ac:dyDescent="0.2">
      <c r="A219" s="79" t="s">
        <v>681</v>
      </c>
      <c r="B219" s="82" t="s">
        <v>8</v>
      </c>
      <c r="C219" s="81" t="s">
        <v>1424</v>
      </c>
      <c r="D219" s="81">
        <v>1</v>
      </c>
      <c r="E219" s="110">
        <f t="shared" si="2"/>
        <v>118471.33744782335</v>
      </c>
      <c r="F219" s="110">
        <v>116250.94440959999</v>
      </c>
      <c r="G219" s="509"/>
    </row>
    <row r="220" spans="1:7" ht="29.25" customHeight="1" x14ac:dyDescent="0.2">
      <c r="A220" s="79" t="s">
        <v>961</v>
      </c>
      <c r="B220" s="80" t="s">
        <v>58</v>
      </c>
      <c r="C220" s="81" t="s">
        <v>1435</v>
      </c>
      <c r="D220" s="81">
        <v>1</v>
      </c>
      <c r="E220" s="110">
        <f t="shared" si="2"/>
        <v>8743.4565002399995</v>
      </c>
      <c r="F220" s="110">
        <v>8579.5864000000001</v>
      </c>
      <c r="G220" s="509"/>
    </row>
    <row r="221" spans="1:7" ht="29.25" customHeight="1" x14ac:dyDescent="0.2">
      <c r="A221" s="79" t="s">
        <v>536</v>
      </c>
      <c r="B221" s="80" t="s">
        <v>537</v>
      </c>
      <c r="C221" s="81" t="s">
        <v>1412</v>
      </c>
      <c r="D221" s="81">
        <v>1</v>
      </c>
      <c r="E221" s="110">
        <f t="shared" si="2"/>
        <v>12680.5736574</v>
      </c>
      <c r="F221" s="110">
        <v>12442.914000000001</v>
      </c>
      <c r="G221" s="509"/>
    </row>
    <row r="222" spans="1:7" ht="29.25" customHeight="1" x14ac:dyDescent="0.2">
      <c r="A222" s="79" t="s">
        <v>880</v>
      </c>
      <c r="B222" s="80" t="s">
        <v>881</v>
      </c>
      <c r="C222" s="81" t="s">
        <v>1435</v>
      </c>
      <c r="D222" s="81">
        <v>1</v>
      </c>
      <c r="E222" s="110">
        <f t="shared" si="2"/>
        <v>6780.0199590239999</v>
      </c>
      <c r="F222" s="110">
        <v>6652.9486400000005</v>
      </c>
      <c r="G222" s="509"/>
    </row>
    <row r="223" spans="1:7" ht="29.25" customHeight="1" x14ac:dyDescent="0.2">
      <c r="A223" s="79" t="s">
        <v>639</v>
      </c>
      <c r="B223" s="80" t="s">
        <v>640</v>
      </c>
      <c r="C223" s="81" t="s">
        <v>470</v>
      </c>
      <c r="D223" s="81">
        <v>1</v>
      </c>
      <c r="E223" s="110">
        <f t="shared" si="2"/>
        <v>15365.09217672</v>
      </c>
      <c r="F223" s="110">
        <v>15077.119200000001</v>
      </c>
      <c r="G223" s="509"/>
    </row>
    <row r="224" spans="1:7" ht="29.25" customHeight="1" x14ac:dyDescent="0.2">
      <c r="A224" s="79" t="s">
        <v>1009</v>
      </c>
      <c r="B224" s="80" t="s">
        <v>1010</v>
      </c>
      <c r="C224" s="81" t="s">
        <v>1435</v>
      </c>
      <c r="D224" s="81">
        <v>1</v>
      </c>
      <c r="E224" s="110">
        <f t="shared" si="2"/>
        <v>710.71810694807982</v>
      </c>
      <c r="F224" s="110">
        <v>697.39780879999989</v>
      </c>
      <c r="G224" s="509"/>
    </row>
    <row r="225" spans="1:7" ht="29.25" customHeight="1" x14ac:dyDescent="0.2">
      <c r="A225" s="79" t="s">
        <v>2151</v>
      </c>
      <c r="B225" s="80" t="s">
        <v>2152</v>
      </c>
      <c r="C225" s="81" t="s">
        <v>1424</v>
      </c>
      <c r="D225" s="81">
        <v>1</v>
      </c>
      <c r="E225" s="110">
        <f t="shared" si="2"/>
        <v>8118.9238930799993</v>
      </c>
      <c r="F225" s="110">
        <v>7966.7588000000005</v>
      </c>
      <c r="G225" s="509"/>
    </row>
    <row r="226" spans="1:7" ht="29.25" customHeight="1" x14ac:dyDescent="0.2">
      <c r="A226" s="79" t="s">
        <v>654</v>
      </c>
      <c r="B226" s="80" t="s">
        <v>331</v>
      </c>
      <c r="C226" s="81" t="s">
        <v>1435</v>
      </c>
      <c r="D226" s="81">
        <v>1</v>
      </c>
      <c r="E226" s="110">
        <f t="shared" si="2"/>
        <v>2374639.1537472443</v>
      </c>
      <c r="F226" s="110">
        <v>2330133.6019499996</v>
      </c>
      <c r="G226" s="509"/>
    </row>
    <row r="227" spans="1:7" ht="29.25" customHeight="1" x14ac:dyDescent="0.2">
      <c r="A227" s="79" t="s">
        <v>2238</v>
      </c>
      <c r="B227" s="80" t="s">
        <v>2239</v>
      </c>
      <c r="C227" s="81" t="s">
        <v>2069</v>
      </c>
      <c r="D227" s="81">
        <v>1</v>
      </c>
      <c r="E227" s="110">
        <f t="shared" si="2"/>
        <v>8043.979980220799</v>
      </c>
      <c r="F227" s="110">
        <v>7893.2194879999997</v>
      </c>
      <c r="G227" s="509"/>
    </row>
    <row r="228" spans="1:7" ht="29.25" customHeight="1" x14ac:dyDescent="0.2">
      <c r="A228" s="79" t="s">
        <v>2222</v>
      </c>
      <c r="B228" s="80" t="s">
        <v>112</v>
      </c>
      <c r="C228" s="81" t="s">
        <v>2156</v>
      </c>
      <c r="D228" s="81">
        <v>1</v>
      </c>
      <c r="E228" s="110">
        <f t="shared" si="2"/>
        <v>140701.80792227999</v>
      </c>
      <c r="F228" s="110">
        <v>138064.7708</v>
      </c>
      <c r="G228" s="509"/>
    </row>
    <row r="229" spans="1:7" ht="29.25" customHeight="1" x14ac:dyDescent="0.2">
      <c r="A229" s="79" t="s">
        <v>733</v>
      </c>
      <c r="B229" s="80" t="s">
        <v>734</v>
      </c>
      <c r="C229" s="81" t="s">
        <v>1435</v>
      </c>
      <c r="D229" s="81">
        <v>1</v>
      </c>
      <c r="E229" s="110">
        <f t="shared" si="2"/>
        <v>28078.486391827864</v>
      </c>
      <c r="F229" s="110">
        <v>27552.238633919995</v>
      </c>
      <c r="G229" s="509"/>
    </row>
    <row r="230" spans="1:7" ht="29.25" customHeight="1" x14ac:dyDescent="0.2">
      <c r="A230" s="79" t="s">
        <v>731</v>
      </c>
      <c r="B230" s="80" t="s">
        <v>732</v>
      </c>
      <c r="C230" s="81" t="s">
        <v>1435</v>
      </c>
      <c r="D230" s="81">
        <v>1</v>
      </c>
      <c r="E230" s="110">
        <f t="shared" si="2"/>
        <v>17847.018501768456</v>
      </c>
      <c r="F230" s="110">
        <v>17512.529194160001</v>
      </c>
      <c r="G230" s="509"/>
    </row>
    <row r="231" spans="1:7" ht="29.25" customHeight="1" x14ac:dyDescent="0.2">
      <c r="A231" s="79" t="s">
        <v>729</v>
      </c>
      <c r="B231" s="80" t="s">
        <v>730</v>
      </c>
      <c r="C231" s="81" t="s">
        <v>1435</v>
      </c>
      <c r="D231" s="81">
        <v>1</v>
      </c>
      <c r="E231" s="110">
        <f t="shared" si="2"/>
        <v>33351.290287558317</v>
      </c>
      <c r="F231" s="110">
        <v>32726.219495199999</v>
      </c>
      <c r="G231" s="509"/>
    </row>
    <row r="232" spans="1:7" ht="29.25" customHeight="1" x14ac:dyDescent="0.2">
      <c r="A232" s="79" t="s">
        <v>727</v>
      </c>
      <c r="B232" s="80" t="s">
        <v>728</v>
      </c>
      <c r="C232" s="81" t="s">
        <v>1435</v>
      </c>
      <c r="D232" s="81">
        <v>1</v>
      </c>
      <c r="E232" s="110">
        <f t="shared" si="2"/>
        <v>33934.603742645755</v>
      </c>
      <c r="F232" s="110">
        <v>33298.600473599996</v>
      </c>
      <c r="G232" s="509"/>
    </row>
    <row r="233" spans="1:7" ht="29.25" customHeight="1" x14ac:dyDescent="0.2">
      <c r="A233" s="79" t="s">
        <v>747</v>
      </c>
      <c r="B233" s="80" t="s">
        <v>748</v>
      </c>
      <c r="C233" s="81" t="s">
        <v>1435</v>
      </c>
      <c r="D233" s="81">
        <v>1</v>
      </c>
      <c r="E233" s="110">
        <f t="shared" si="2"/>
        <v>3465.8467951799994</v>
      </c>
      <c r="F233" s="110">
        <v>3400.8897999999999</v>
      </c>
      <c r="G233" s="509"/>
    </row>
    <row r="234" spans="1:7" ht="29.25" customHeight="1" x14ac:dyDescent="0.2">
      <c r="A234" s="79" t="s">
        <v>680</v>
      </c>
      <c r="B234" s="80" t="s">
        <v>2285</v>
      </c>
      <c r="C234" s="81" t="s">
        <v>1435</v>
      </c>
      <c r="D234" s="81">
        <v>1</v>
      </c>
      <c r="E234" s="110">
        <f t="shared" si="2"/>
        <v>116075.48999999999</v>
      </c>
      <c r="F234" s="110">
        <v>113900</v>
      </c>
      <c r="G234" s="509"/>
    </row>
    <row r="235" spans="1:7" ht="29.25" customHeight="1" x14ac:dyDescent="0.2">
      <c r="A235" s="79" t="s">
        <v>889</v>
      </c>
      <c r="B235" s="80" t="s">
        <v>2677</v>
      </c>
      <c r="C235" s="81" t="s">
        <v>1435</v>
      </c>
      <c r="D235" s="81">
        <v>1</v>
      </c>
      <c r="E235" s="110">
        <f t="shared" si="2"/>
        <v>58735.878333989996</v>
      </c>
      <c r="F235" s="110">
        <v>57635.048900000002</v>
      </c>
      <c r="G235" s="509"/>
    </row>
    <row r="236" spans="1:7" s="50" customFormat="1" ht="29.25" customHeight="1" x14ac:dyDescent="0.2">
      <c r="A236" s="79" t="s">
        <v>2676</v>
      </c>
      <c r="B236" s="80" t="s">
        <v>2675</v>
      </c>
      <c r="C236" s="81" t="s">
        <v>1435</v>
      </c>
      <c r="D236" s="81">
        <v>1</v>
      </c>
      <c r="E236" s="110">
        <f t="shared" si="2"/>
        <v>98756.316477389992</v>
      </c>
      <c r="F236" s="110">
        <v>96905.422900000005</v>
      </c>
      <c r="G236" s="509"/>
    </row>
    <row r="237" spans="1:7" ht="29.25" customHeight="1" x14ac:dyDescent="0.2">
      <c r="A237" s="79" t="s">
        <v>518</v>
      </c>
      <c r="B237" s="80" t="s">
        <v>519</v>
      </c>
      <c r="C237" s="81" t="s">
        <v>1435</v>
      </c>
      <c r="D237" s="81">
        <v>1</v>
      </c>
      <c r="E237" s="110">
        <f t="shared" si="2"/>
        <v>1834.3799999999999</v>
      </c>
      <c r="F237" s="110">
        <v>1800</v>
      </c>
      <c r="G237" s="509"/>
    </row>
    <row r="238" spans="1:7" ht="29.25" customHeight="1" x14ac:dyDescent="0.2">
      <c r="A238" s="79" t="s">
        <v>1100</v>
      </c>
      <c r="B238" s="80" t="s">
        <v>95</v>
      </c>
      <c r="C238" s="81" t="s">
        <v>1424</v>
      </c>
      <c r="D238" s="81">
        <v>1</v>
      </c>
      <c r="E238" s="110">
        <f t="shared" si="2"/>
        <v>35662.691129999992</v>
      </c>
      <c r="F238" s="110">
        <v>34994.299999999996</v>
      </c>
      <c r="G238" s="509"/>
    </row>
    <row r="239" spans="1:7" ht="29.25" customHeight="1" x14ac:dyDescent="0.2">
      <c r="A239" s="79" t="s">
        <v>972</v>
      </c>
      <c r="B239" s="80" t="s">
        <v>973</v>
      </c>
      <c r="C239" s="81" t="s">
        <v>1435</v>
      </c>
      <c r="D239" s="81">
        <v>1</v>
      </c>
      <c r="E239" s="110">
        <f t="shared" si="2"/>
        <v>425.93123808311992</v>
      </c>
      <c r="F239" s="110">
        <v>417.94842319999998</v>
      </c>
      <c r="G239" s="509"/>
    </row>
    <row r="240" spans="1:7" ht="29.25" customHeight="1" x14ac:dyDescent="0.2">
      <c r="A240" s="79" t="s">
        <v>618</v>
      </c>
      <c r="B240" s="80" t="s">
        <v>619</v>
      </c>
      <c r="C240" s="81" t="s">
        <v>2156</v>
      </c>
      <c r="D240" s="81">
        <v>1</v>
      </c>
      <c r="E240" s="110">
        <f t="shared" si="2"/>
        <v>56769.192469875597</v>
      </c>
      <c r="F240" s="110">
        <v>55705.222716000004</v>
      </c>
      <c r="G240" s="509"/>
    </row>
    <row r="241" spans="1:7" ht="29.25" customHeight="1" x14ac:dyDescent="0.2">
      <c r="A241" s="79" t="s">
        <v>627</v>
      </c>
      <c r="B241" s="80" t="s">
        <v>628</v>
      </c>
      <c r="C241" s="81" t="s">
        <v>1435</v>
      </c>
      <c r="D241" s="81">
        <v>1</v>
      </c>
      <c r="E241" s="110">
        <f t="shared" si="2"/>
        <v>7994.0173716479994</v>
      </c>
      <c r="F241" s="110">
        <v>7844.1932800000004</v>
      </c>
      <c r="G241" s="509"/>
    </row>
    <row r="242" spans="1:7" ht="29.25" customHeight="1" x14ac:dyDescent="0.2">
      <c r="A242" s="79" t="s">
        <v>986</v>
      </c>
      <c r="B242" s="80" t="s">
        <v>2224</v>
      </c>
      <c r="C242" s="81" t="s">
        <v>2543</v>
      </c>
      <c r="D242" s="81">
        <v>1</v>
      </c>
      <c r="E242" s="110">
        <f t="shared" si="2"/>
        <v>48896.417999999998</v>
      </c>
      <c r="F242" s="110">
        <v>47980</v>
      </c>
      <c r="G242" s="509"/>
    </row>
    <row r="243" spans="1:7" ht="29.25" customHeight="1" x14ac:dyDescent="0.2">
      <c r="A243" s="79" t="s">
        <v>735</v>
      </c>
      <c r="B243" s="80" t="s">
        <v>2257</v>
      </c>
      <c r="C243" s="81" t="s">
        <v>1412</v>
      </c>
      <c r="D243" s="81">
        <v>1</v>
      </c>
      <c r="E243" s="110">
        <f t="shared" si="2"/>
        <v>48437.822999999997</v>
      </c>
      <c r="F243" s="110">
        <v>47530</v>
      </c>
      <c r="G243" s="509"/>
    </row>
    <row r="244" spans="1:7" ht="29.25" customHeight="1" x14ac:dyDescent="0.2">
      <c r="A244" s="79" t="s">
        <v>726</v>
      </c>
      <c r="B244" s="80" t="s">
        <v>2032</v>
      </c>
      <c r="C244" s="81" t="s">
        <v>1435</v>
      </c>
      <c r="D244" s="81">
        <v>1</v>
      </c>
      <c r="E244" s="110">
        <f t="shared" si="2"/>
        <v>45814.970042318389</v>
      </c>
      <c r="F244" s="110">
        <v>44956.304623999997</v>
      </c>
      <c r="G244" s="509"/>
    </row>
    <row r="245" spans="1:7" ht="29.25" customHeight="1" x14ac:dyDescent="0.2">
      <c r="A245" s="79" t="s">
        <v>725</v>
      </c>
      <c r="B245" s="80" t="s">
        <v>2031</v>
      </c>
      <c r="C245" s="81" t="s">
        <v>1435</v>
      </c>
      <c r="D245" s="81">
        <v>1</v>
      </c>
      <c r="E245" s="110">
        <f t="shared" si="2"/>
        <v>23626.501373243998</v>
      </c>
      <c r="F245" s="110">
        <v>23183.69284</v>
      </c>
      <c r="G245" s="509"/>
    </row>
    <row r="246" spans="1:7" ht="29.25" customHeight="1" x14ac:dyDescent="0.2">
      <c r="A246" s="79" t="s">
        <v>724</v>
      </c>
      <c r="B246" s="80" t="s">
        <v>2034</v>
      </c>
      <c r="C246" s="81" t="s">
        <v>1435</v>
      </c>
      <c r="D246" s="81">
        <v>1</v>
      </c>
      <c r="E246" s="110">
        <f t="shared" si="2"/>
        <v>72975.460283325607</v>
      </c>
      <c r="F246" s="110">
        <v>71607.752216000008</v>
      </c>
      <c r="G246" s="509"/>
    </row>
    <row r="247" spans="1:7" ht="29.25" customHeight="1" x14ac:dyDescent="0.2">
      <c r="A247" s="79" t="s">
        <v>976</v>
      </c>
      <c r="B247" s="80" t="s">
        <v>2480</v>
      </c>
      <c r="C247" s="81" t="s">
        <v>1435</v>
      </c>
      <c r="D247" s="81">
        <v>1</v>
      </c>
      <c r="E247" s="110">
        <f t="shared" si="2"/>
        <v>35710.774477408791</v>
      </c>
      <c r="F247" s="110">
        <v>35041.482167999995</v>
      </c>
      <c r="G247" s="509"/>
    </row>
    <row r="248" spans="1:7" ht="29.25" customHeight="1" x14ac:dyDescent="0.2">
      <c r="A248" s="79" t="s">
        <v>526</v>
      </c>
      <c r="B248" s="80" t="s">
        <v>527</v>
      </c>
      <c r="C248" s="81" t="s">
        <v>1424</v>
      </c>
      <c r="D248" s="81">
        <v>1</v>
      </c>
      <c r="E248" s="110">
        <f t="shared" ref="E248:E311" si="3">+F248*(1+($F$2/100))</f>
        <v>58478.82177291</v>
      </c>
      <c r="F248" s="110">
        <v>57382.810100000002</v>
      </c>
      <c r="G248" s="509"/>
    </row>
    <row r="249" spans="1:7" ht="29.25" customHeight="1" x14ac:dyDescent="0.2">
      <c r="A249" s="79" t="s">
        <v>528</v>
      </c>
      <c r="B249" s="80" t="s">
        <v>529</v>
      </c>
      <c r="C249" s="81" t="s">
        <v>1424</v>
      </c>
      <c r="D249" s="81">
        <v>1</v>
      </c>
      <c r="E249" s="110">
        <f t="shared" si="3"/>
        <v>34049.504492025</v>
      </c>
      <c r="F249" s="110">
        <v>33411.347750000001</v>
      </c>
      <c r="G249" s="509"/>
    </row>
    <row r="250" spans="1:7" ht="29.25" customHeight="1" x14ac:dyDescent="0.2">
      <c r="A250" s="79" t="s">
        <v>650</v>
      </c>
      <c r="B250" s="80" t="s">
        <v>287</v>
      </c>
      <c r="C250" s="81" t="s">
        <v>1412</v>
      </c>
      <c r="D250" s="81">
        <v>1</v>
      </c>
      <c r="E250" s="110">
        <f t="shared" si="3"/>
        <v>8009.2552605779983</v>
      </c>
      <c r="F250" s="110">
        <v>7859.1455799999994</v>
      </c>
      <c r="G250" s="509"/>
    </row>
    <row r="251" spans="1:7" ht="29.25" customHeight="1" x14ac:dyDescent="0.2">
      <c r="A251" s="79" t="s">
        <v>651</v>
      </c>
      <c r="B251" s="80" t="s">
        <v>289</v>
      </c>
      <c r="C251" s="81" t="s">
        <v>1412</v>
      </c>
      <c r="D251" s="81">
        <v>1</v>
      </c>
      <c r="E251" s="110">
        <f t="shared" si="3"/>
        <v>179966.80011710397</v>
      </c>
      <c r="F251" s="110">
        <v>176593.85743999999</v>
      </c>
      <c r="G251" s="509"/>
    </row>
    <row r="252" spans="1:7" ht="29.25" customHeight="1" x14ac:dyDescent="0.2">
      <c r="A252" s="79" t="s">
        <v>530</v>
      </c>
      <c r="B252" s="80" t="s">
        <v>133</v>
      </c>
      <c r="C252" s="81" t="s">
        <v>1424</v>
      </c>
      <c r="D252" s="81">
        <v>1</v>
      </c>
      <c r="E252" s="110">
        <f t="shared" si="3"/>
        <v>41002.729881959989</v>
      </c>
      <c r="F252" s="110">
        <v>40234.255599999997</v>
      </c>
      <c r="G252" s="509"/>
    </row>
    <row r="253" spans="1:7" ht="29.25" customHeight="1" x14ac:dyDescent="0.2">
      <c r="A253" s="79" t="s">
        <v>531</v>
      </c>
      <c r="B253" s="80" t="s">
        <v>104</v>
      </c>
      <c r="C253" s="81" t="s">
        <v>1412</v>
      </c>
      <c r="D253" s="81">
        <v>1</v>
      </c>
      <c r="E253" s="110">
        <f t="shared" si="3"/>
        <v>12157.4856394992</v>
      </c>
      <c r="F253" s="110">
        <v>11929.629712000002</v>
      </c>
      <c r="G253" s="509"/>
    </row>
    <row r="254" spans="1:7" ht="29.25" customHeight="1" x14ac:dyDescent="0.2">
      <c r="A254" s="79" t="s">
        <v>892</v>
      </c>
      <c r="B254" s="80" t="s">
        <v>893</v>
      </c>
      <c r="C254" s="81" t="s">
        <v>1435</v>
      </c>
      <c r="D254" s="81">
        <v>1</v>
      </c>
      <c r="E254" s="110">
        <f t="shared" si="3"/>
        <v>21030.05343516</v>
      </c>
      <c r="F254" s="110">
        <v>20635.907600000002</v>
      </c>
      <c r="G254" s="509"/>
    </row>
    <row r="255" spans="1:7" ht="29.25" customHeight="1" x14ac:dyDescent="0.2">
      <c r="A255" s="79" t="s">
        <v>896</v>
      </c>
      <c r="B255" s="80" t="s">
        <v>897</v>
      </c>
      <c r="C255" s="81" t="s">
        <v>1435</v>
      </c>
      <c r="D255" s="81">
        <v>1</v>
      </c>
      <c r="E255" s="110">
        <f t="shared" si="3"/>
        <v>18488.638568399998</v>
      </c>
      <c r="F255" s="110">
        <v>18142.124</v>
      </c>
      <c r="G255" s="509"/>
    </row>
    <row r="256" spans="1:7" ht="29.25" customHeight="1" x14ac:dyDescent="0.2">
      <c r="A256" s="79" t="s">
        <v>603</v>
      </c>
      <c r="B256" s="80" t="s">
        <v>2277</v>
      </c>
      <c r="C256" s="81" t="s">
        <v>1435</v>
      </c>
      <c r="D256" s="81">
        <v>1</v>
      </c>
      <c r="E256" s="110">
        <f t="shared" si="3"/>
        <v>48850.229430571795</v>
      </c>
      <c r="F256" s="110">
        <v>47934.677098</v>
      </c>
      <c r="G256" s="509"/>
    </row>
    <row r="257" spans="1:7" ht="29.25" customHeight="1" x14ac:dyDescent="0.2">
      <c r="A257" s="79" t="s">
        <v>520</v>
      </c>
      <c r="B257" s="80" t="s">
        <v>2545</v>
      </c>
      <c r="C257" s="81" t="s">
        <v>1424</v>
      </c>
      <c r="D257" s="81">
        <v>1</v>
      </c>
      <c r="E257" s="110">
        <f t="shared" si="3"/>
        <v>35135.377869723328</v>
      </c>
      <c r="F257" s="110">
        <v>34476.869659231998</v>
      </c>
      <c r="G257" s="509"/>
    </row>
    <row r="258" spans="1:7" ht="29.25" customHeight="1" x14ac:dyDescent="0.2">
      <c r="A258" s="79" t="s">
        <v>521</v>
      </c>
      <c r="B258" s="80" t="s">
        <v>522</v>
      </c>
      <c r="C258" s="81" t="s">
        <v>1424</v>
      </c>
      <c r="D258" s="81">
        <v>1</v>
      </c>
      <c r="E258" s="110">
        <f t="shared" si="3"/>
        <v>22075.513549888517</v>
      </c>
      <c r="F258" s="110">
        <v>21661.7736727392</v>
      </c>
      <c r="G258" s="509"/>
    </row>
    <row r="259" spans="1:7" ht="29.25" customHeight="1" x14ac:dyDescent="0.2">
      <c r="A259" s="79" t="s">
        <v>523</v>
      </c>
      <c r="B259" s="80" t="s">
        <v>319</v>
      </c>
      <c r="C259" s="81" t="s">
        <v>1424</v>
      </c>
      <c r="D259" s="81">
        <v>1</v>
      </c>
      <c r="E259" s="110">
        <f t="shared" si="3"/>
        <v>20853.887849664628</v>
      </c>
      <c r="F259" s="110">
        <v>20463.0437147136</v>
      </c>
      <c r="G259" s="509"/>
    </row>
    <row r="260" spans="1:7" ht="29.25" customHeight="1" x14ac:dyDescent="0.2">
      <c r="A260" s="79" t="s">
        <v>932</v>
      </c>
      <c r="B260" s="80" t="s">
        <v>2546</v>
      </c>
      <c r="C260" s="81" t="s">
        <v>1435</v>
      </c>
      <c r="D260" s="81">
        <v>1</v>
      </c>
      <c r="E260" s="110">
        <f t="shared" si="3"/>
        <v>46369.505529547198</v>
      </c>
      <c r="F260" s="110">
        <v>45500.446992000005</v>
      </c>
      <c r="G260" s="509"/>
    </row>
    <row r="261" spans="1:7" ht="29.25" customHeight="1" x14ac:dyDescent="0.2">
      <c r="A261" s="79" t="s">
        <v>524</v>
      </c>
      <c r="B261" s="80" t="s">
        <v>525</v>
      </c>
      <c r="C261" s="81" t="s">
        <v>1424</v>
      </c>
      <c r="D261" s="81">
        <v>1</v>
      </c>
      <c r="E261" s="110">
        <f t="shared" si="3"/>
        <v>16913.200775786514</v>
      </c>
      <c r="F261" s="110">
        <v>16596.213105472001</v>
      </c>
      <c r="G261" s="509"/>
    </row>
    <row r="262" spans="1:7" ht="29.25" customHeight="1" x14ac:dyDescent="0.2">
      <c r="A262" s="79" t="s">
        <v>665</v>
      </c>
      <c r="B262" s="80" t="s">
        <v>666</v>
      </c>
      <c r="C262" s="81" t="s">
        <v>1435</v>
      </c>
      <c r="D262" s="81">
        <v>1</v>
      </c>
      <c r="E262" s="110">
        <f t="shared" si="3"/>
        <v>29421.074086709756</v>
      </c>
      <c r="F262" s="110">
        <v>28869.6635136</v>
      </c>
      <c r="G262" s="509"/>
    </row>
    <row r="263" spans="1:7" ht="29.25" customHeight="1" x14ac:dyDescent="0.2">
      <c r="A263" s="79" t="s">
        <v>667</v>
      </c>
      <c r="B263" s="80" t="s">
        <v>668</v>
      </c>
      <c r="C263" s="81" t="s">
        <v>1435</v>
      </c>
      <c r="D263" s="81">
        <v>1</v>
      </c>
      <c r="E263" s="110">
        <f t="shared" si="3"/>
        <v>35925.777583487994</v>
      </c>
      <c r="F263" s="110">
        <v>35252.455679999999</v>
      </c>
      <c r="G263" s="509"/>
    </row>
    <row r="264" spans="1:7" ht="29.25" customHeight="1" x14ac:dyDescent="0.2">
      <c r="A264" s="79" t="s">
        <v>604</v>
      </c>
      <c r="B264" s="80" t="s">
        <v>396</v>
      </c>
      <c r="C264" s="81" t="s">
        <v>1435</v>
      </c>
      <c r="D264" s="81">
        <v>1</v>
      </c>
      <c r="E264" s="110">
        <f t="shared" si="3"/>
        <v>131361.99</v>
      </c>
      <c r="F264" s="110">
        <v>128900</v>
      </c>
      <c r="G264" s="509"/>
    </row>
    <row r="265" spans="1:7" ht="29.25" customHeight="1" x14ac:dyDescent="0.2">
      <c r="A265" s="79" t="s">
        <v>2199</v>
      </c>
      <c r="B265" s="80" t="s">
        <v>2200</v>
      </c>
      <c r="C265" s="81" t="s">
        <v>1435</v>
      </c>
      <c r="D265" s="81">
        <v>1</v>
      </c>
      <c r="E265" s="110">
        <f t="shared" si="3"/>
        <v>355184.14900979993</v>
      </c>
      <c r="F265" s="110">
        <v>348527.27799999999</v>
      </c>
      <c r="G265" s="509"/>
    </row>
    <row r="266" spans="1:7" ht="29.25" customHeight="1" x14ac:dyDescent="0.2">
      <c r="A266" s="79" t="s">
        <v>978</v>
      </c>
      <c r="B266" s="80" t="s">
        <v>979</v>
      </c>
      <c r="C266" s="81" t="s">
        <v>1414</v>
      </c>
      <c r="D266" s="81">
        <v>1</v>
      </c>
      <c r="E266" s="110">
        <f t="shared" si="3"/>
        <v>672.63274819540788</v>
      </c>
      <c r="F266" s="110">
        <v>660.02624687999992</v>
      </c>
      <c r="G266" s="509"/>
    </row>
    <row r="267" spans="1:7" ht="29.25" customHeight="1" x14ac:dyDescent="0.2">
      <c r="A267" s="79" t="s">
        <v>2205</v>
      </c>
      <c r="B267" s="80" t="s">
        <v>2206</v>
      </c>
      <c r="C267" s="81" t="s">
        <v>1412</v>
      </c>
      <c r="D267" s="81">
        <v>1</v>
      </c>
      <c r="E267" s="110">
        <f t="shared" si="3"/>
        <v>1886.8304925624</v>
      </c>
      <c r="F267" s="110">
        <v>1851.4674640000001</v>
      </c>
      <c r="G267" s="509"/>
    </row>
    <row r="268" spans="1:7" ht="29.25" customHeight="1" x14ac:dyDescent="0.2">
      <c r="A268" s="79" t="s">
        <v>2207</v>
      </c>
      <c r="B268" s="80" t="s">
        <v>2208</v>
      </c>
      <c r="C268" s="81" t="s">
        <v>1414</v>
      </c>
      <c r="D268" s="81">
        <v>1</v>
      </c>
      <c r="E268" s="110">
        <f t="shared" si="3"/>
        <v>1938.5244786599999</v>
      </c>
      <c r="F268" s="110">
        <v>1902.1926000000001</v>
      </c>
      <c r="G268" s="509"/>
    </row>
    <row r="269" spans="1:7" ht="29.25" customHeight="1" x14ac:dyDescent="0.2">
      <c r="A269" s="79" t="s">
        <v>2123</v>
      </c>
      <c r="B269" s="80" t="s">
        <v>3161</v>
      </c>
      <c r="C269" s="81" t="s">
        <v>1432</v>
      </c>
      <c r="D269" s="81">
        <v>1</v>
      </c>
      <c r="E269" s="110">
        <f t="shared" si="3"/>
        <v>104650.06690874998</v>
      </c>
      <c r="F269" s="110">
        <v>102688.71249999999</v>
      </c>
      <c r="G269" s="509"/>
    </row>
    <row r="270" spans="1:7" ht="29.25" customHeight="1" x14ac:dyDescent="0.2">
      <c r="A270" s="79" t="s">
        <v>500</v>
      </c>
      <c r="B270" s="80" t="s">
        <v>3236</v>
      </c>
      <c r="C270" s="81" t="s">
        <v>2564</v>
      </c>
      <c r="D270" s="81">
        <v>1</v>
      </c>
      <c r="E270" s="110">
        <f t="shared" si="3"/>
        <v>6873.6129412499995</v>
      </c>
      <c r="F270" s="110">
        <v>6744.7875000000004</v>
      </c>
      <c r="G270" s="509"/>
    </row>
    <row r="271" spans="1:7" ht="29.25" customHeight="1" x14ac:dyDescent="0.2">
      <c r="A271" s="79" t="s">
        <v>576</v>
      </c>
      <c r="B271" s="80" t="s">
        <v>577</v>
      </c>
      <c r="C271" s="81" t="s">
        <v>2156</v>
      </c>
      <c r="D271" s="81">
        <v>1</v>
      </c>
      <c r="E271" s="110">
        <f t="shared" si="3"/>
        <v>195620.36761516586</v>
      </c>
      <c r="F271" s="110">
        <v>191954.04534899999</v>
      </c>
      <c r="G271" s="509"/>
    </row>
    <row r="272" spans="1:7" ht="29.25" customHeight="1" x14ac:dyDescent="0.2">
      <c r="A272" s="79" t="s">
        <v>982</v>
      </c>
      <c r="B272" s="80" t="s">
        <v>983</v>
      </c>
      <c r="C272" s="81" t="s">
        <v>1414</v>
      </c>
      <c r="D272" s="81">
        <v>1</v>
      </c>
      <c r="E272" s="110">
        <f t="shared" si="3"/>
        <v>47590.798034999993</v>
      </c>
      <c r="F272" s="110">
        <v>46698.85</v>
      </c>
      <c r="G272" s="509"/>
    </row>
    <row r="273" spans="1:7" ht="29.25" customHeight="1" x14ac:dyDescent="0.2">
      <c r="A273" s="79" t="s">
        <v>495</v>
      </c>
      <c r="B273" s="80" t="s">
        <v>496</v>
      </c>
      <c r="C273" s="81" t="s">
        <v>1412</v>
      </c>
      <c r="D273" s="81">
        <v>1</v>
      </c>
      <c r="E273" s="110">
        <f t="shared" si="3"/>
        <v>378.6537487116384</v>
      </c>
      <c r="F273" s="110">
        <v>371.55700982400003</v>
      </c>
      <c r="G273" s="509"/>
    </row>
    <row r="274" spans="1:7" ht="29.25" customHeight="1" x14ac:dyDescent="0.2">
      <c r="A274" s="79" t="s">
        <v>605</v>
      </c>
      <c r="B274" s="80" t="s">
        <v>606</v>
      </c>
      <c r="C274" s="81" t="s">
        <v>1435</v>
      </c>
      <c r="D274" s="81">
        <v>1</v>
      </c>
      <c r="E274" s="110">
        <f t="shared" si="3"/>
        <v>35128.413279959997</v>
      </c>
      <c r="F274" s="110">
        <v>34470.035600000003</v>
      </c>
      <c r="G274" s="509"/>
    </row>
    <row r="275" spans="1:7" ht="29.25" customHeight="1" x14ac:dyDescent="0.2">
      <c r="A275" s="79" t="s">
        <v>770</v>
      </c>
      <c r="B275" s="80" t="s">
        <v>771</v>
      </c>
      <c r="C275" s="81" t="s">
        <v>1435</v>
      </c>
      <c r="D275" s="81">
        <v>1</v>
      </c>
      <c r="E275" s="110">
        <f t="shared" si="3"/>
        <v>37432.205414999997</v>
      </c>
      <c r="F275" s="110">
        <v>36730.65</v>
      </c>
      <c r="G275" s="509"/>
    </row>
    <row r="276" spans="1:7" ht="29.25" customHeight="1" x14ac:dyDescent="0.2">
      <c r="A276" s="79" t="s">
        <v>594</v>
      </c>
      <c r="B276" s="80" t="s">
        <v>109</v>
      </c>
      <c r="C276" s="81" t="s">
        <v>1435</v>
      </c>
      <c r="D276" s="81">
        <v>1</v>
      </c>
      <c r="E276" s="110">
        <f t="shared" si="3"/>
        <v>23093.113425782398</v>
      </c>
      <c r="F276" s="110">
        <v>22660.301663999999</v>
      </c>
      <c r="G276" s="509"/>
    </row>
    <row r="277" spans="1:7" ht="29.25" customHeight="1" x14ac:dyDescent="0.2">
      <c r="A277" s="79" t="s">
        <v>584</v>
      </c>
      <c r="B277" s="80" t="s">
        <v>585</v>
      </c>
      <c r="C277" s="81" t="s">
        <v>1435</v>
      </c>
      <c r="D277" s="81">
        <v>1</v>
      </c>
      <c r="E277" s="110">
        <f t="shared" si="3"/>
        <v>47520.768319236813</v>
      </c>
      <c r="F277" s="110">
        <v>46630.132783079993</v>
      </c>
      <c r="G277" s="509"/>
    </row>
    <row r="278" spans="1:7" ht="29.25" customHeight="1" x14ac:dyDescent="0.2">
      <c r="A278" s="79" t="s">
        <v>722</v>
      </c>
      <c r="B278" s="80" t="s">
        <v>2036</v>
      </c>
      <c r="C278" s="81" t="s">
        <v>1435</v>
      </c>
      <c r="D278" s="81">
        <v>1</v>
      </c>
      <c r="E278" s="110">
        <f t="shared" si="3"/>
        <v>259634.22003851639</v>
      </c>
      <c r="F278" s="110">
        <v>254768.14840400001</v>
      </c>
      <c r="G278" s="509"/>
    </row>
    <row r="279" spans="1:7" ht="29.25" customHeight="1" x14ac:dyDescent="0.2">
      <c r="A279" s="79" t="s">
        <v>553</v>
      </c>
      <c r="B279" s="80" t="s">
        <v>106</v>
      </c>
      <c r="C279" s="81" t="s">
        <v>1435</v>
      </c>
      <c r="D279" s="81">
        <v>1</v>
      </c>
      <c r="E279" s="110">
        <f t="shared" si="3"/>
        <v>55719.491632107383</v>
      </c>
      <c r="F279" s="110">
        <v>54675.195399967997</v>
      </c>
      <c r="G279" s="509"/>
    </row>
    <row r="280" spans="1:7" ht="29.25" customHeight="1" x14ac:dyDescent="0.2">
      <c r="A280" s="79" t="s">
        <v>682</v>
      </c>
      <c r="B280" s="80" t="s">
        <v>2046</v>
      </c>
      <c r="C280" s="81" t="s">
        <v>1424</v>
      </c>
      <c r="D280" s="81">
        <v>1</v>
      </c>
      <c r="E280" s="110">
        <f t="shared" si="3"/>
        <v>50015.786596775986</v>
      </c>
      <c r="F280" s="110">
        <v>49078.389359999994</v>
      </c>
      <c r="G280" s="509"/>
    </row>
    <row r="281" spans="1:7" ht="29.25" customHeight="1" x14ac:dyDescent="0.2">
      <c r="A281" s="79" t="s">
        <v>1101</v>
      </c>
      <c r="B281" s="80" t="s">
        <v>2278</v>
      </c>
      <c r="C281" s="81" t="s">
        <v>1424</v>
      </c>
      <c r="D281" s="81">
        <v>1</v>
      </c>
      <c r="E281" s="110">
        <f t="shared" si="3"/>
        <v>24073.656119699997</v>
      </c>
      <c r="F281" s="110">
        <v>23622.467000000001</v>
      </c>
      <c r="G281" s="509"/>
    </row>
    <row r="282" spans="1:7" ht="29.25" customHeight="1" x14ac:dyDescent="0.2">
      <c r="A282" s="79" t="s">
        <v>2144</v>
      </c>
      <c r="B282" s="80" t="s">
        <v>2540</v>
      </c>
      <c r="C282" s="81" t="s">
        <v>1424</v>
      </c>
      <c r="D282" s="81">
        <v>1</v>
      </c>
      <c r="E282" s="110">
        <f t="shared" si="3"/>
        <v>14988.782571839998</v>
      </c>
      <c r="F282" s="110">
        <v>14707.8624</v>
      </c>
      <c r="G282" s="509"/>
    </row>
    <row r="283" spans="1:7" ht="29.25" customHeight="1" x14ac:dyDescent="0.2">
      <c r="A283" s="79" t="s">
        <v>864</v>
      </c>
      <c r="B283" s="80" t="s">
        <v>865</v>
      </c>
      <c r="C283" s="81" t="s">
        <v>1412</v>
      </c>
      <c r="D283" s="81">
        <v>1</v>
      </c>
      <c r="E283" s="110">
        <f t="shared" si="3"/>
        <v>1172.98353908736</v>
      </c>
      <c r="F283" s="110">
        <v>1150.9994496000002</v>
      </c>
      <c r="G283" s="509"/>
    </row>
    <row r="284" spans="1:7" ht="29.25" customHeight="1" x14ac:dyDescent="0.2">
      <c r="A284" s="79" t="s">
        <v>868</v>
      </c>
      <c r="B284" s="80" t="s">
        <v>869</v>
      </c>
      <c r="C284" s="81" t="s">
        <v>1412</v>
      </c>
      <c r="D284" s="81">
        <v>1</v>
      </c>
      <c r="E284" s="110">
        <f t="shared" si="3"/>
        <v>2176.4055919748998</v>
      </c>
      <c r="F284" s="110">
        <v>2135.6153389999999</v>
      </c>
      <c r="G284" s="509"/>
    </row>
    <row r="285" spans="1:7" ht="29.25" customHeight="1" x14ac:dyDescent="0.2">
      <c r="A285" s="79" t="s">
        <v>925</v>
      </c>
      <c r="B285" s="80" t="s">
        <v>926</v>
      </c>
      <c r="C285" s="81" t="s">
        <v>1412</v>
      </c>
      <c r="D285" s="81">
        <v>1</v>
      </c>
      <c r="E285" s="110">
        <f t="shared" si="3"/>
        <v>14419.128448724998</v>
      </c>
      <c r="F285" s="110">
        <v>14148.884749999999</v>
      </c>
      <c r="G285" s="509"/>
    </row>
    <row r="286" spans="1:7" ht="29.25" customHeight="1" x14ac:dyDescent="0.2">
      <c r="A286" s="79" t="s">
        <v>2703</v>
      </c>
      <c r="B286" s="80" t="s">
        <v>2704</v>
      </c>
      <c r="C286" s="81" t="s">
        <v>1435</v>
      </c>
      <c r="D286" s="81">
        <v>1</v>
      </c>
      <c r="E286" s="110">
        <f t="shared" si="3"/>
        <v>3043.9074423185994</v>
      </c>
      <c r="F286" s="110">
        <v>2986.8584459999997</v>
      </c>
      <c r="G286" s="509"/>
    </row>
    <row r="287" spans="1:7" ht="29.25" customHeight="1" x14ac:dyDescent="0.2">
      <c r="A287" s="79" t="s">
        <v>2705</v>
      </c>
      <c r="B287" s="80" t="s">
        <v>2880</v>
      </c>
      <c r="C287" s="81" t="s">
        <v>1435</v>
      </c>
      <c r="D287" s="81">
        <v>1</v>
      </c>
      <c r="E287" s="110">
        <f t="shared" si="3"/>
        <v>23379.78007596</v>
      </c>
      <c r="F287" s="110">
        <v>22941.595600000001</v>
      </c>
      <c r="G287" s="509"/>
    </row>
    <row r="288" spans="1:7" ht="29.25" customHeight="1" x14ac:dyDescent="0.2">
      <c r="A288" s="79" t="s">
        <v>2707</v>
      </c>
      <c r="B288" s="80" t="s">
        <v>2708</v>
      </c>
      <c r="C288" s="81" t="s">
        <v>1435</v>
      </c>
      <c r="D288" s="81">
        <v>1</v>
      </c>
      <c r="E288" s="110">
        <f t="shared" si="3"/>
        <v>35128.413279959997</v>
      </c>
      <c r="F288" s="110">
        <v>34470.035600000003</v>
      </c>
      <c r="G288" s="509"/>
    </row>
    <row r="289" spans="1:7" ht="29.25" customHeight="1" x14ac:dyDescent="0.2">
      <c r="A289" s="79" t="s">
        <v>2709</v>
      </c>
      <c r="B289" s="80" t="s">
        <v>2710</v>
      </c>
      <c r="C289" s="81" t="s">
        <v>1435</v>
      </c>
      <c r="D289" s="81">
        <v>1</v>
      </c>
      <c r="E289" s="110">
        <f t="shared" si="3"/>
        <v>187390.69960379996</v>
      </c>
      <c r="F289" s="110">
        <v>183878.61799999999</v>
      </c>
      <c r="G289" s="509"/>
    </row>
    <row r="290" spans="1:7" ht="29.25" customHeight="1" x14ac:dyDescent="0.2">
      <c r="A290" s="79" t="s">
        <v>878</v>
      </c>
      <c r="B290" s="80" t="s">
        <v>879</v>
      </c>
      <c r="C290" s="81" t="s">
        <v>1435</v>
      </c>
      <c r="D290" s="81">
        <v>1</v>
      </c>
      <c r="E290" s="110">
        <f t="shared" si="3"/>
        <v>1997.2676446799999</v>
      </c>
      <c r="F290" s="110">
        <v>1959.8348000000001</v>
      </c>
      <c r="G290" s="509"/>
    </row>
    <row r="291" spans="1:7" ht="29.25" customHeight="1" x14ac:dyDescent="0.2">
      <c r="A291" s="79" t="s">
        <v>877</v>
      </c>
      <c r="B291" s="80" t="s">
        <v>1254</v>
      </c>
      <c r="C291" s="81" t="s">
        <v>1435</v>
      </c>
      <c r="D291" s="81">
        <v>1</v>
      </c>
      <c r="E291" s="110">
        <f t="shared" si="3"/>
        <v>9192.9300558809991</v>
      </c>
      <c r="F291" s="110">
        <v>9020.6359100000009</v>
      </c>
      <c r="G291" s="509"/>
    </row>
    <row r="292" spans="1:7" ht="29.25" customHeight="1" x14ac:dyDescent="0.2">
      <c r="A292" s="79" t="s">
        <v>885</v>
      </c>
      <c r="B292" s="80" t="s">
        <v>2881</v>
      </c>
      <c r="C292" s="81" t="s">
        <v>1435</v>
      </c>
      <c r="D292" s="81">
        <v>1</v>
      </c>
      <c r="E292" s="110">
        <f t="shared" si="3"/>
        <v>28132.013871389998</v>
      </c>
      <c r="F292" s="110">
        <v>27604.762900000002</v>
      </c>
      <c r="G292" s="509"/>
    </row>
    <row r="293" spans="1:7" ht="29.25" customHeight="1" x14ac:dyDescent="0.2">
      <c r="A293" s="84" t="s">
        <v>872</v>
      </c>
      <c r="B293" s="80" t="s">
        <v>2882</v>
      </c>
      <c r="C293" s="83" t="s">
        <v>1435</v>
      </c>
      <c r="D293" s="83">
        <v>1</v>
      </c>
      <c r="E293" s="110">
        <f t="shared" si="3"/>
        <v>12830.08164009</v>
      </c>
      <c r="F293" s="110">
        <v>12589.619900000002</v>
      </c>
      <c r="G293" s="509"/>
    </row>
    <row r="294" spans="1:7" ht="29.25" customHeight="1" x14ac:dyDescent="0.2">
      <c r="A294" s="79" t="s">
        <v>886</v>
      </c>
      <c r="B294" s="80" t="s">
        <v>2547</v>
      </c>
      <c r="C294" s="81" t="s">
        <v>1435</v>
      </c>
      <c r="D294" s="81">
        <v>1</v>
      </c>
      <c r="E294" s="110">
        <f t="shared" si="3"/>
        <v>12948.954112092999</v>
      </c>
      <c r="F294" s="110">
        <v>12706.264460890001</v>
      </c>
      <c r="G294" s="509"/>
    </row>
    <row r="295" spans="1:7" ht="29.25" customHeight="1" x14ac:dyDescent="0.2">
      <c r="A295" s="79" t="s">
        <v>933</v>
      </c>
      <c r="B295" s="80" t="s">
        <v>934</v>
      </c>
      <c r="C295" s="81" t="s">
        <v>1435</v>
      </c>
      <c r="D295" s="81">
        <v>1</v>
      </c>
      <c r="E295" s="110">
        <f t="shared" si="3"/>
        <v>26954.942161290001</v>
      </c>
      <c r="F295" s="110">
        <v>26449.751900000003</v>
      </c>
      <c r="G295" s="509"/>
    </row>
    <row r="296" spans="1:7" ht="29.25" customHeight="1" x14ac:dyDescent="0.2">
      <c r="A296" s="79" t="s">
        <v>2161</v>
      </c>
      <c r="B296" s="80" t="s">
        <v>1311</v>
      </c>
      <c r="C296" s="81" t="s">
        <v>1412</v>
      </c>
      <c r="D296" s="81">
        <v>1</v>
      </c>
      <c r="E296" s="110">
        <f t="shared" si="3"/>
        <v>252.86062064999996</v>
      </c>
      <c r="F296" s="110">
        <v>248.1215</v>
      </c>
      <c r="G296" s="509"/>
    </row>
    <row r="297" spans="1:7" ht="29.25" customHeight="1" x14ac:dyDescent="0.2">
      <c r="A297" s="79" t="s">
        <v>532</v>
      </c>
      <c r="B297" s="80" t="s">
        <v>533</v>
      </c>
      <c r="C297" s="81" t="s">
        <v>1424</v>
      </c>
      <c r="D297" s="81">
        <v>1</v>
      </c>
      <c r="E297" s="110">
        <f t="shared" si="3"/>
        <v>45189.654914352097</v>
      </c>
      <c r="F297" s="110">
        <v>44342.709169219997</v>
      </c>
      <c r="G297" s="509"/>
    </row>
    <row r="298" spans="1:7" ht="29.25" customHeight="1" x14ac:dyDescent="0.2">
      <c r="A298" s="79" t="s">
        <v>534</v>
      </c>
      <c r="B298" s="80" t="s">
        <v>535</v>
      </c>
      <c r="C298" s="81" t="s">
        <v>1424</v>
      </c>
      <c r="D298" s="81">
        <v>1</v>
      </c>
      <c r="E298" s="110">
        <f t="shared" si="3"/>
        <v>39028.959503687998</v>
      </c>
      <c r="F298" s="110">
        <v>38297.477680000004</v>
      </c>
      <c r="G298" s="509"/>
    </row>
    <row r="299" spans="1:7" ht="29.25" customHeight="1" x14ac:dyDescent="0.2">
      <c r="A299" s="79" t="s">
        <v>2128</v>
      </c>
      <c r="B299" s="80" t="s">
        <v>2129</v>
      </c>
      <c r="C299" s="81" t="s">
        <v>1432</v>
      </c>
      <c r="D299" s="81">
        <v>1</v>
      </c>
      <c r="E299" s="110">
        <f t="shared" si="3"/>
        <v>55402.97659875</v>
      </c>
      <c r="F299" s="110">
        <v>54364.612500000003</v>
      </c>
      <c r="G299" s="509"/>
    </row>
    <row r="300" spans="1:7" ht="29.25" customHeight="1" x14ac:dyDescent="0.2">
      <c r="A300" s="79" t="s">
        <v>2236</v>
      </c>
      <c r="B300" s="80" t="s">
        <v>2237</v>
      </c>
      <c r="C300" s="81" t="s">
        <v>1424</v>
      </c>
      <c r="D300" s="81">
        <v>1</v>
      </c>
      <c r="E300" s="110">
        <f t="shared" si="3"/>
        <v>92236.169557963192</v>
      </c>
      <c r="F300" s="110">
        <v>90507.476752000002</v>
      </c>
      <c r="G300" s="509"/>
    </row>
    <row r="301" spans="1:7" ht="29.25" customHeight="1" x14ac:dyDescent="0.2">
      <c r="A301" s="79" t="s">
        <v>542</v>
      </c>
      <c r="B301" s="80" t="s">
        <v>2883</v>
      </c>
      <c r="C301" s="81" t="s">
        <v>1424</v>
      </c>
      <c r="D301" s="81">
        <v>1</v>
      </c>
      <c r="E301" s="110">
        <f t="shared" si="3"/>
        <v>37125.680924639993</v>
      </c>
      <c r="F301" s="110">
        <v>36429.8704</v>
      </c>
      <c r="G301" s="509"/>
    </row>
    <row r="302" spans="1:7" ht="29.25" customHeight="1" x14ac:dyDescent="0.2">
      <c r="A302" s="84" t="s">
        <v>861</v>
      </c>
      <c r="B302" s="82" t="s">
        <v>862</v>
      </c>
      <c r="C302" s="83" t="s">
        <v>1412</v>
      </c>
      <c r="D302" s="83">
        <v>1</v>
      </c>
      <c r="E302" s="110">
        <f t="shared" si="3"/>
        <v>3249.6719442263998</v>
      </c>
      <c r="F302" s="110">
        <v>3188.7665040000002</v>
      </c>
      <c r="G302" s="509"/>
    </row>
    <row r="303" spans="1:7" ht="29.25" customHeight="1" x14ac:dyDescent="0.2">
      <c r="A303" s="84" t="s">
        <v>697</v>
      </c>
      <c r="B303" s="82" t="s">
        <v>32</v>
      </c>
      <c r="C303" s="83" t="s">
        <v>1435</v>
      </c>
      <c r="D303" s="83">
        <v>1</v>
      </c>
      <c r="E303" s="110">
        <f t="shared" si="3"/>
        <v>48051.909804359995</v>
      </c>
      <c r="F303" s="110">
        <v>47151.319600000003</v>
      </c>
      <c r="G303" s="509"/>
    </row>
    <row r="304" spans="1:7" ht="29.25" customHeight="1" x14ac:dyDescent="0.2">
      <c r="A304" s="79" t="s">
        <v>698</v>
      </c>
      <c r="B304" s="80" t="s">
        <v>31</v>
      </c>
      <c r="C304" s="83" t="s">
        <v>1435</v>
      </c>
      <c r="D304" s="81">
        <v>1</v>
      </c>
      <c r="E304" s="110">
        <f t="shared" si="3"/>
        <v>11102.45837778</v>
      </c>
      <c r="F304" s="110">
        <v>10894.375800000002</v>
      </c>
      <c r="G304" s="509"/>
    </row>
    <row r="305" spans="1:7" ht="29.25" customHeight="1" x14ac:dyDescent="0.2">
      <c r="A305" s="79" t="s">
        <v>608</v>
      </c>
      <c r="B305" s="80" t="s">
        <v>2884</v>
      </c>
      <c r="C305" s="81" t="s">
        <v>1435</v>
      </c>
      <c r="D305" s="81">
        <v>1</v>
      </c>
      <c r="E305" s="110">
        <f t="shared" si="3"/>
        <v>353705.96336410491</v>
      </c>
      <c r="F305" s="110">
        <v>347076.79654999997</v>
      </c>
      <c r="G305" s="509"/>
    </row>
    <row r="306" spans="1:7" ht="29.25" customHeight="1" x14ac:dyDescent="0.2">
      <c r="A306" s="79" t="s">
        <v>582</v>
      </c>
      <c r="B306" s="80" t="s">
        <v>2885</v>
      </c>
      <c r="C306" s="81" t="s">
        <v>1435</v>
      </c>
      <c r="D306" s="81">
        <v>1</v>
      </c>
      <c r="E306" s="110">
        <f t="shared" si="3"/>
        <v>167062.80367375497</v>
      </c>
      <c r="F306" s="110">
        <v>163931.70804999999</v>
      </c>
      <c r="G306" s="509"/>
    </row>
    <row r="307" spans="1:7" ht="29.25" customHeight="1" x14ac:dyDescent="0.2">
      <c r="A307" s="79" t="s">
        <v>2172</v>
      </c>
      <c r="B307" s="80" t="s">
        <v>2886</v>
      </c>
      <c r="C307" s="81" t="s">
        <v>1435</v>
      </c>
      <c r="D307" s="81">
        <v>1</v>
      </c>
      <c r="E307" s="110">
        <f t="shared" si="3"/>
        <v>52982.250229094992</v>
      </c>
      <c r="F307" s="110">
        <v>51989.255449999997</v>
      </c>
      <c r="G307" s="509"/>
    </row>
    <row r="308" spans="1:7" ht="29.25" customHeight="1" x14ac:dyDescent="0.2">
      <c r="A308" s="79" t="s">
        <v>762</v>
      </c>
      <c r="B308" s="80" t="s">
        <v>763</v>
      </c>
      <c r="C308" s="81" t="s">
        <v>1435</v>
      </c>
      <c r="D308" s="81">
        <v>1</v>
      </c>
      <c r="E308" s="110">
        <f t="shared" si="3"/>
        <v>94850.337614999982</v>
      </c>
      <c r="F308" s="110">
        <v>93072.65</v>
      </c>
      <c r="G308" s="509"/>
    </row>
    <row r="309" spans="1:7" ht="29.25" customHeight="1" x14ac:dyDescent="0.2">
      <c r="A309" s="79" t="s">
        <v>758</v>
      </c>
      <c r="B309" s="80" t="s">
        <v>759</v>
      </c>
      <c r="C309" s="81" t="s">
        <v>1435</v>
      </c>
      <c r="D309" s="81">
        <v>1</v>
      </c>
      <c r="E309" s="110">
        <f t="shared" si="3"/>
        <v>139018.13161499999</v>
      </c>
      <c r="F309" s="110">
        <v>136412.65</v>
      </c>
      <c r="G309" s="509"/>
    </row>
    <row r="310" spans="1:7" ht="29.25" customHeight="1" x14ac:dyDescent="0.2">
      <c r="A310" s="79" t="s">
        <v>754</v>
      </c>
      <c r="B310" s="80" t="s">
        <v>755</v>
      </c>
      <c r="C310" s="81" t="s">
        <v>1435</v>
      </c>
      <c r="D310" s="81">
        <v>1</v>
      </c>
      <c r="E310" s="110">
        <f t="shared" si="3"/>
        <v>195332.06896499998</v>
      </c>
      <c r="F310" s="110">
        <v>191671.15</v>
      </c>
      <c r="G310" s="509"/>
    </row>
    <row r="311" spans="1:7" ht="29.25" customHeight="1" x14ac:dyDescent="0.2">
      <c r="A311" s="79" t="s">
        <v>676</v>
      </c>
      <c r="B311" s="80" t="s">
        <v>677</v>
      </c>
      <c r="C311" s="81" t="s">
        <v>1412</v>
      </c>
      <c r="D311" s="81">
        <v>1</v>
      </c>
      <c r="E311" s="110">
        <f t="shared" si="3"/>
        <v>19582.621824427199</v>
      </c>
      <c r="F311" s="110">
        <v>19215.603792000002</v>
      </c>
      <c r="G311" s="509"/>
    </row>
    <row r="312" spans="1:7" ht="29.25" customHeight="1" x14ac:dyDescent="0.2">
      <c r="A312" s="79" t="s">
        <v>756</v>
      </c>
      <c r="B312" s="80" t="s">
        <v>757</v>
      </c>
      <c r="C312" s="81" t="s">
        <v>1435</v>
      </c>
      <c r="D312" s="81">
        <v>1</v>
      </c>
      <c r="E312" s="110">
        <f t="shared" ref="E312:E375" si="4">+F312*(1+($F$2/100))</f>
        <v>3759.5626252799998</v>
      </c>
      <c r="F312" s="110">
        <v>3689.1008000000002</v>
      </c>
      <c r="G312" s="509"/>
    </row>
    <row r="313" spans="1:7" ht="29.25" customHeight="1" x14ac:dyDescent="0.2">
      <c r="A313" s="79" t="s">
        <v>955</v>
      </c>
      <c r="B313" s="80" t="s">
        <v>1083</v>
      </c>
      <c r="C313" s="81" t="s">
        <v>1435</v>
      </c>
      <c r="D313" s="81">
        <v>1</v>
      </c>
      <c r="E313" s="110">
        <f t="shared" si="4"/>
        <v>265514.693631</v>
      </c>
      <c r="F313" s="110">
        <v>260538.41</v>
      </c>
      <c r="G313" s="509"/>
    </row>
    <row r="314" spans="1:7" ht="29.25" customHeight="1" x14ac:dyDescent="0.2">
      <c r="A314" s="79" t="s">
        <v>956</v>
      </c>
      <c r="B314" s="80" t="s">
        <v>1380</v>
      </c>
      <c r="C314" s="81" t="s">
        <v>1435</v>
      </c>
      <c r="D314" s="81">
        <v>1</v>
      </c>
      <c r="E314" s="110">
        <f t="shared" si="4"/>
        <v>370740.58048690733</v>
      </c>
      <c r="F314" s="110">
        <v>363792.15041399997</v>
      </c>
      <c r="G314" s="509"/>
    </row>
    <row r="315" spans="1:7" ht="29.25" customHeight="1" x14ac:dyDescent="0.2">
      <c r="A315" s="79" t="s">
        <v>609</v>
      </c>
      <c r="B315" s="80" t="s">
        <v>610</v>
      </c>
      <c r="C315" s="81" t="s">
        <v>1414</v>
      </c>
      <c r="D315" s="81">
        <v>1</v>
      </c>
      <c r="E315" s="110">
        <f t="shared" si="4"/>
        <v>9114.3953013695991</v>
      </c>
      <c r="F315" s="110">
        <v>8943.5730559999993</v>
      </c>
      <c r="G315" s="509"/>
    </row>
    <row r="316" spans="1:7" ht="29.25" customHeight="1" x14ac:dyDescent="0.2">
      <c r="A316" s="79" t="s">
        <v>791</v>
      </c>
      <c r="B316" s="80" t="s">
        <v>1998</v>
      </c>
      <c r="C316" s="81" t="s">
        <v>1412</v>
      </c>
      <c r="D316" s="81">
        <v>1</v>
      </c>
      <c r="E316" s="110">
        <f t="shared" si="4"/>
        <v>19769.425092370795</v>
      </c>
      <c r="F316" s="110">
        <v>19398.905987999999</v>
      </c>
      <c r="G316" s="509"/>
    </row>
    <row r="317" spans="1:7" ht="29.25" customHeight="1" x14ac:dyDescent="0.2">
      <c r="A317" s="79" t="s">
        <v>574</v>
      </c>
      <c r="B317" s="80" t="s">
        <v>575</v>
      </c>
      <c r="C317" s="81" t="s">
        <v>1412</v>
      </c>
      <c r="D317" s="81">
        <v>1</v>
      </c>
      <c r="E317" s="110">
        <f t="shared" si="4"/>
        <v>2310.1337469025198</v>
      </c>
      <c r="F317" s="110">
        <v>2266.8371572000001</v>
      </c>
      <c r="G317" s="509"/>
    </row>
    <row r="318" spans="1:7" ht="29.25" customHeight="1" x14ac:dyDescent="0.2">
      <c r="A318" s="79" t="s">
        <v>772</v>
      </c>
      <c r="B318" s="80" t="s">
        <v>2279</v>
      </c>
      <c r="C318" s="81" t="s">
        <v>1412</v>
      </c>
      <c r="D318" s="81">
        <v>1</v>
      </c>
      <c r="E318" s="110">
        <f t="shared" si="4"/>
        <v>22005.189991092</v>
      </c>
      <c r="F318" s="110">
        <v>21592.768120000001</v>
      </c>
      <c r="G318" s="509"/>
    </row>
    <row r="319" spans="1:7" ht="29.25" customHeight="1" x14ac:dyDescent="0.2">
      <c r="A319" s="79" t="s">
        <v>721</v>
      </c>
      <c r="B319" s="80" t="s">
        <v>2038</v>
      </c>
      <c r="C319" s="81" t="s">
        <v>1435</v>
      </c>
      <c r="D319" s="81">
        <v>1</v>
      </c>
      <c r="E319" s="110">
        <f t="shared" si="4"/>
        <v>477388.08729473391</v>
      </c>
      <c r="F319" s="110">
        <v>468440.86673999997</v>
      </c>
      <c r="G319" s="509"/>
    </row>
    <row r="320" spans="1:7" ht="29.25" customHeight="1" x14ac:dyDescent="0.2">
      <c r="A320" s="79" t="s">
        <v>641</v>
      </c>
      <c r="B320" s="80" t="s">
        <v>642</v>
      </c>
      <c r="C320" s="81" t="s">
        <v>1424</v>
      </c>
      <c r="D320" s="81">
        <v>1</v>
      </c>
      <c r="E320" s="110">
        <f t="shared" si="4"/>
        <v>163424.23319916375</v>
      </c>
      <c r="F320" s="110">
        <v>160361.33176250002</v>
      </c>
      <c r="G320" s="509"/>
    </row>
    <row r="321" spans="1:7" ht="29.25" customHeight="1" x14ac:dyDescent="0.2">
      <c r="A321" s="79" t="s">
        <v>597</v>
      </c>
      <c r="B321" s="80" t="s">
        <v>2887</v>
      </c>
      <c r="C321" s="81" t="s">
        <v>598</v>
      </c>
      <c r="D321" s="81">
        <v>1</v>
      </c>
      <c r="E321" s="110">
        <f t="shared" si="4"/>
        <v>5763.8971169999995</v>
      </c>
      <c r="F321" s="110">
        <v>5655.87</v>
      </c>
      <c r="G321" s="509"/>
    </row>
    <row r="322" spans="1:7" ht="29.25" customHeight="1" x14ac:dyDescent="0.2">
      <c r="A322" s="79" t="s">
        <v>569</v>
      </c>
      <c r="B322" s="80" t="s">
        <v>2280</v>
      </c>
      <c r="C322" s="81" t="s">
        <v>1412</v>
      </c>
      <c r="D322" s="81">
        <v>1</v>
      </c>
      <c r="E322" s="110">
        <f t="shared" si="4"/>
        <v>21081.773921933996</v>
      </c>
      <c r="F322" s="110">
        <v>20686.658739999999</v>
      </c>
      <c r="G322" s="509"/>
    </row>
    <row r="323" spans="1:7" ht="29.25" customHeight="1" x14ac:dyDescent="0.2">
      <c r="A323" s="79" t="s">
        <v>643</v>
      </c>
      <c r="B323" s="80" t="s">
        <v>644</v>
      </c>
      <c r="C323" s="81" t="s">
        <v>1424</v>
      </c>
      <c r="D323" s="81">
        <v>1</v>
      </c>
      <c r="E323" s="110">
        <f t="shared" si="4"/>
        <v>117665.4479033979</v>
      </c>
      <c r="F323" s="110">
        <v>115460.15886900001</v>
      </c>
      <c r="G323" s="509"/>
    </row>
    <row r="324" spans="1:7" ht="29.25" customHeight="1" x14ac:dyDescent="0.2">
      <c r="A324" s="79" t="s">
        <v>706</v>
      </c>
      <c r="B324" s="80" t="s">
        <v>2012</v>
      </c>
      <c r="C324" s="81" t="s">
        <v>1412</v>
      </c>
      <c r="D324" s="81">
        <v>1</v>
      </c>
      <c r="E324" s="110">
        <f t="shared" si="4"/>
        <v>10221.31088748</v>
      </c>
      <c r="F324" s="110">
        <v>10029.742800000002</v>
      </c>
      <c r="G324" s="509"/>
    </row>
    <row r="325" spans="1:7" ht="29.25" customHeight="1" x14ac:dyDescent="0.2">
      <c r="A325" s="79" t="s">
        <v>792</v>
      </c>
      <c r="B325" s="80" t="s">
        <v>793</v>
      </c>
      <c r="C325" s="81" t="s">
        <v>1435</v>
      </c>
      <c r="D325" s="81">
        <v>1</v>
      </c>
      <c r="E325" s="110">
        <f t="shared" si="4"/>
        <v>3991.0106993988002</v>
      </c>
      <c r="F325" s="110">
        <v>3916.2110680000005</v>
      </c>
      <c r="G325" s="509"/>
    </row>
    <row r="326" spans="1:7" ht="29.25" customHeight="1" x14ac:dyDescent="0.2">
      <c r="A326" s="79" t="s">
        <v>2086</v>
      </c>
      <c r="B326" s="80" t="s">
        <v>2459</v>
      </c>
      <c r="C326" s="81" t="s">
        <v>1435</v>
      </c>
      <c r="D326" s="81">
        <v>1</v>
      </c>
      <c r="E326" s="110">
        <f t="shared" si="4"/>
        <v>9180.6293252519972</v>
      </c>
      <c r="F326" s="110">
        <v>9008.5657199999987</v>
      </c>
      <c r="G326" s="509"/>
    </row>
    <row r="327" spans="1:7" ht="29.25" customHeight="1" x14ac:dyDescent="0.2">
      <c r="A327" s="79" t="s">
        <v>705</v>
      </c>
      <c r="B327" s="80" t="s">
        <v>2010</v>
      </c>
      <c r="C327" s="81" t="s">
        <v>1412</v>
      </c>
      <c r="D327" s="81">
        <v>1</v>
      </c>
      <c r="E327" s="110">
        <f t="shared" si="4"/>
        <v>12494.671412453999</v>
      </c>
      <c r="F327" s="110">
        <v>12260.495940000001</v>
      </c>
      <c r="G327" s="509"/>
    </row>
    <row r="328" spans="1:7" ht="29.25" customHeight="1" x14ac:dyDescent="0.2">
      <c r="A328" s="79" t="s">
        <v>2179</v>
      </c>
      <c r="B328" s="80" t="s">
        <v>2180</v>
      </c>
      <c r="C328" s="81" t="s">
        <v>1412</v>
      </c>
      <c r="D328" s="81">
        <v>1</v>
      </c>
      <c r="E328" s="110">
        <f t="shared" si="4"/>
        <v>16237.847786159999</v>
      </c>
      <c r="F328" s="110">
        <v>15933.517600000001</v>
      </c>
      <c r="G328" s="509"/>
    </row>
    <row r="329" spans="1:7" ht="29.25" customHeight="1" x14ac:dyDescent="0.2">
      <c r="A329" s="79" t="s">
        <v>578</v>
      </c>
      <c r="B329" s="80" t="s">
        <v>327</v>
      </c>
      <c r="C329" s="81" t="s">
        <v>2156</v>
      </c>
      <c r="D329" s="81">
        <v>1</v>
      </c>
      <c r="E329" s="110">
        <f t="shared" si="4"/>
        <v>14361.931155494996</v>
      </c>
      <c r="F329" s="110">
        <v>14092.759449999998</v>
      </c>
      <c r="G329" s="509"/>
    </row>
    <row r="330" spans="1:7" ht="29.25" customHeight="1" x14ac:dyDescent="0.2">
      <c r="A330" s="79" t="s">
        <v>749</v>
      </c>
      <c r="B330" s="80" t="s">
        <v>750</v>
      </c>
      <c r="C330" s="81" t="s">
        <v>1435</v>
      </c>
      <c r="D330" s="81">
        <v>1</v>
      </c>
      <c r="E330" s="110">
        <f t="shared" si="4"/>
        <v>50651.26194273711</v>
      </c>
      <c r="F330" s="110">
        <v>49701.954609691995</v>
      </c>
      <c r="G330" s="509"/>
    </row>
    <row r="331" spans="1:7" ht="29.25" customHeight="1" x14ac:dyDescent="0.2">
      <c r="A331" s="79" t="s">
        <v>744</v>
      </c>
      <c r="B331" s="80" t="s">
        <v>1493</v>
      </c>
      <c r="C331" s="81" t="s">
        <v>1435</v>
      </c>
      <c r="D331" s="81">
        <v>1</v>
      </c>
      <c r="E331" s="110">
        <f t="shared" si="4"/>
        <v>93746.142764999982</v>
      </c>
      <c r="F331" s="110">
        <v>91989.15</v>
      </c>
      <c r="G331" s="509"/>
    </row>
    <row r="332" spans="1:7" ht="29.25" customHeight="1" x14ac:dyDescent="0.2">
      <c r="A332" s="79" t="s">
        <v>736</v>
      </c>
      <c r="B332" s="80" t="s">
        <v>1490</v>
      </c>
      <c r="C332" s="81" t="s">
        <v>1435</v>
      </c>
      <c r="D332" s="81">
        <v>1</v>
      </c>
      <c r="E332" s="110">
        <f t="shared" si="4"/>
        <v>306855.748815</v>
      </c>
      <c r="F332" s="110">
        <v>301104.65000000002</v>
      </c>
      <c r="G332" s="509"/>
    </row>
    <row r="333" spans="1:7" ht="29.25" customHeight="1" x14ac:dyDescent="0.2">
      <c r="A333" s="79" t="s">
        <v>796</v>
      </c>
      <c r="B333" s="80" t="s">
        <v>2281</v>
      </c>
      <c r="C333" s="81" t="s">
        <v>1435</v>
      </c>
      <c r="D333" s="81">
        <v>1</v>
      </c>
      <c r="E333" s="110">
        <f t="shared" si="4"/>
        <v>15069.971810770799</v>
      </c>
      <c r="F333" s="110">
        <v>14787.529988</v>
      </c>
      <c r="G333" s="509"/>
    </row>
    <row r="334" spans="1:7" ht="29.25" customHeight="1" x14ac:dyDescent="0.2">
      <c r="A334" s="79" t="s">
        <v>742</v>
      </c>
      <c r="B334" s="80" t="s">
        <v>743</v>
      </c>
      <c r="C334" s="81" t="s">
        <v>1435</v>
      </c>
      <c r="D334" s="81">
        <v>1</v>
      </c>
      <c r="E334" s="110">
        <f t="shared" si="4"/>
        <v>80694.559637999992</v>
      </c>
      <c r="F334" s="110">
        <v>79182.179999999993</v>
      </c>
      <c r="G334" s="509"/>
    </row>
    <row r="335" spans="1:7" ht="29.25" customHeight="1" x14ac:dyDescent="0.2">
      <c r="A335" s="79" t="s">
        <v>546</v>
      </c>
      <c r="B335" s="80" t="s">
        <v>547</v>
      </c>
      <c r="C335" s="81" t="s">
        <v>1412</v>
      </c>
      <c r="D335" s="81">
        <v>1</v>
      </c>
      <c r="E335" s="110">
        <f t="shared" si="4"/>
        <v>154.88408657567996</v>
      </c>
      <c r="F335" s="110">
        <v>151.98124479999998</v>
      </c>
      <c r="G335" s="509"/>
    </row>
    <row r="336" spans="1:7" ht="29.25" customHeight="1" x14ac:dyDescent="0.2">
      <c r="A336" s="79" t="s">
        <v>1102</v>
      </c>
      <c r="B336" s="80" t="s">
        <v>1239</v>
      </c>
      <c r="C336" s="81" t="s">
        <v>1435</v>
      </c>
      <c r="D336" s="81">
        <v>1</v>
      </c>
      <c r="E336" s="110">
        <f t="shared" si="4"/>
        <v>189471.81980538898</v>
      </c>
      <c r="F336" s="110">
        <v>185920.73379</v>
      </c>
      <c r="G336" s="509"/>
    </row>
    <row r="337" spans="1:7" ht="29.25" customHeight="1" x14ac:dyDescent="0.2">
      <c r="A337" s="79" t="s">
        <v>543</v>
      </c>
      <c r="B337" s="80" t="s">
        <v>326</v>
      </c>
      <c r="C337" s="81" t="s">
        <v>1435</v>
      </c>
      <c r="D337" s="81">
        <v>1</v>
      </c>
      <c r="E337" s="110">
        <f t="shared" si="4"/>
        <v>4930.0533340740003</v>
      </c>
      <c r="F337" s="110">
        <v>4837.6541400000006</v>
      </c>
      <c r="G337" s="509"/>
    </row>
    <row r="338" spans="1:7" ht="29.25" customHeight="1" x14ac:dyDescent="0.2">
      <c r="A338" s="79" t="s">
        <v>652</v>
      </c>
      <c r="B338" s="80" t="s">
        <v>2888</v>
      </c>
      <c r="C338" s="81" t="s">
        <v>1424</v>
      </c>
      <c r="D338" s="81">
        <v>1</v>
      </c>
      <c r="E338" s="110">
        <f t="shared" si="4"/>
        <v>90378.348472500002</v>
      </c>
      <c r="F338" s="110">
        <v>88684.475000000006</v>
      </c>
      <c r="G338" s="509"/>
    </row>
    <row r="339" spans="1:7" ht="29.25" customHeight="1" x14ac:dyDescent="0.2">
      <c r="A339" s="79" t="s">
        <v>809</v>
      </c>
      <c r="B339" s="80" t="s">
        <v>1084</v>
      </c>
      <c r="C339" s="81" t="s">
        <v>1435</v>
      </c>
      <c r="D339" s="81">
        <v>1</v>
      </c>
      <c r="E339" s="110">
        <f t="shared" si="4"/>
        <v>16128.5236624512</v>
      </c>
      <c r="F339" s="110">
        <v>15826.242432000001</v>
      </c>
      <c r="G339" s="509"/>
    </row>
    <row r="340" spans="1:7" ht="29.25" customHeight="1" x14ac:dyDescent="0.2">
      <c r="A340" s="79" t="s">
        <v>653</v>
      </c>
      <c r="B340" s="80" t="s">
        <v>2282</v>
      </c>
      <c r="C340" s="81" t="s">
        <v>1424</v>
      </c>
      <c r="D340" s="81">
        <v>1</v>
      </c>
      <c r="E340" s="110">
        <f t="shared" si="4"/>
        <v>29486.419274399996</v>
      </c>
      <c r="F340" s="110">
        <v>28933.784</v>
      </c>
      <c r="G340" s="509"/>
    </row>
    <row r="341" spans="1:7" ht="29.25" customHeight="1" x14ac:dyDescent="0.2">
      <c r="A341" s="79" t="s">
        <v>866</v>
      </c>
      <c r="B341" s="80" t="s">
        <v>867</v>
      </c>
      <c r="C341" s="81" t="s">
        <v>1435</v>
      </c>
      <c r="D341" s="81">
        <v>1</v>
      </c>
      <c r="E341" s="110">
        <f t="shared" si="4"/>
        <v>4195.9404299999997</v>
      </c>
      <c r="F341" s="110">
        <v>4117.3</v>
      </c>
      <c r="G341" s="509"/>
    </row>
    <row r="342" spans="1:7" ht="29.25" customHeight="1" x14ac:dyDescent="0.2">
      <c r="A342" s="79" t="s">
        <v>544</v>
      </c>
      <c r="B342" s="80" t="s">
        <v>2286</v>
      </c>
      <c r="C342" s="81" t="s">
        <v>1435</v>
      </c>
      <c r="D342" s="81">
        <v>1</v>
      </c>
      <c r="E342" s="110">
        <f t="shared" si="4"/>
        <v>6926.923468607999</v>
      </c>
      <c r="F342" s="110">
        <v>6797.0988799999996</v>
      </c>
      <c r="G342" s="509"/>
    </row>
    <row r="343" spans="1:7" ht="29.25" customHeight="1" x14ac:dyDescent="0.2">
      <c r="A343" s="79" t="s">
        <v>545</v>
      </c>
      <c r="B343" s="80" t="s">
        <v>2287</v>
      </c>
      <c r="C343" s="81" t="s">
        <v>1435</v>
      </c>
      <c r="D343" s="81">
        <v>1</v>
      </c>
      <c r="E343" s="110">
        <f t="shared" si="4"/>
        <v>7872.7149422063976</v>
      </c>
      <c r="F343" s="110">
        <v>7725.1643039999981</v>
      </c>
      <c r="G343" s="509"/>
    </row>
    <row r="344" spans="1:7" ht="29.25" customHeight="1" x14ac:dyDescent="0.2">
      <c r="A344" s="79" t="s">
        <v>882</v>
      </c>
      <c r="B344" s="80" t="s">
        <v>883</v>
      </c>
      <c r="C344" s="81" t="s">
        <v>1435</v>
      </c>
      <c r="D344" s="81">
        <v>1</v>
      </c>
      <c r="E344" s="110">
        <f t="shared" si="4"/>
        <v>15772.760915340001</v>
      </c>
      <c r="F344" s="110">
        <v>15477.147400000002</v>
      </c>
      <c r="G344" s="509"/>
    </row>
    <row r="345" spans="1:7" ht="29.25" customHeight="1" x14ac:dyDescent="0.2">
      <c r="A345" s="79" t="s">
        <v>807</v>
      </c>
      <c r="B345" s="80" t="s">
        <v>1085</v>
      </c>
      <c r="C345" s="81" t="s">
        <v>1435</v>
      </c>
      <c r="D345" s="81">
        <v>1</v>
      </c>
      <c r="E345" s="110">
        <f t="shared" si="4"/>
        <v>6254.9723178095992</v>
      </c>
      <c r="F345" s="110">
        <v>6137.7414559999997</v>
      </c>
      <c r="G345" s="509"/>
    </row>
    <row r="346" spans="1:7" ht="29.25" customHeight="1" x14ac:dyDescent="0.2">
      <c r="A346" s="79" t="s">
        <v>509</v>
      </c>
      <c r="B346" s="80" t="s">
        <v>2889</v>
      </c>
      <c r="C346" s="81" t="s">
        <v>1435</v>
      </c>
      <c r="D346" s="81">
        <v>1</v>
      </c>
      <c r="E346" s="110">
        <f t="shared" si="4"/>
        <v>93963.050801333971</v>
      </c>
      <c r="F346" s="110">
        <v>92201.992739999987</v>
      </c>
      <c r="G346" s="509"/>
    </row>
    <row r="347" spans="1:7" ht="29.25" customHeight="1" x14ac:dyDescent="0.2">
      <c r="A347" s="79" t="s">
        <v>2232</v>
      </c>
      <c r="B347" s="80" t="s">
        <v>2890</v>
      </c>
      <c r="C347" s="81" t="s">
        <v>1424</v>
      </c>
      <c r="D347" s="81">
        <v>1</v>
      </c>
      <c r="E347" s="110">
        <f t="shared" si="4"/>
        <v>59516.102414999994</v>
      </c>
      <c r="F347" s="110">
        <v>58400.65</v>
      </c>
      <c r="G347" s="509"/>
    </row>
    <row r="348" spans="1:7" ht="29.25" customHeight="1" x14ac:dyDescent="0.2">
      <c r="A348" s="79" t="s">
        <v>870</v>
      </c>
      <c r="B348" s="80" t="s">
        <v>871</v>
      </c>
      <c r="C348" s="81" t="s">
        <v>1435</v>
      </c>
      <c r="D348" s="81">
        <v>1</v>
      </c>
      <c r="E348" s="110">
        <f t="shared" si="4"/>
        <v>2069.2920663557998</v>
      </c>
      <c r="F348" s="110">
        <v>2030.5093380000001</v>
      </c>
      <c r="G348" s="509"/>
    </row>
    <row r="349" spans="1:7" ht="29.25" customHeight="1" x14ac:dyDescent="0.2">
      <c r="A349" s="79" t="s">
        <v>656</v>
      </c>
      <c r="B349" s="80" t="s">
        <v>657</v>
      </c>
      <c r="C349" s="81" t="s">
        <v>1412</v>
      </c>
      <c r="D349" s="81">
        <v>1</v>
      </c>
      <c r="E349" s="110">
        <f t="shared" si="4"/>
        <v>24421.401528844319</v>
      </c>
      <c r="F349" s="110">
        <v>23963.694955200001</v>
      </c>
      <c r="G349" s="509"/>
    </row>
    <row r="350" spans="1:7" ht="29.25" customHeight="1" x14ac:dyDescent="0.2">
      <c r="A350" s="79" t="s">
        <v>655</v>
      </c>
      <c r="B350" s="80" t="s">
        <v>1606</v>
      </c>
      <c r="C350" s="81" t="s">
        <v>1424</v>
      </c>
      <c r="D350" s="81">
        <v>1</v>
      </c>
      <c r="E350" s="110">
        <f t="shared" si="4"/>
        <v>252202.52051939993</v>
      </c>
      <c r="F350" s="110">
        <v>247475.73399999997</v>
      </c>
      <c r="G350" s="509"/>
    </row>
    <row r="351" spans="1:7" ht="29.25" customHeight="1" x14ac:dyDescent="0.2">
      <c r="A351" s="79" t="s">
        <v>859</v>
      </c>
      <c r="B351" s="80" t="s">
        <v>860</v>
      </c>
      <c r="C351" s="81" t="s">
        <v>1412</v>
      </c>
      <c r="D351" s="81">
        <v>1</v>
      </c>
      <c r="E351" s="110">
        <f t="shared" si="4"/>
        <v>5719.3914393758996</v>
      </c>
      <c r="F351" s="110">
        <v>5612.1984490000004</v>
      </c>
      <c r="G351" s="509"/>
    </row>
    <row r="352" spans="1:7" ht="29.25" customHeight="1" x14ac:dyDescent="0.2">
      <c r="A352" s="79" t="s">
        <v>894</v>
      </c>
      <c r="B352" s="80" t="s">
        <v>895</v>
      </c>
      <c r="C352" s="81" t="s">
        <v>1412</v>
      </c>
      <c r="D352" s="81">
        <v>1</v>
      </c>
      <c r="E352" s="110">
        <f t="shared" si="4"/>
        <v>3648.92230131</v>
      </c>
      <c r="F352" s="110">
        <v>3580.5341000000003</v>
      </c>
      <c r="G352" s="509"/>
    </row>
    <row r="353" spans="1:7" ht="29.25" customHeight="1" x14ac:dyDescent="0.2">
      <c r="A353" s="79" t="s">
        <v>683</v>
      </c>
      <c r="B353" s="80" t="s">
        <v>684</v>
      </c>
      <c r="C353" s="81" t="s">
        <v>1412</v>
      </c>
      <c r="D353" s="81">
        <v>1</v>
      </c>
      <c r="E353" s="110">
        <f t="shared" si="4"/>
        <v>26105.462979287993</v>
      </c>
      <c r="F353" s="110">
        <v>25616.193679999997</v>
      </c>
      <c r="G353" s="509"/>
    </row>
    <row r="354" spans="1:7" ht="29.25" customHeight="1" x14ac:dyDescent="0.2">
      <c r="A354" s="79" t="s">
        <v>614</v>
      </c>
      <c r="B354" s="80" t="s">
        <v>615</v>
      </c>
      <c r="C354" s="81" t="s">
        <v>1435</v>
      </c>
      <c r="D354" s="81">
        <v>1</v>
      </c>
      <c r="E354" s="110">
        <f t="shared" si="4"/>
        <v>3022.7378186543997</v>
      </c>
      <c r="F354" s="110">
        <v>2966.0855839999999</v>
      </c>
      <c r="G354" s="509"/>
    </row>
    <row r="355" spans="1:7" ht="29.25" customHeight="1" x14ac:dyDescent="0.2">
      <c r="A355" s="79" t="s">
        <v>2215</v>
      </c>
      <c r="B355" s="80" t="s">
        <v>320</v>
      </c>
      <c r="C355" s="81" t="s">
        <v>1424</v>
      </c>
      <c r="D355" s="81">
        <v>1</v>
      </c>
      <c r="E355" s="110">
        <f t="shared" si="4"/>
        <v>82001.042984519983</v>
      </c>
      <c r="F355" s="110">
        <v>80464.177199999991</v>
      </c>
      <c r="G355" s="509"/>
    </row>
    <row r="356" spans="1:7" ht="29.25" customHeight="1" x14ac:dyDescent="0.2">
      <c r="A356" s="79" t="s">
        <v>1103</v>
      </c>
      <c r="B356" s="80" t="s">
        <v>1104</v>
      </c>
      <c r="C356" s="81" t="s">
        <v>1414</v>
      </c>
      <c r="D356" s="81">
        <v>1</v>
      </c>
      <c r="E356" s="110">
        <f t="shared" si="4"/>
        <v>1382.2673308210801</v>
      </c>
      <c r="F356" s="110">
        <v>1356.3608388000002</v>
      </c>
      <c r="G356" s="509"/>
    </row>
    <row r="357" spans="1:7" ht="29.25" customHeight="1" x14ac:dyDescent="0.2">
      <c r="A357" s="79" t="s">
        <v>669</v>
      </c>
      <c r="B357" s="80" t="s">
        <v>180</v>
      </c>
      <c r="C357" s="81" t="s">
        <v>1432</v>
      </c>
      <c r="D357" s="81">
        <v>1</v>
      </c>
      <c r="E357" s="110">
        <f t="shared" si="4"/>
        <v>807273.28828563448</v>
      </c>
      <c r="F357" s="110">
        <v>792143.35029500001</v>
      </c>
      <c r="G357" s="509"/>
    </row>
    <row r="358" spans="1:7" ht="29.25" customHeight="1" x14ac:dyDescent="0.2">
      <c r="A358" s="79" t="s">
        <v>2218</v>
      </c>
      <c r="B358" s="80" t="s">
        <v>2891</v>
      </c>
      <c r="C358" s="81" t="s">
        <v>1432</v>
      </c>
      <c r="D358" s="81">
        <v>1</v>
      </c>
      <c r="E358" s="110">
        <f t="shared" si="4"/>
        <v>694418.42425031983</v>
      </c>
      <c r="F358" s="110">
        <v>681403.61519999988</v>
      </c>
      <c r="G358" s="509"/>
    </row>
    <row r="359" spans="1:7" ht="29.25" customHeight="1" x14ac:dyDescent="0.2">
      <c r="A359" s="79" t="s">
        <v>767</v>
      </c>
      <c r="B359" s="80" t="s">
        <v>2892</v>
      </c>
      <c r="C359" s="81" t="s">
        <v>1435</v>
      </c>
      <c r="D359" s="81">
        <v>1</v>
      </c>
      <c r="E359" s="110">
        <f t="shared" si="4"/>
        <v>163822.76472539999</v>
      </c>
      <c r="F359" s="110">
        <v>160752.394</v>
      </c>
      <c r="G359" s="509"/>
    </row>
    <row r="360" spans="1:7" ht="29.25" customHeight="1" x14ac:dyDescent="0.2">
      <c r="A360" s="79" t="s">
        <v>567</v>
      </c>
      <c r="B360" s="80" t="s">
        <v>2893</v>
      </c>
      <c r="C360" s="81" t="s">
        <v>1424</v>
      </c>
      <c r="D360" s="81">
        <v>1</v>
      </c>
      <c r="E360" s="110">
        <f t="shared" si="4"/>
        <v>42069.823784999993</v>
      </c>
      <c r="F360" s="110">
        <v>41281.35</v>
      </c>
      <c r="G360" s="509"/>
    </row>
    <row r="361" spans="1:7" ht="29.25" customHeight="1" x14ac:dyDescent="0.2">
      <c r="A361" s="79" t="s">
        <v>2216</v>
      </c>
      <c r="B361" s="80" t="s">
        <v>2894</v>
      </c>
      <c r="C361" s="81" t="s">
        <v>470</v>
      </c>
      <c r="D361" s="81">
        <v>1</v>
      </c>
      <c r="E361" s="110">
        <f t="shared" si="4"/>
        <v>8348.5787547624004</v>
      </c>
      <c r="F361" s="110">
        <v>8192.109464000001</v>
      </c>
      <c r="G361" s="509"/>
    </row>
    <row r="362" spans="1:7" ht="29.25" customHeight="1" x14ac:dyDescent="0.2">
      <c r="A362" s="79" t="s">
        <v>647</v>
      </c>
      <c r="B362" s="80" t="s">
        <v>66</v>
      </c>
      <c r="C362" s="81" t="s">
        <v>1424</v>
      </c>
      <c r="D362" s="81">
        <v>1</v>
      </c>
      <c r="E362" s="110">
        <f t="shared" si="4"/>
        <v>267151.50790884596</v>
      </c>
      <c r="F362" s="110">
        <v>262144.54706000001</v>
      </c>
      <c r="G362" s="509"/>
    </row>
    <row r="363" spans="1:7" ht="29.25" customHeight="1" x14ac:dyDescent="0.2">
      <c r="A363" s="79" t="s">
        <v>751</v>
      </c>
      <c r="B363" s="80" t="s">
        <v>1890</v>
      </c>
      <c r="C363" s="81" t="s">
        <v>1435</v>
      </c>
      <c r="D363" s="81">
        <v>1</v>
      </c>
      <c r="E363" s="110">
        <f t="shared" si="4"/>
        <v>31113.985434531514</v>
      </c>
      <c r="F363" s="110">
        <v>30530.846270760001</v>
      </c>
      <c r="G363" s="509"/>
    </row>
    <row r="364" spans="1:7" ht="29.25" customHeight="1" x14ac:dyDescent="0.2">
      <c r="A364" s="79" t="s">
        <v>2240</v>
      </c>
      <c r="B364" s="80" t="s">
        <v>2895</v>
      </c>
      <c r="C364" s="81" t="s">
        <v>1424</v>
      </c>
      <c r="D364" s="81">
        <v>1</v>
      </c>
      <c r="E364" s="110">
        <f t="shared" si="4"/>
        <v>46221.596420999995</v>
      </c>
      <c r="F364" s="110">
        <v>45355.31</v>
      </c>
      <c r="G364" s="509"/>
    </row>
    <row r="365" spans="1:7" ht="29.25" customHeight="1" x14ac:dyDescent="0.2">
      <c r="A365" s="79" t="s">
        <v>648</v>
      </c>
      <c r="B365" s="80" t="s">
        <v>649</v>
      </c>
      <c r="C365" s="81" t="s">
        <v>1424</v>
      </c>
      <c r="D365" s="81">
        <v>1</v>
      </c>
      <c r="E365" s="110">
        <f t="shared" si="4"/>
        <v>256591.40795748896</v>
      </c>
      <c r="F365" s="110">
        <v>251782.36478999999</v>
      </c>
      <c r="G365" s="509"/>
    </row>
    <row r="366" spans="1:7" ht="29.25" customHeight="1" x14ac:dyDescent="0.2">
      <c r="A366" s="79" t="s">
        <v>616</v>
      </c>
      <c r="B366" s="80" t="s">
        <v>2896</v>
      </c>
      <c r="C366" s="81" t="s">
        <v>1424</v>
      </c>
      <c r="D366" s="81">
        <v>1</v>
      </c>
      <c r="E366" s="110">
        <f t="shared" si="4"/>
        <v>19298.090687089498</v>
      </c>
      <c r="F366" s="110">
        <v>18936.405344999999</v>
      </c>
      <c r="G366" s="509"/>
    </row>
    <row r="367" spans="1:7" ht="29.25" customHeight="1" x14ac:dyDescent="0.2">
      <c r="A367" s="79" t="s">
        <v>2170</v>
      </c>
      <c r="B367" s="80" t="s">
        <v>2171</v>
      </c>
      <c r="C367" s="81" t="s">
        <v>1435</v>
      </c>
      <c r="D367" s="81">
        <v>1</v>
      </c>
      <c r="E367" s="110">
        <f t="shared" si="4"/>
        <v>33427.91611001303</v>
      </c>
      <c r="F367" s="110">
        <v>32801.409194399996</v>
      </c>
      <c r="G367" s="509"/>
    </row>
    <row r="368" spans="1:7" ht="29.25" customHeight="1" x14ac:dyDescent="0.2">
      <c r="A368" s="79" t="s">
        <v>2492</v>
      </c>
      <c r="B368" s="80" t="s">
        <v>2493</v>
      </c>
      <c r="C368" s="81" t="s">
        <v>1414</v>
      </c>
      <c r="D368" s="81">
        <v>1</v>
      </c>
      <c r="E368" s="110">
        <f t="shared" si="4"/>
        <v>17795.518898132246</v>
      </c>
      <c r="F368" s="110">
        <v>17461.9947975</v>
      </c>
      <c r="G368" s="509"/>
    </row>
    <row r="369" spans="1:7" ht="29.25" customHeight="1" x14ac:dyDescent="0.2">
      <c r="A369" s="79" t="s">
        <v>760</v>
      </c>
      <c r="B369" s="80" t="s">
        <v>761</v>
      </c>
      <c r="C369" s="81" t="s">
        <v>1435</v>
      </c>
      <c r="D369" s="81">
        <v>1</v>
      </c>
      <c r="E369" s="110">
        <f t="shared" si="4"/>
        <v>939.89065631999995</v>
      </c>
      <c r="F369" s="110">
        <v>922.27520000000004</v>
      </c>
      <c r="G369" s="509"/>
    </row>
    <row r="370" spans="1:7" ht="29.25" customHeight="1" x14ac:dyDescent="0.2">
      <c r="A370" s="79" t="s">
        <v>737</v>
      </c>
      <c r="B370" s="80" t="s">
        <v>2897</v>
      </c>
      <c r="C370" s="81" t="s">
        <v>1435</v>
      </c>
      <c r="D370" s="81">
        <v>1</v>
      </c>
      <c r="E370" s="110">
        <f t="shared" si="4"/>
        <v>2584.69930488</v>
      </c>
      <c r="F370" s="110">
        <v>2536.2568000000001</v>
      </c>
      <c r="G370" s="509"/>
    </row>
    <row r="371" spans="1:7" ht="29.25" customHeight="1" x14ac:dyDescent="0.2">
      <c r="A371" s="79" t="s">
        <v>787</v>
      </c>
      <c r="B371" s="80" t="s">
        <v>1996</v>
      </c>
      <c r="C371" s="81" t="s">
        <v>1412</v>
      </c>
      <c r="D371" s="81">
        <v>1</v>
      </c>
      <c r="E371" s="110">
        <f t="shared" si="4"/>
        <v>8987.7044010600002</v>
      </c>
      <c r="F371" s="110">
        <v>8819.2566000000006</v>
      </c>
      <c r="G371" s="509"/>
    </row>
    <row r="372" spans="1:7" ht="29.25" customHeight="1" x14ac:dyDescent="0.2">
      <c r="A372" s="79" t="s">
        <v>745</v>
      </c>
      <c r="B372" s="80" t="s">
        <v>746</v>
      </c>
      <c r="C372" s="81" t="s">
        <v>1435</v>
      </c>
      <c r="D372" s="81">
        <v>1</v>
      </c>
      <c r="E372" s="110">
        <f t="shared" si="4"/>
        <v>516.93986097599998</v>
      </c>
      <c r="F372" s="110">
        <v>507.25136000000003</v>
      </c>
      <c r="G372" s="509"/>
    </row>
    <row r="373" spans="1:7" ht="29.25" customHeight="1" x14ac:dyDescent="0.2">
      <c r="A373" s="79" t="s">
        <v>630</v>
      </c>
      <c r="B373" s="80" t="s">
        <v>631</v>
      </c>
      <c r="C373" s="81" t="s">
        <v>1435</v>
      </c>
      <c r="D373" s="81">
        <v>1</v>
      </c>
      <c r="E373" s="110">
        <f t="shared" si="4"/>
        <v>276070.17804788396</v>
      </c>
      <c r="F373" s="110">
        <v>270896.06323999999</v>
      </c>
      <c r="G373" s="509"/>
    </row>
    <row r="374" spans="1:7" ht="29.25" customHeight="1" x14ac:dyDescent="0.2">
      <c r="A374" s="79" t="s">
        <v>719</v>
      </c>
      <c r="B374" s="80" t="s">
        <v>720</v>
      </c>
      <c r="C374" s="81" t="s">
        <v>1412</v>
      </c>
      <c r="D374" s="81">
        <v>1</v>
      </c>
      <c r="E374" s="110">
        <f t="shared" si="4"/>
        <v>15508.195829279999</v>
      </c>
      <c r="F374" s="110">
        <v>15217.540800000001</v>
      </c>
      <c r="G374" s="509"/>
    </row>
    <row r="375" spans="1:7" ht="29.25" customHeight="1" x14ac:dyDescent="0.2">
      <c r="A375" s="79" t="s">
        <v>788</v>
      </c>
      <c r="B375" s="80" t="s">
        <v>789</v>
      </c>
      <c r="C375" s="81" t="s">
        <v>696</v>
      </c>
      <c r="D375" s="81"/>
      <c r="E375" s="110">
        <f t="shared" si="4"/>
        <v>0</v>
      </c>
      <c r="F375" s="110" t="s">
        <v>3298</v>
      </c>
      <c r="G375" s="509"/>
    </row>
    <row r="376" spans="1:7" ht="29.25" customHeight="1" x14ac:dyDescent="0.2">
      <c r="A376" s="79" t="s">
        <v>2186</v>
      </c>
      <c r="B376" s="80" t="s">
        <v>100</v>
      </c>
      <c r="C376" s="81" t="s">
        <v>1414</v>
      </c>
      <c r="D376" s="81">
        <v>1</v>
      </c>
      <c r="E376" s="110">
        <f t="shared" ref="E376:E439" si="5">+F376*(1+($F$2/100))</f>
        <v>24109.941066665848</v>
      </c>
      <c r="F376" s="110">
        <v>23658.0718935</v>
      </c>
      <c r="G376" s="509"/>
    </row>
    <row r="377" spans="1:7" ht="29.25" customHeight="1" x14ac:dyDescent="0.2">
      <c r="A377" s="79" t="s">
        <v>887</v>
      </c>
      <c r="B377" s="80" t="s">
        <v>888</v>
      </c>
      <c r="C377" s="81" t="s">
        <v>1412</v>
      </c>
      <c r="D377" s="81">
        <v>1</v>
      </c>
      <c r="E377" s="110">
        <f t="shared" si="5"/>
        <v>1750.3056329187</v>
      </c>
      <c r="F377" s="110">
        <v>1717.5013570000001</v>
      </c>
      <c r="G377" s="509"/>
    </row>
    <row r="378" spans="1:7" ht="29.25" customHeight="1" x14ac:dyDescent="0.2">
      <c r="A378" s="79" t="s">
        <v>281</v>
      </c>
      <c r="B378" s="80" t="s">
        <v>2898</v>
      </c>
      <c r="C378" s="81" t="s">
        <v>1424</v>
      </c>
      <c r="D378" s="81">
        <v>1</v>
      </c>
      <c r="E378" s="110">
        <f t="shared" si="5"/>
        <v>7377.6778902749993</v>
      </c>
      <c r="F378" s="110">
        <v>7239.4052499999998</v>
      </c>
      <c r="G378" s="509"/>
    </row>
    <row r="379" spans="1:7" ht="29.25" customHeight="1" x14ac:dyDescent="0.2">
      <c r="A379" s="79" t="s">
        <v>635</v>
      </c>
      <c r="B379" s="80" t="s">
        <v>636</v>
      </c>
      <c r="C379" s="81" t="s">
        <v>1435</v>
      </c>
      <c r="D379" s="81">
        <v>1</v>
      </c>
      <c r="E379" s="110">
        <f t="shared" si="5"/>
        <v>456417.60484047298</v>
      </c>
      <c r="F379" s="110">
        <v>447863.41363994998</v>
      </c>
      <c r="G379" s="509"/>
    </row>
    <row r="380" spans="1:7" ht="29.25" customHeight="1" x14ac:dyDescent="0.2">
      <c r="A380" s="79" t="s">
        <v>591</v>
      </c>
      <c r="B380" s="80" t="s">
        <v>592</v>
      </c>
      <c r="C380" s="81" t="s">
        <v>2156</v>
      </c>
      <c r="D380" s="81">
        <v>1</v>
      </c>
      <c r="E380" s="110">
        <f t="shared" si="5"/>
        <v>135705.54706499999</v>
      </c>
      <c r="F380" s="110">
        <v>133162.15</v>
      </c>
      <c r="G380" s="509"/>
    </row>
    <row r="381" spans="1:7" ht="29.25" customHeight="1" x14ac:dyDescent="0.2">
      <c r="A381" s="79" t="s">
        <v>595</v>
      </c>
      <c r="B381" s="80" t="s">
        <v>2899</v>
      </c>
      <c r="C381" s="81" t="s">
        <v>1435</v>
      </c>
      <c r="D381" s="81">
        <v>1</v>
      </c>
      <c r="E381" s="110">
        <f t="shared" si="5"/>
        <v>400712.31106499996</v>
      </c>
      <c r="F381" s="110">
        <v>393202.15</v>
      </c>
      <c r="G381" s="509"/>
    </row>
    <row r="382" spans="1:7" ht="29.25" customHeight="1" x14ac:dyDescent="0.2">
      <c r="A382" s="79" t="s">
        <v>752</v>
      </c>
      <c r="B382" s="80" t="s">
        <v>753</v>
      </c>
      <c r="C382" s="81" t="s">
        <v>1435</v>
      </c>
      <c r="D382" s="81">
        <v>1</v>
      </c>
      <c r="E382" s="110">
        <f t="shared" si="5"/>
        <v>339970.55236649996</v>
      </c>
      <c r="F382" s="110">
        <v>333598.815</v>
      </c>
      <c r="G382" s="509"/>
    </row>
    <row r="383" spans="1:7" s="49" customFormat="1" ht="29.25" customHeight="1" x14ac:dyDescent="0.2">
      <c r="A383" s="79" t="s">
        <v>493</v>
      </c>
      <c r="B383" s="80" t="s">
        <v>2288</v>
      </c>
      <c r="C383" s="81" t="s">
        <v>1424</v>
      </c>
      <c r="D383" s="81">
        <v>1</v>
      </c>
      <c r="E383" s="110">
        <f t="shared" si="5"/>
        <v>20314.424752874998</v>
      </c>
      <c r="F383" s="110">
        <v>19933.69125</v>
      </c>
      <c r="G383" s="509"/>
    </row>
    <row r="384" spans="1:7" ht="29.25" customHeight="1" x14ac:dyDescent="0.2">
      <c r="A384" s="79" t="s">
        <v>662</v>
      </c>
      <c r="B384" s="80" t="s">
        <v>663</v>
      </c>
      <c r="C384" s="81" t="s">
        <v>1435</v>
      </c>
      <c r="D384" s="81">
        <v>1</v>
      </c>
      <c r="E384" s="110">
        <f t="shared" si="5"/>
        <v>17095.503884368602</v>
      </c>
      <c r="F384" s="110">
        <v>16775.099484220002</v>
      </c>
      <c r="G384" s="509"/>
    </row>
    <row r="385" spans="1:7" ht="29.25" customHeight="1" x14ac:dyDescent="0.2">
      <c r="A385" s="79" t="s">
        <v>2846</v>
      </c>
      <c r="B385" s="80" t="s">
        <v>2847</v>
      </c>
      <c r="C385" s="81" t="s">
        <v>1435</v>
      </c>
      <c r="D385" s="81">
        <v>1</v>
      </c>
      <c r="E385" s="110">
        <f t="shared" si="5"/>
        <v>169365.82287239999</v>
      </c>
      <c r="F385" s="110">
        <v>166191.56400000001</v>
      </c>
      <c r="G385" s="509"/>
    </row>
    <row r="386" spans="1:7" ht="29.25" customHeight="1" x14ac:dyDescent="0.2">
      <c r="A386" s="79" t="s">
        <v>660</v>
      </c>
      <c r="B386" s="80" t="s">
        <v>661</v>
      </c>
      <c r="C386" s="81" t="s">
        <v>1435</v>
      </c>
      <c r="D386" s="81">
        <v>1</v>
      </c>
      <c r="E386" s="110">
        <f t="shared" si="5"/>
        <v>12734.3339454043</v>
      </c>
      <c r="F386" s="110">
        <v>12495.666711219999</v>
      </c>
      <c r="G386" s="509"/>
    </row>
    <row r="387" spans="1:7" ht="29.25" customHeight="1" x14ac:dyDescent="0.2">
      <c r="A387" s="79" t="s">
        <v>765</v>
      </c>
      <c r="B387" s="80" t="s">
        <v>766</v>
      </c>
      <c r="C387" s="81" t="s">
        <v>1435</v>
      </c>
      <c r="D387" s="81">
        <v>1</v>
      </c>
      <c r="E387" s="110">
        <f t="shared" si="5"/>
        <v>420828.90561848128</v>
      </c>
      <c r="F387" s="110">
        <v>412941.71878959995</v>
      </c>
      <c r="G387" s="509"/>
    </row>
    <row r="388" spans="1:7" ht="29.25" customHeight="1" x14ac:dyDescent="0.2">
      <c r="A388" s="79" t="s">
        <v>738</v>
      </c>
      <c r="B388" s="80" t="s">
        <v>739</v>
      </c>
      <c r="C388" s="81" t="s">
        <v>1435</v>
      </c>
      <c r="D388" s="81">
        <v>1</v>
      </c>
      <c r="E388" s="110">
        <f t="shared" si="5"/>
        <v>4816.9396136400001</v>
      </c>
      <c r="F388" s="110">
        <v>4726.6604000000007</v>
      </c>
      <c r="G388" s="509"/>
    </row>
    <row r="389" spans="1:7" ht="29.25" customHeight="1" x14ac:dyDescent="0.2">
      <c r="A389" s="79" t="s">
        <v>717</v>
      </c>
      <c r="B389" s="80" t="s">
        <v>718</v>
      </c>
      <c r="C389" s="81" t="s">
        <v>1412</v>
      </c>
      <c r="D389" s="81">
        <v>1</v>
      </c>
      <c r="E389" s="110">
        <f t="shared" si="5"/>
        <v>30433.376777759997</v>
      </c>
      <c r="F389" s="110">
        <v>29862.993600000002</v>
      </c>
      <c r="G389" s="509"/>
    </row>
    <row r="390" spans="1:7" ht="29.25" customHeight="1" x14ac:dyDescent="0.2">
      <c r="A390" s="79" t="s">
        <v>487</v>
      </c>
      <c r="B390" s="80" t="s">
        <v>989</v>
      </c>
      <c r="C390" s="81" t="s">
        <v>1412</v>
      </c>
      <c r="D390" s="81">
        <v>1</v>
      </c>
      <c r="E390" s="110">
        <f t="shared" si="5"/>
        <v>14537.233129880997</v>
      </c>
      <c r="F390" s="110">
        <v>14264.775909999998</v>
      </c>
      <c r="G390" s="509"/>
    </row>
    <row r="391" spans="1:7" ht="29.25" customHeight="1" x14ac:dyDescent="0.2">
      <c r="A391" s="84" t="s">
        <v>566</v>
      </c>
      <c r="B391" s="82" t="s">
        <v>107</v>
      </c>
      <c r="C391" s="83" t="s">
        <v>1414</v>
      </c>
      <c r="D391" s="83">
        <v>1</v>
      </c>
      <c r="E391" s="110">
        <f t="shared" si="5"/>
        <v>19510.502441994297</v>
      </c>
      <c r="F391" s="110">
        <v>19144.836072999999</v>
      </c>
      <c r="G391" s="509"/>
    </row>
    <row r="392" spans="1:7" ht="29.25" customHeight="1" x14ac:dyDescent="0.2">
      <c r="A392" s="79" t="s">
        <v>2145</v>
      </c>
      <c r="B392" s="80" t="s">
        <v>2146</v>
      </c>
      <c r="C392" s="81" t="s">
        <v>1435</v>
      </c>
      <c r="D392" s="81">
        <v>1</v>
      </c>
      <c r="E392" s="110">
        <f t="shared" si="5"/>
        <v>182.36352129071997</v>
      </c>
      <c r="F392" s="110">
        <v>178.94565919999999</v>
      </c>
      <c r="G392" s="509"/>
    </row>
    <row r="393" spans="1:7" ht="29.25" customHeight="1" x14ac:dyDescent="0.2">
      <c r="A393" s="79" t="s">
        <v>2168</v>
      </c>
      <c r="B393" s="80" t="s">
        <v>2169</v>
      </c>
      <c r="C393" s="81" t="s">
        <v>1435</v>
      </c>
      <c r="D393" s="81">
        <v>1</v>
      </c>
      <c r="E393" s="110">
        <f t="shared" si="5"/>
        <v>69675.739161650155</v>
      </c>
      <c r="F393" s="110">
        <v>68369.874557600007</v>
      </c>
      <c r="G393" s="509"/>
    </row>
    <row r="394" spans="1:7" ht="29.25" customHeight="1" x14ac:dyDescent="0.2">
      <c r="A394" s="79" t="s">
        <v>1077</v>
      </c>
      <c r="B394" s="80" t="s">
        <v>2900</v>
      </c>
      <c r="C394" s="81" t="s">
        <v>1414</v>
      </c>
      <c r="D394" s="81">
        <v>1</v>
      </c>
      <c r="E394" s="110">
        <f t="shared" si="5"/>
        <v>12020.574311657998</v>
      </c>
      <c r="F394" s="110">
        <v>11795.284379999999</v>
      </c>
      <c r="G394" s="509"/>
    </row>
    <row r="395" spans="1:7" ht="29.25" customHeight="1" x14ac:dyDescent="0.2">
      <c r="A395" s="79" t="s">
        <v>548</v>
      </c>
      <c r="B395" s="80" t="s">
        <v>2901</v>
      </c>
      <c r="C395" s="81" t="s">
        <v>1435</v>
      </c>
      <c r="D395" s="81">
        <v>1</v>
      </c>
      <c r="E395" s="110">
        <f t="shared" si="5"/>
        <v>4555.3558536749997</v>
      </c>
      <c r="F395" s="110">
        <v>4469.9792500000003</v>
      </c>
      <c r="G395" s="509"/>
    </row>
    <row r="396" spans="1:7" ht="29.25" customHeight="1" x14ac:dyDescent="0.2">
      <c r="A396" s="79" t="s">
        <v>2176</v>
      </c>
      <c r="B396" s="80" t="s">
        <v>2314</v>
      </c>
      <c r="C396" s="81" t="s">
        <v>1424</v>
      </c>
      <c r="D396" s="81">
        <v>1</v>
      </c>
      <c r="E396" s="110">
        <f t="shared" si="5"/>
        <v>75093.051245789786</v>
      </c>
      <c r="F396" s="110">
        <v>73685.655230879987</v>
      </c>
      <c r="G396" s="509"/>
    </row>
    <row r="397" spans="1:7" ht="29.25" customHeight="1" x14ac:dyDescent="0.2">
      <c r="A397" s="84" t="s">
        <v>823</v>
      </c>
      <c r="B397" s="82" t="s">
        <v>824</v>
      </c>
      <c r="C397" s="83" t="s">
        <v>1412</v>
      </c>
      <c r="D397" s="83">
        <v>1</v>
      </c>
      <c r="E397" s="110">
        <f t="shared" si="5"/>
        <v>121886.54851724998</v>
      </c>
      <c r="F397" s="110">
        <v>119602.14749999999</v>
      </c>
      <c r="G397" s="509"/>
    </row>
    <row r="398" spans="1:7" ht="29.25" customHeight="1" x14ac:dyDescent="0.2">
      <c r="A398" s="79" t="s">
        <v>825</v>
      </c>
      <c r="B398" s="80" t="s">
        <v>826</v>
      </c>
      <c r="C398" s="81" t="s">
        <v>1412</v>
      </c>
      <c r="D398" s="81">
        <v>1</v>
      </c>
      <c r="E398" s="110">
        <f t="shared" si="5"/>
        <v>156769.12440790338</v>
      </c>
      <c r="F398" s="110">
        <v>153830.95320174997</v>
      </c>
      <c r="G398" s="509"/>
    </row>
    <row r="399" spans="1:7" ht="29.25" customHeight="1" x14ac:dyDescent="0.2">
      <c r="A399" s="79" t="s">
        <v>827</v>
      </c>
      <c r="B399" s="80" t="s">
        <v>828</v>
      </c>
      <c r="C399" s="81" t="s">
        <v>1412</v>
      </c>
      <c r="D399" s="81">
        <v>1</v>
      </c>
      <c r="E399" s="110">
        <f t="shared" si="5"/>
        <v>237509.48273569686</v>
      </c>
      <c r="F399" s="110">
        <v>233058.07353125</v>
      </c>
      <c r="G399" s="509"/>
    </row>
    <row r="400" spans="1:7" ht="29.25" customHeight="1" x14ac:dyDescent="0.2">
      <c r="A400" s="79" t="s">
        <v>829</v>
      </c>
      <c r="B400" s="80" t="s">
        <v>830</v>
      </c>
      <c r="C400" s="81" t="s">
        <v>1412</v>
      </c>
      <c r="D400" s="81">
        <v>1</v>
      </c>
      <c r="E400" s="110">
        <f t="shared" si="5"/>
        <v>291308.85095622751</v>
      </c>
      <c r="F400" s="110">
        <v>285849.13252500002</v>
      </c>
      <c r="G400" s="509"/>
    </row>
    <row r="401" spans="1:7" ht="29.25" customHeight="1" x14ac:dyDescent="0.2">
      <c r="A401" s="79" t="s">
        <v>2183</v>
      </c>
      <c r="B401" s="80" t="s">
        <v>2184</v>
      </c>
      <c r="C401" s="81" t="s">
        <v>1424</v>
      </c>
      <c r="D401" s="81">
        <v>1</v>
      </c>
      <c r="E401" s="110">
        <f t="shared" si="5"/>
        <v>2045.4370408164</v>
      </c>
      <c r="F401" s="110">
        <v>2007.1014040000002</v>
      </c>
      <c r="G401" s="509"/>
    </row>
    <row r="402" spans="1:7" ht="29.25" customHeight="1" x14ac:dyDescent="0.2">
      <c r="A402" s="79" t="s">
        <v>831</v>
      </c>
      <c r="B402" s="80" t="s">
        <v>832</v>
      </c>
      <c r="C402" s="81" t="s">
        <v>1412</v>
      </c>
      <c r="D402" s="81">
        <v>1</v>
      </c>
      <c r="E402" s="110">
        <f t="shared" si="5"/>
        <v>613736.938279344</v>
      </c>
      <c r="F402" s="110">
        <v>602234.26384000003</v>
      </c>
      <c r="G402" s="509"/>
    </row>
    <row r="403" spans="1:7" ht="29.25" customHeight="1" x14ac:dyDescent="0.2">
      <c r="A403" s="79" t="s">
        <v>833</v>
      </c>
      <c r="B403" s="80" t="s">
        <v>834</v>
      </c>
      <c r="C403" s="81" t="s">
        <v>1412</v>
      </c>
      <c r="D403" s="81">
        <v>1</v>
      </c>
      <c r="E403" s="110">
        <f t="shared" si="5"/>
        <v>780029.58812912088</v>
      </c>
      <c r="F403" s="110">
        <v>765410.25231000001</v>
      </c>
      <c r="G403" s="509"/>
    </row>
    <row r="404" spans="1:7" ht="29.25" customHeight="1" x14ac:dyDescent="0.2">
      <c r="A404" s="79" t="s">
        <v>715</v>
      </c>
      <c r="B404" s="80" t="s">
        <v>716</v>
      </c>
      <c r="C404" s="81" t="s">
        <v>1412</v>
      </c>
      <c r="D404" s="81">
        <v>1</v>
      </c>
      <c r="E404" s="110">
        <f t="shared" si="5"/>
        <v>30971.450928164995</v>
      </c>
      <c r="F404" s="110">
        <v>30390.98315</v>
      </c>
      <c r="G404" s="509"/>
    </row>
    <row r="405" spans="1:7" ht="29.25" customHeight="1" x14ac:dyDescent="0.2">
      <c r="A405" s="79" t="s">
        <v>713</v>
      </c>
      <c r="B405" s="80" t="s">
        <v>714</v>
      </c>
      <c r="C405" s="81" t="s">
        <v>1412</v>
      </c>
      <c r="D405" s="81">
        <v>1</v>
      </c>
      <c r="E405" s="110">
        <f t="shared" si="5"/>
        <v>47552.151215249993</v>
      </c>
      <c r="F405" s="110">
        <v>46660.927499999998</v>
      </c>
      <c r="G405" s="509"/>
    </row>
    <row r="406" spans="1:7" ht="29.25" customHeight="1" x14ac:dyDescent="0.2">
      <c r="A406" s="79" t="s">
        <v>711</v>
      </c>
      <c r="B406" s="80" t="s">
        <v>712</v>
      </c>
      <c r="C406" s="81" t="s">
        <v>1412</v>
      </c>
      <c r="D406" s="81">
        <v>1</v>
      </c>
      <c r="E406" s="110">
        <f t="shared" si="5"/>
        <v>104153.17922624999</v>
      </c>
      <c r="F406" s="110">
        <v>102201.13750000001</v>
      </c>
      <c r="G406" s="509"/>
    </row>
    <row r="407" spans="1:7" ht="29.25" customHeight="1" x14ac:dyDescent="0.2">
      <c r="A407" s="79" t="s">
        <v>709</v>
      </c>
      <c r="B407" s="80" t="s">
        <v>710</v>
      </c>
      <c r="C407" s="81" t="s">
        <v>1412</v>
      </c>
      <c r="D407" s="81">
        <v>1</v>
      </c>
      <c r="E407" s="110">
        <f t="shared" si="5"/>
        <v>170880.44694814499</v>
      </c>
      <c r="F407" s="110">
        <v>167677.80095</v>
      </c>
      <c r="G407" s="509"/>
    </row>
    <row r="408" spans="1:7" ht="29.25" customHeight="1" x14ac:dyDescent="0.2">
      <c r="A408" s="79" t="s">
        <v>723</v>
      </c>
      <c r="B408" s="80" t="s">
        <v>2035</v>
      </c>
      <c r="C408" s="81" t="s">
        <v>1435</v>
      </c>
      <c r="D408" s="81">
        <v>1</v>
      </c>
      <c r="E408" s="110">
        <f t="shared" si="5"/>
        <v>115914.28983205499</v>
      </c>
      <c r="F408" s="110">
        <v>113741.82105</v>
      </c>
      <c r="G408" s="509"/>
    </row>
    <row r="409" spans="1:7" ht="29.25" customHeight="1" x14ac:dyDescent="0.2">
      <c r="A409" s="79" t="s">
        <v>685</v>
      </c>
      <c r="B409" s="80" t="s">
        <v>1086</v>
      </c>
      <c r="C409" s="81" t="s">
        <v>2156</v>
      </c>
      <c r="D409" s="81">
        <v>1</v>
      </c>
      <c r="E409" s="110">
        <f t="shared" si="5"/>
        <v>2459.2627699199993</v>
      </c>
      <c r="F409" s="110">
        <v>2413.1711999999998</v>
      </c>
      <c r="G409" s="509"/>
    </row>
    <row r="410" spans="1:7" ht="29.25" customHeight="1" x14ac:dyDescent="0.2">
      <c r="A410" s="79" t="s">
        <v>617</v>
      </c>
      <c r="B410" s="80" t="s">
        <v>2862</v>
      </c>
      <c r="C410" s="81" t="s">
        <v>1424</v>
      </c>
      <c r="D410" s="81">
        <v>1</v>
      </c>
      <c r="E410" s="110">
        <f t="shared" si="5"/>
        <v>17557.802309849998</v>
      </c>
      <c r="F410" s="110">
        <v>17228.733499999998</v>
      </c>
      <c r="G410" s="509"/>
    </row>
    <row r="411" spans="1:7" ht="29.25" customHeight="1" x14ac:dyDescent="0.2">
      <c r="A411" s="79" t="s">
        <v>2181</v>
      </c>
      <c r="B411" s="80" t="s">
        <v>2902</v>
      </c>
      <c r="C411" s="81" t="s">
        <v>1424</v>
      </c>
      <c r="D411" s="81">
        <v>1</v>
      </c>
      <c r="E411" s="110">
        <f t="shared" si="5"/>
        <v>2611.4208202499999</v>
      </c>
      <c r="F411" s="110">
        <v>2562.4775</v>
      </c>
      <c r="G411" s="509"/>
    </row>
    <row r="412" spans="1:7" ht="29.25" customHeight="1" x14ac:dyDescent="0.2">
      <c r="A412" s="79" t="s">
        <v>550</v>
      </c>
      <c r="B412" s="80" t="s">
        <v>2291</v>
      </c>
      <c r="C412" s="81" t="s">
        <v>1424</v>
      </c>
      <c r="D412" s="81">
        <v>1</v>
      </c>
      <c r="E412" s="110">
        <f t="shared" si="5"/>
        <v>109933.63926599998</v>
      </c>
      <c r="F412" s="110">
        <v>107873.26</v>
      </c>
      <c r="G412" s="509"/>
    </row>
    <row r="413" spans="1:7" ht="29.25" customHeight="1" x14ac:dyDescent="0.2">
      <c r="A413" s="79" t="s">
        <v>549</v>
      </c>
      <c r="B413" s="80" t="s">
        <v>330</v>
      </c>
      <c r="C413" s="81" t="s">
        <v>1432</v>
      </c>
      <c r="D413" s="81">
        <v>1</v>
      </c>
      <c r="E413" s="110">
        <f t="shared" si="5"/>
        <v>658801.71944476722</v>
      </c>
      <c r="F413" s="110">
        <v>646454.43964750005</v>
      </c>
      <c r="G413" s="509"/>
    </row>
    <row r="414" spans="1:7" ht="29.25" customHeight="1" x14ac:dyDescent="0.2">
      <c r="A414" s="79" t="s">
        <v>2217</v>
      </c>
      <c r="B414" s="80" t="s">
        <v>2903</v>
      </c>
      <c r="C414" s="81" t="s">
        <v>2156</v>
      </c>
      <c r="D414" s="81">
        <v>1</v>
      </c>
      <c r="E414" s="110">
        <f t="shared" si="5"/>
        <v>36195.507182999994</v>
      </c>
      <c r="F414" s="110">
        <v>35517.129999999997</v>
      </c>
      <c r="G414" s="509"/>
    </row>
    <row r="415" spans="1:7" ht="29.25" customHeight="1" x14ac:dyDescent="0.2">
      <c r="A415" s="79" t="s">
        <v>2219</v>
      </c>
      <c r="B415" s="80" t="s">
        <v>2295</v>
      </c>
      <c r="C415" s="81" t="s">
        <v>1432</v>
      </c>
      <c r="D415" s="81">
        <v>1</v>
      </c>
      <c r="E415" s="110">
        <f t="shared" si="5"/>
        <v>586080.7573030541</v>
      </c>
      <c r="F415" s="110">
        <v>575096.4157619999</v>
      </c>
      <c r="G415" s="509"/>
    </row>
    <row r="416" spans="1:7" ht="29.25" customHeight="1" x14ac:dyDescent="0.2">
      <c r="A416" s="79" t="s">
        <v>551</v>
      </c>
      <c r="B416" s="82" t="s">
        <v>1465</v>
      </c>
      <c r="C416" s="81" t="s">
        <v>1435</v>
      </c>
      <c r="D416" s="81">
        <v>1</v>
      </c>
      <c r="E416" s="110">
        <f t="shared" si="5"/>
        <v>2800.4148107759997</v>
      </c>
      <c r="F416" s="110">
        <v>2747.9293600000001</v>
      </c>
      <c r="G416" s="509"/>
    </row>
    <row r="417" spans="1:7" ht="29.25" customHeight="1" x14ac:dyDescent="0.2">
      <c r="A417" s="79" t="s">
        <v>797</v>
      </c>
      <c r="B417" s="80" t="s">
        <v>798</v>
      </c>
      <c r="C417" s="81" t="s">
        <v>1412</v>
      </c>
      <c r="D417" s="81">
        <v>1</v>
      </c>
      <c r="E417" s="110">
        <f t="shared" si="5"/>
        <v>9291.7996627499997</v>
      </c>
      <c r="F417" s="110">
        <v>9117.6525000000001</v>
      </c>
      <c r="G417" s="509"/>
    </row>
    <row r="418" spans="1:7" ht="29.25" customHeight="1" x14ac:dyDescent="0.2">
      <c r="A418" s="79" t="s">
        <v>799</v>
      </c>
      <c r="B418" s="80" t="s">
        <v>800</v>
      </c>
      <c r="C418" s="81" t="s">
        <v>1412</v>
      </c>
      <c r="D418" s="81">
        <v>1</v>
      </c>
      <c r="E418" s="110">
        <f t="shared" si="5"/>
        <v>12125.494906305001</v>
      </c>
      <c r="F418" s="110">
        <v>11898.238550000002</v>
      </c>
      <c r="G418" s="509"/>
    </row>
    <row r="419" spans="1:7" ht="29.25" customHeight="1" x14ac:dyDescent="0.2">
      <c r="A419" s="79" t="s">
        <v>552</v>
      </c>
      <c r="B419" s="82" t="s">
        <v>2292</v>
      </c>
      <c r="C419" s="81" t="s">
        <v>1412</v>
      </c>
      <c r="D419" s="81">
        <v>1</v>
      </c>
      <c r="E419" s="110">
        <f t="shared" si="5"/>
        <v>461951.69725654944</v>
      </c>
      <c r="F419" s="110">
        <v>453293.78594500001</v>
      </c>
      <c r="G419" s="509"/>
    </row>
    <row r="420" spans="1:7" ht="29.25" customHeight="1" x14ac:dyDescent="0.2">
      <c r="A420" s="79" t="s">
        <v>554</v>
      </c>
      <c r="B420" s="82" t="s">
        <v>2293</v>
      </c>
      <c r="C420" s="81" t="s">
        <v>1412</v>
      </c>
      <c r="D420" s="81">
        <v>1</v>
      </c>
      <c r="E420" s="110">
        <f t="shared" si="5"/>
        <v>582441.20740763086</v>
      </c>
      <c r="F420" s="110">
        <v>571525.07840999996</v>
      </c>
      <c r="G420" s="509"/>
    </row>
    <row r="421" spans="1:7" ht="29.25" customHeight="1" x14ac:dyDescent="0.2">
      <c r="A421" s="79" t="s">
        <v>957</v>
      </c>
      <c r="B421" s="80" t="s">
        <v>2495</v>
      </c>
      <c r="C421" s="81" t="s">
        <v>1435</v>
      </c>
      <c r="D421" s="81">
        <v>1</v>
      </c>
      <c r="E421" s="110">
        <f t="shared" si="5"/>
        <v>874.34565002399995</v>
      </c>
      <c r="F421" s="110">
        <v>857.95864000000006</v>
      </c>
      <c r="G421" s="509"/>
    </row>
    <row r="422" spans="1:7" ht="29.25" customHeight="1" x14ac:dyDescent="0.2">
      <c r="A422" s="79" t="s">
        <v>2822</v>
      </c>
      <c r="B422" s="80" t="s">
        <v>2821</v>
      </c>
      <c r="C422" s="81" t="s">
        <v>1435</v>
      </c>
      <c r="D422" s="81">
        <v>1</v>
      </c>
      <c r="E422" s="110">
        <f t="shared" si="5"/>
        <v>33732.269311619995</v>
      </c>
      <c r="F422" s="110">
        <v>33100.058199999999</v>
      </c>
      <c r="G422" s="509"/>
    </row>
    <row r="423" spans="1:7" ht="29.25" customHeight="1" x14ac:dyDescent="0.2">
      <c r="A423" s="79" t="s">
        <v>958</v>
      </c>
      <c r="B423" s="80" t="s">
        <v>2296</v>
      </c>
      <c r="C423" s="81" t="s">
        <v>1432</v>
      </c>
      <c r="D423" s="81">
        <v>1</v>
      </c>
      <c r="E423" s="110">
        <f t="shared" si="5"/>
        <v>703248.44962680002</v>
      </c>
      <c r="F423" s="110">
        <v>690068.14800000004</v>
      </c>
      <c r="G423" s="509"/>
    </row>
    <row r="424" spans="1:7" ht="29.25" customHeight="1" x14ac:dyDescent="0.2">
      <c r="A424" s="79" t="s">
        <v>959</v>
      </c>
      <c r="B424" s="80" t="s">
        <v>960</v>
      </c>
      <c r="C424" s="81" t="s">
        <v>2069</v>
      </c>
      <c r="D424" s="81">
        <v>1</v>
      </c>
      <c r="E424" s="110">
        <f t="shared" si="5"/>
        <v>19489.314426860677</v>
      </c>
      <c r="F424" s="110">
        <v>19124.045164224</v>
      </c>
      <c r="G424" s="509"/>
    </row>
    <row r="425" spans="1:7" ht="29.25" customHeight="1" x14ac:dyDescent="0.2">
      <c r="A425" s="79" t="s">
        <v>849</v>
      </c>
      <c r="B425" s="80" t="s">
        <v>850</v>
      </c>
      <c r="C425" s="81" t="s">
        <v>1424</v>
      </c>
      <c r="D425" s="81">
        <v>1</v>
      </c>
      <c r="E425" s="110">
        <f t="shared" si="5"/>
        <v>73770.087481958981</v>
      </c>
      <c r="F425" s="110">
        <v>72387.486489999996</v>
      </c>
      <c r="G425" s="509"/>
    </row>
    <row r="426" spans="1:7" ht="29.25" customHeight="1" x14ac:dyDescent="0.2">
      <c r="A426" s="79" t="s">
        <v>857</v>
      </c>
      <c r="B426" s="80" t="s">
        <v>858</v>
      </c>
      <c r="C426" s="81" t="s">
        <v>1424</v>
      </c>
      <c r="D426" s="81">
        <v>1</v>
      </c>
      <c r="E426" s="110">
        <f t="shared" si="5"/>
        <v>41040.2393810145</v>
      </c>
      <c r="F426" s="110">
        <v>40271.062095000001</v>
      </c>
      <c r="G426" s="509"/>
    </row>
    <row r="427" spans="1:7" ht="29.25" customHeight="1" x14ac:dyDescent="0.2">
      <c r="A427" s="79" t="s">
        <v>851</v>
      </c>
      <c r="B427" s="80" t="s">
        <v>852</v>
      </c>
      <c r="C427" s="81" t="s">
        <v>1424</v>
      </c>
      <c r="D427" s="81">
        <v>1</v>
      </c>
      <c r="E427" s="110">
        <f t="shared" si="5"/>
        <v>101342.68311649351</v>
      </c>
      <c r="F427" s="110">
        <v>99443.315785000028</v>
      </c>
      <c r="G427" s="509"/>
    </row>
    <row r="428" spans="1:7" ht="29.25" customHeight="1" x14ac:dyDescent="0.2">
      <c r="A428" s="79" t="s">
        <v>853</v>
      </c>
      <c r="B428" s="80" t="s">
        <v>854</v>
      </c>
      <c r="C428" s="81" t="s">
        <v>1424</v>
      </c>
      <c r="D428" s="81">
        <v>1</v>
      </c>
      <c r="E428" s="110">
        <f t="shared" si="5"/>
        <v>138029.98764373499</v>
      </c>
      <c r="F428" s="110">
        <v>135443.02585000001</v>
      </c>
      <c r="G428" s="509"/>
    </row>
    <row r="429" spans="1:7" ht="29.25" customHeight="1" x14ac:dyDescent="0.2">
      <c r="A429" s="79" t="s">
        <v>901</v>
      </c>
      <c r="B429" s="80" t="s">
        <v>902</v>
      </c>
      <c r="C429" s="81" t="s">
        <v>1412</v>
      </c>
      <c r="D429" s="81">
        <v>1</v>
      </c>
      <c r="E429" s="110">
        <f t="shared" si="5"/>
        <v>5719.3914393758996</v>
      </c>
      <c r="F429" s="110">
        <v>5612.1984490000004</v>
      </c>
      <c r="G429" s="509"/>
    </row>
    <row r="430" spans="1:7" ht="29.25" customHeight="1" x14ac:dyDescent="0.2">
      <c r="A430" s="79" t="s">
        <v>903</v>
      </c>
      <c r="B430" s="80" t="s">
        <v>904</v>
      </c>
      <c r="C430" s="81" t="s">
        <v>1435</v>
      </c>
      <c r="D430" s="81">
        <v>1</v>
      </c>
      <c r="E430" s="110">
        <f t="shared" si="5"/>
        <v>2702.18563692</v>
      </c>
      <c r="F430" s="110">
        <v>2651.5412000000001</v>
      </c>
      <c r="G430" s="509"/>
    </row>
    <row r="431" spans="1:7" ht="29.25" customHeight="1" x14ac:dyDescent="0.2">
      <c r="A431" s="79" t="s">
        <v>905</v>
      </c>
      <c r="B431" s="80" t="s">
        <v>906</v>
      </c>
      <c r="C431" s="81" t="s">
        <v>1412</v>
      </c>
      <c r="D431" s="81">
        <v>1</v>
      </c>
      <c r="E431" s="110">
        <f t="shared" si="5"/>
        <v>5815.573435979999</v>
      </c>
      <c r="F431" s="110">
        <v>5706.5778</v>
      </c>
      <c r="G431" s="509"/>
    </row>
    <row r="432" spans="1:7" ht="29.25" customHeight="1" x14ac:dyDescent="0.2">
      <c r="A432" s="79" t="s">
        <v>907</v>
      </c>
      <c r="B432" s="80" t="s">
        <v>908</v>
      </c>
      <c r="C432" s="81" t="s">
        <v>1435</v>
      </c>
      <c r="D432" s="81">
        <v>1</v>
      </c>
      <c r="E432" s="110">
        <f t="shared" si="5"/>
        <v>1057.37698836</v>
      </c>
      <c r="F432" s="110">
        <v>1037.5596</v>
      </c>
      <c r="G432" s="509"/>
    </row>
    <row r="433" spans="1:7" ht="29.25" customHeight="1" x14ac:dyDescent="0.2">
      <c r="A433" s="79" t="s">
        <v>909</v>
      </c>
      <c r="B433" s="80" t="s">
        <v>910</v>
      </c>
      <c r="C433" s="81" t="s">
        <v>1435</v>
      </c>
      <c r="D433" s="81">
        <v>1</v>
      </c>
      <c r="E433" s="110">
        <f t="shared" si="5"/>
        <v>36567.620847450002</v>
      </c>
      <c r="F433" s="110">
        <v>35882.269500000002</v>
      </c>
      <c r="G433" s="509"/>
    </row>
    <row r="434" spans="1:7" ht="29.25" customHeight="1" x14ac:dyDescent="0.2">
      <c r="A434" s="79" t="s">
        <v>911</v>
      </c>
      <c r="B434" s="80" t="s">
        <v>912</v>
      </c>
      <c r="C434" s="81" t="s">
        <v>1435</v>
      </c>
      <c r="D434" s="81">
        <v>1</v>
      </c>
      <c r="E434" s="110">
        <f t="shared" si="5"/>
        <v>4105.8381302399994</v>
      </c>
      <c r="F434" s="110">
        <v>4028.8863999999994</v>
      </c>
      <c r="G434" s="509"/>
    </row>
    <row r="435" spans="1:7" ht="29.25" customHeight="1" x14ac:dyDescent="0.2">
      <c r="A435" s="79" t="s">
        <v>913</v>
      </c>
      <c r="B435" s="80" t="s">
        <v>914</v>
      </c>
      <c r="C435" s="81" t="s">
        <v>1412</v>
      </c>
      <c r="D435" s="81">
        <v>1</v>
      </c>
      <c r="E435" s="110">
        <f t="shared" si="5"/>
        <v>2648.4113477249998</v>
      </c>
      <c r="F435" s="110">
        <v>2598.77475</v>
      </c>
      <c r="G435" s="509"/>
    </row>
    <row r="436" spans="1:7" ht="29.25" customHeight="1" x14ac:dyDescent="0.2">
      <c r="A436" s="79" t="s">
        <v>915</v>
      </c>
      <c r="B436" s="80" t="s">
        <v>916</v>
      </c>
      <c r="C436" s="81" t="s">
        <v>1435</v>
      </c>
      <c r="D436" s="81">
        <v>1</v>
      </c>
      <c r="E436" s="110">
        <f t="shared" si="5"/>
        <v>936274.93279625976</v>
      </c>
      <c r="F436" s="110">
        <v>918727.24246517499</v>
      </c>
      <c r="G436" s="509"/>
    </row>
    <row r="437" spans="1:7" ht="29.25" customHeight="1" x14ac:dyDescent="0.2">
      <c r="A437" s="79" t="s">
        <v>917</v>
      </c>
      <c r="B437" s="80" t="s">
        <v>918</v>
      </c>
      <c r="C437" s="81" t="s">
        <v>1412</v>
      </c>
      <c r="D437" s="81">
        <v>1</v>
      </c>
      <c r="E437" s="110">
        <f t="shared" si="5"/>
        <v>24780.016190414099</v>
      </c>
      <c r="F437" s="110">
        <v>24315.588451</v>
      </c>
      <c r="G437" s="509"/>
    </row>
    <row r="438" spans="1:7" ht="29.25" customHeight="1" x14ac:dyDescent="0.2">
      <c r="A438" s="79" t="s">
        <v>919</v>
      </c>
      <c r="B438" s="80" t="s">
        <v>920</v>
      </c>
      <c r="C438" s="81" t="s">
        <v>1412</v>
      </c>
      <c r="D438" s="81">
        <v>1</v>
      </c>
      <c r="E438" s="110">
        <f t="shared" si="5"/>
        <v>4371.7282501199998</v>
      </c>
      <c r="F438" s="110">
        <v>4289.7932000000001</v>
      </c>
      <c r="G438" s="509"/>
    </row>
    <row r="439" spans="1:7" ht="29.25" customHeight="1" x14ac:dyDescent="0.2">
      <c r="A439" s="79" t="s">
        <v>924</v>
      </c>
      <c r="B439" s="80" t="s">
        <v>51</v>
      </c>
      <c r="C439" s="81" t="s">
        <v>1435</v>
      </c>
      <c r="D439" s="81">
        <v>1</v>
      </c>
      <c r="E439" s="110">
        <f t="shared" si="5"/>
        <v>39550.768863952493</v>
      </c>
      <c r="F439" s="110">
        <v>38809.507274999996</v>
      </c>
      <c r="G439" s="509"/>
    </row>
    <row r="440" spans="1:7" ht="29.25" customHeight="1" x14ac:dyDescent="0.2">
      <c r="A440" s="79" t="s">
        <v>927</v>
      </c>
      <c r="B440" s="80" t="s">
        <v>1370</v>
      </c>
      <c r="C440" s="81" t="s">
        <v>1435</v>
      </c>
      <c r="D440" s="81">
        <v>1</v>
      </c>
      <c r="E440" s="110">
        <f t="shared" ref="E440:E503" si="6">+F440*(1+($F$2/100))</f>
        <v>265724.71149146993</v>
      </c>
      <c r="F440" s="110">
        <v>260744.49169999998</v>
      </c>
      <c r="G440" s="509"/>
    </row>
    <row r="441" spans="1:7" ht="52.5" customHeight="1" x14ac:dyDescent="0.2">
      <c r="A441" s="79" t="s">
        <v>928</v>
      </c>
      <c r="B441" s="80" t="s">
        <v>929</v>
      </c>
      <c r="C441" s="81" t="s">
        <v>1435</v>
      </c>
      <c r="D441" s="81">
        <v>1</v>
      </c>
      <c r="E441" s="110">
        <f t="shared" si="6"/>
        <v>22967.032041029997</v>
      </c>
      <c r="F441" s="110">
        <v>22536.583299999998</v>
      </c>
      <c r="G441" s="509"/>
    </row>
    <row r="442" spans="1:7" ht="29.25" customHeight="1" x14ac:dyDescent="0.2">
      <c r="A442" s="79" t="s">
        <v>966</v>
      </c>
      <c r="B442" s="80" t="s">
        <v>2409</v>
      </c>
      <c r="C442" s="81" t="s">
        <v>1412</v>
      </c>
      <c r="D442" s="81">
        <v>1</v>
      </c>
      <c r="E442" s="110">
        <f t="shared" si="6"/>
        <v>12407.837529449998</v>
      </c>
      <c r="F442" s="110">
        <v>12175.289499999999</v>
      </c>
      <c r="G442" s="509"/>
    </row>
    <row r="443" spans="1:7" ht="29.25" customHeight="1" x14ac:dyDescent="0.2">
      <c r="A443" s="79" t="s">
        <v>773</v>
      </c>
      <c r="B443" s="80" t="s">
        <v>774</v>
      </c>
      <c r="C443" s="81" t="s">
        <v>1435</v>
      </c>
      <c r="D443" s="81">
        <v>1</v>
      </c>
      <c r="E443" s="110">
        <f t="shared" si="6"/>
        <v>2190572.5195593974</v>
      </c>
      <c r="F443" s="110">
        <v>2149516.7496412499</v>
      </c>
      <c r="G443" s="509"/>
    </row>
    <row r="444" spans="1:7" ht="37.5" customHeight="1" x14ac:dyDescent="0.2">
      <c r="A444" s="79" t="s">
        <v>777</v>
      </c>
      <c r="B444" s="80" t="s">
        <v>2844</v>
      </c>
      <c r="C444" s="81" t="s">
        <v>1435</v>
      </c>
      <c r="D444" s="81">
        <v>1</v>
      </c>
      <c r="E444" s="110">
        <f t="shared" si="6"/>
        <v>5441603.2798951352</v>
      </c>
      <c r="F444" s="110">
        <v>5339616.6027819999</v>
      </c>
      <c r="G444" s="509"/>
    </row>
    <row r="445" spans="1:7" ht="24.75" customHeight="1" x14ac:dyDescent="0.2">
      <c r="A445" s="79" t="s">
        <v>782</v>
      </c>
      <c r="B445" s="80" t="s">
        <v>783</v>
      </c>
      <c r="C445" s="81" t="s">
        <v>1435</v>
      </c>
      <c r="D445" s="81">
        <v>1</v>
      </c>
      <c r="E445" s="110">
        <f t="shared" si="6"/>
        <v>300629.981125939</v>
      </c>
      <c r="F445" s="110">
        <v>294995.56581879995</v>
      </c>
      <c r="G445" s="509"/>
    </row>
    <row r="446" spans="1:7" ht="30.75" customHeight="1" x14ac:dyDescent="0.2">
      <c r="A446" s="79" t="s">
        <v>1105</v>
      </c>
      <c r="B446" s="80" t="s">
        <v>1255</v>
      </c>
      <c r="C446" s="81" t="s">
        <v>1435</v>
      </c>
      <c r="D446" s="81">
        <v>1</v>
      </c>
      <c r="E446" s="110">
        <f t="shared" si="6"/>
        <v>68698.586787599983</v>
      </c>
      <c r="F446" s="110">
        <v>67411.035999999993</v>
      </c>
      <c r="G446" s="509"/>
    </row>
    <row r="447" spans="1:7" ht="23.25" customHeight="1" x14ac:dyDescent="0.2">
      <c r="A447" s="79" t="s">
        <v>775</v>
      </c>
      <c r="B447" s="80" t="s">
        <v>776</v>
      </c>
      <c r="C447" s="81" t="s">
        <v>1435</v>
      </c>
      <c r="D447" s="81">
        <v>1</v>
      </c>
      <c r="E447" s="110">
        <f t="shared" si="6"/>
        <v>851610.87609443069</v>
      </c>
      <c r="F447" s="110">
        <v>835649.9618236</v>
      </c>
      <c r="G447" s="509"/>
    </row>
    <row r="448" spans="1:7" ht="25.5" customHeight="1" x14ac:dyDescent="0.2">
      <c r="A448" s="79" t="s">
        <v>855</v>
      </c>
      <c r="B448" s="80" t="s">
        <v>856</v>
      </c>
      <c r="C448" s="81" t="s">
        <v>1424</v>
      </c>
      <c r="D448" s="81">
        <v>1</v>
      </c>
      <c r="E448" s="110">
        <f t="shared" si="6"/>
        <v>103489.75687647299</v>
      </c>
      <c r="F448" s="110">
        <v>101550.14903</v>
      </c>
      <c r="G448" s="509"/>
    </row>
    <row r="449" spans="1:7" ht="29.25" customHeight="1" x14ac:dyDescent="0.2">
      <c r="A449" s="79" t="s">
        <v>686</v>
      </c>
      <c r="B449" s="80" t="s">
        <v>2548</v>
      </c>
      <c r="C449" s="81" t="s">
        <v>1435</v>
      </c>
      <c r="D449" s="81">
        <v>1</v>
      </c>
      <c r="E449" s="110">
        <f t="shared" si="6"/>
        <v>4524364.0193099035</v>
      </c>
      <c r="F449" s="110">
        <v>4439568.2654400002</v>
      </c>
      <c r="G449" s="509"/>
    </row>
    <row r="450" spans="1:7" ht="29.25" customHeight="1" x14ac:dyDescent="0.2">
      <c r="A450" s="79" t="s">
        <v>687</v>
      </c>
      <c r="B450" s="80" t="s">
        <v>2549</v>
      </c>
      <c r="C450" s="81" t="s">
        <v>1435</v>
      </c>
      <c r="D450" s="81">
        <v>1</v>
      </c>
      <c r="E450" s="110">
        <f t="shared" si="6"/>
        <v>5829886.9813171672</v>
      </c>
      <c r="F450" s="110">
        <v>5720623.08048</v>
      </c>
      <c r="G450" s="509"/>
    </row>
    <row r="451" spans="1:7" ht="0.75" customHeight="1" x14ac:dyDescent="0.2">
      <c r="A451" s="79" t="s">
        <v>688</v>
      </c>
      <c r="B451" s="80" t="s">
        <v>2550</v>
      </c>
      <c r="C451" s="81" t="s">
        <v>1435</v>
      </c>
      <c r="D451" s="81">
        <v>1</v>
      </c>
      <c r="E451" s="110">
        <f t="shared" si="6"/>
        <v>0</v>
      </c>
      <c r="F451" s="110" t="s">
        <v>3298</v>
      </c>
      <c r="G451" s="509"/>
    </row>
    <row r="452" spans="1:7" ht="29.25" customHeight="1" x14ac:dyDescent="0.2">
      <c r="A452" s="79" t="s">
        <v>689</v>
      </c>
      <c r="B452" s="80" t="s">
        <v>2551</v>
      </c>
      <c r="C452" s="81" t="s">
        <v>1435</v>
      </c>
      <c r="D452" s="81">
        <v>1</v>
      </c>
      <c r="E452" s="110">
        <f t="shared" si="6"/>
        <v>0</v>
      </c>
      <c r="F452" s="110" t="s">
        <v>3298</v>
      </c>
      <c r="G452" s="509"/>
    </row>
    <row r="453" spans="1:7" ht="29.25" customHeight="1" x14ac:dyDescent="0.2">
      <c r="A453" s="79" t="s">
        <v>690</v>
      </c>
      <c r="B453" s="80" t="s">
        <v>2552</v>
      </c>
      <c r="C453" s="81" t="s">
        <v>1435</v>
      </c>
      <c r="D453" s="81">
        <v>1</v>
      </c>
      <c r="E453" s="110">
        <f t="shared" si="6"/>
        <v>0</v>
      </c>
      <c r="F453" s="110" t="s">
        <v>3298</v>
      </c>
      <c r="G453" s="509"/>
    </row>
    <row r="454" spans="1:7" ht="29.25" customHeight="1" x14ac:dyDescent="0.2">
      <c r="A454" s="79" t="s">
        <v>691</v>
      </c>
      <c r="B454" s="80" t="s">
        <v>2553</v>
      </c>
      <c r="C454" s="81" t="s">
        <v>1435</v>
      </c>
      <c r="D454" s="81">
        <v>1</v>
      </c>
      <c r="E454" s="110">
        <f t="shared" si="6"/>
        <v>0</v>
      </c>
      <c r="F454" s="110" t="s">
        <v>3298</v>
      </c>
      <c r="G454" s="509"/>
    </row>
    <row r="455" spans="1:7" ht="29.25" customHeight="1" x14ac:dyDescent="0.2">
      <c r="A455" s="79" t="s">
        <v>692</v>
      </c>
      <c r="B455" s="80" t="s">
        <v>2554</v>
      </c>
      <c r="C455" s="81" t="s">
        <v>1435</v>
      </c>
      <c r="D455" s="81">
        <v>1</v>
      </c>
      <c r="E455" s="110">
        <f t="shared" si="6"/>
        <v>0</v>
      </c>
      <c r="F455" s="110" t="s">
        <v>3298</v>
      </c>
      <c r="G455" s="509"/>
    </row>
    <row r="456" spans="1:7" ht="29.25" customHeight="1" x14ac:dyDescent="0.2">
      <c r="A456" s="79" t="s">
        <v>778</v>
      </c>
      <c r="B456" s="80" t="s">
        <v>779</v>
      </c>
      <c r="C456" s="81" t="s">
        <v>1435</v>
      </c>
      <c r="D456" s="81">
        <v>1</v>
      </c>
      <c r="E456" s="110">
        <f t="shared" si="6"/>
        <v>600010.61662860098</v>
      </c>
      <c r="F456" s="110">
        <v>588765.20128407516</v>
      </c>
      <c r="G456" s="509"/>
    </row>
    <row r="457" spans="1:7" ht="29.25" customHeight="1" x14ac:dyDescent="0.2">
      <c r="A457" s="79" t="s">
        <v>1106</v>
      </c>
      <c r="B457" s="80" t="s">
        <v>1107</v>
      </c>
      <c r="C457" s="81" t="s">
        <v>1435</v>
      </c>
      <c r="D457" s="81">
        <v>1</v>
      </c>
      <c r="E457" s="110">
        <f t="shared" si="6"/>
        <v>525785.25851150369</v>
      </c>
      <c r="F457" s="110">
        <v>515930.9768536</v>
      </c>
      <c r="G457" s="509"/>
    </row>
    <row r="458" spans="1:7" ht="29.25" customHeight="1" x14ac:dyDescent="0.2">
      <c r="A458" s="79" t="s">
        <v>784</v>
      </c>
      <c r="B458" s="80" t="s">
        <v>785</v>
      </c>
      <c r="C458" s="81" t="s">
        <v>1435</v>
      </c>
      <c r="D458" s="81">
        <v>1</v>
      </c>
      <c r="E458" s="110">
        <f t="shared" si="6"/>
        <v>1158274.0014304325</v>
      </c>
      <c r="F458" s="110">
        <v>1136565.5984991</v>
      </c>
      <c r="G458" s="509"/>
    </row>
    <row r="459" spans="1:7" ht="29.25" customHeight="1" x14ac:dyDescent="0.2">
      <c r="A459" s="79" t="s">
        <v>621</v>
      </c>
      <c r="B459" s="80" t="s">
        <v>622</v>
      </c>
      <c r="C459" s="81" t="s">
        <v>1424</v>
      </c>
      <c r="D459" s="81">
        <v>1</v>
      </c>
      <c r="E459" s="110">
        <f t="shared" si="6"/>
        <v>30473.6048045352</v>
      </c>
      <c r="F459" s="110">
        <v>29902.467672000002</v>
      </c>
      <c r="G459" s="509"/>
    </row>
    <row r="460" spans="1:7" ht="29.25" customHeight="1" x14ac:dyDescent="0.2">
      <c r="A460" s="79" t="s">
        <v>1108</v>
      </c>
      <c r="B460" s="80" t="s">
        <v>99</v>
      </c>
      <c r="C460" s="81" t="s">
        <v>2156</v>
      </c>
      <c r="D460" s="81">
        <v>1</v>
      </c>
      <c r="E460" s="110">
        <f t="shared" si="6"/>
        <v>74290.00866902998</v>
      </c>
      <c r="F460" s="110">
        <v>72897.663299999986</v>
      </c>
      <c r="G460" s="509"/>
    </row>
    <row r="461" spans="1:7" ht="29.25" customHeight="1" x14ac:dyDescent="0.2">
      <c r="A461" s="79" t="s">
        <v>953</v>
      </c>
      <c r="B461" s="80" t="s">
        <v>2294</v>
      </c>
      <c r="C461" s="81" t="s">
        <v>1424</v>
      </c>
      <c r="D461" s="81">
        <v>1</v>
      </c>
      <c r="E461" s="110">
        <f t="shared" si="6"/>
        <v>1945.5736585824</v>
      </c>
      <c r="F461" s="110">
        <v>1909.1096640000001</v>
      </c>
      <c r="G461" s="509"/>
    </row>
    <row r="462" spans="1:7" ht="29.25" customHeight="1" x14ac:dyDescent="0.2">
      <c r="A462" s="79" t="s">
        <v>780</v>
      </c>
      <c r="B462" s="80" t="s">
        <v>781</v>
      </c>
      <c r="C462" s="81" t="s">
        <v>1435</v>
      </c>
      <c r="D462" s="81">
        <v>1</v>
      </c>
      <c r="E462" s="110">
        <f t="shared" si="6"/>
        <v>6872.9504243399997</v>
      </c>
      <c r="F462" s="110">
        <v>6744.1374000000005</v>
      </c>
      <c r="G462" s="509"/>
    </row>
    <row r="463" spans="1:7" ht="29.25" customHeight="1" x14ac:dyDescent="0.2">
      <c r="A463" s="79" t="s">
        <v>1109</v>
      </c>
      <c r="B463" s="80" t="s">
        <v>115</v>
      </c>
      <c r="C463" s="81" t="s">
        <v>1414</v>
      </c>
      <c r="D463" s="81">
        <v>1</v>
      </c>
      <c r="E463" s="110">
        <f t="shared" si="6"/>
        <v>45936.454663910241</v>
      </c>
      <c r="F463" s="110">
        <v>45075.512377499996</v>
      </c>
      <c r="G463" s="509"/>
    </row>
    <row r="464" spans="1:7" ht="29.25" customHeight="1" x14ac:dyDescent="0.2">
      <c r="A464" s="79" t="s">
        <v>1110</v>
      </c>
      <c r="B464" s="80" t="s">
        <v>102</v>
      </c>
      <c r="C464" s="81" t="s">
        <v>1414</v>
      </c>
      <c r="D464" s="81">
        <v>1</v>
      </c>
      <c r="E464" s="110">
        <f t="shared" si="6"/>
        <v>77844.080632724988</v>
      </c>
      <c r="F464" s="110">
        <v>76385.124750000003</v>
      </c>
      <c r="G464" s="509"/>
    </row>
    <row r="465" spans="1:7" ht="29.25" customHeight="1" x14ac:dyDescent="0.2">
      <c r="A465" s="79" t="s">
        <v>1111</v>
      </c>
      <c r="B465" s="80" t="s">
        <v>116</v>
      </c>
      <c r="C465" s="81" t="s">
        <v>1414</v>
      </c>
      <c r="D465" s="81">
        <v>1</v>
      </c>
      <c r="E465" s="110">
        <f t="shared" si="6"/>
        <v>5786.5331114249993</v>
      </c>
      <c r="F465" s="110">
        <v>5678.0817500000003</v>
      </c>
      <c r="G465" s="509"/>
    </row>
    <row r="466" spans="1:7" ht="29.25" customHeight="1" x14ac:dyDescent="0.2">
      <c r="A466" s="79" t="s">
        <v>1112</v>
      </c>
      <c r="B466" s="80" t="s">
        <v>117</v>
      </c>
      <c r="C466" s="81" t="s">
        <v>1412</v>
      </c>
      <c r="D466" s="81">
        <v>1</v>
      </c>
      <c r="E466" s="110">
        <f t="shared" si="6"/>
        <v>112542.02355041249</v>
      </c>
      <c r="F466" s="110">
        <v>110432.757875</v>
      </c>
      <c r="G466" s="509"/>
    </row>
    <row r="467" spans="1:7" ht="29.25" customHeight="1" x14ac:dyDescent="0.2">
      <c r="A467" s="79" t="s">
        <v>580</v>
      </c>
      <c r="B467" s="80" t="s">
        <v>581</v>
      </c>
      <c r="C467" s="81" t="s">
        <v>1435</v>
      </c>
      <c r="D467" s="81">
        <v>1</v>
      </c>
      <c r="E467" s="110">
        <f t="shared" si="6"/>
        <v>327217.10184899997</v>
      </c>
      <c r="F467" s="110">
        <v>321084.39</v>
      </c>
      <c r="G467" s="509"/>
    </row>
    <row r="468" spans="1:7" ht="29.25" customHeight="1" x14ac:dyDescent="0.2">
      <c r="A468" s="79" t="s">
        <v>930</v>
      </c>
      <c r="B468" s="80" t="s">
        <v>1703</v>
      </c>
      <c r="C468" s="81" t="s">
        <v>1435</v>
      </c>
      <c r="D468" s="81">
        <v>1</v>
      </c>
      <c r="E468" s="110">
        <f t="shared" si="6"/>
        <v>113474.7612324942</v>
      </c>
      <c r="F468" s="110">
        <v>111348.01416200001</v>
      </c>
      <c r="G468" s="509"/>
    </row>
    <row r="469" spans="1:7" ht="29.25" customHeight="1" x14ac:dyDescent="0.2">
      <c r="A469" s="79" t="s">
        <v>898</v>
      </c>
      <c r="B469" s="80" t="s">
        <v>1447</v>
      </c>
      <c r="C469" s="81" t="s">
        <v>1435</v>
      </c>
      <c r="D469" s="81">
        <v>1</v>
      </c>
      <c r="E469" s="110">
        <f t="shared" si="6"/>
        <v>53456.281078199994</v>
      </c>
      <c r="F469" s="110">
        <v>52454.402000000002</v>
      </c>
      <c r="G469" s="509"/>
    </row>
    <row r="470" spans="1:7" ht="29.25" customHeight="1" x14ac:dyDescent="0.2">
      <c r="A470" s="79" t="s">
        <v>899</v>
      </c>
      <c r="B470" s="80" t="s">
        <v>900</v>
      </c>
      <c r="C470" s="81" t="s">
        <v>1435</v>
      </c>
      <c r="D470" s="81">
        <v>1</v>
      </c>
      <c r="E470" s="110">
        <f t="shared" si="6"/>
        <v>30704.935392321961</v>
      </c>
      <c r="F470" s="110">
        <v>30129.462655600004</v>
      </c>
      <c r="G470" s="509"/>
    </row>
    <row r="471" spans="1:7" ht="29.25" customHeight="1" x14ac:dyDescent="0.2">
      <c r="A471" s="79" t="s">
        <v>931</v>
      </c>
      <c r="B471" s="80" t="s">
        <v>1788</v>
      </c>
      <c r="C471" s="81" t="s">
        <v>1435</v>
      </c>
      <c r="D471" s="81">
        <v>1</v>
      </c>
      <c r="E471" s="110">
        <f t="shared" si="6"/>
        <v>16037.532044159005</v>
      </c>
      <c r="F471" s="110">
        <v>15736.956181099997</v>
      </c>
      <c r="G471" s="509"/>
    </row>
    <row r="472" spans="1:7" ht="29.25" customHeight="1" x14ac:dyDescent="0.2">
      <c r="A472" s="79" t="s">
        <v>954</v>
      </c>
      <c r="B472" s="80" t="s">
        <v>1505</v>
      </c>
      <c r="C472" s="81" t="s">
        <v>1412</v>
      </c>
      <c r="D472" s="81">
        <v>1</v>
      </c>
      <c r="E472" s="110">
        <f t="shared" si="6"/>
        <v>11020.217945351998</v>
      </c>
      <c r="F472" s="110">
        <v>10813.676719999999</v>
      </c>
      <c r="G472" s="509"/>
    </row>
    <row r="473" spans="1:7" ht="29.25" customHeight="1" x14ac:dyDescent="0.2">
      <c r="A473" s="79" t="s">
        <v>875</v>
      </c>
      <c r="B473" s="80" t="s">
        <v>876</v>
      </c>
      <c r="C473" s="81" t="s">
        <v>1435</v>
      </c>
      <c r="D473" s="81">
        <v>1</v>
      </c>
      <c r="E473" s="110">
        <f t="shared" si="6"/>
        <v>29650.436377418999</v>
      </c>
      <c r="F473" s="110">
        <v>29094.72709</v>
      </c>
      <c r="G473" s="509"/>
    </row>
    <row r="474" spans="1:7" ht="29.25" customHeight="1" x14ac:dyDescent="0.2">
      <c r="A474" s="79" t="s">
        <v>873</v>
      </c>
      <c r="B474" s="80" t="s">
        <v>874</v>
      </c>
      <c r="C474" s="81" t="s">
        <v>1412</v>
      </c>
      <c r="D474" s="81">
        <v>1</v>
      </c>
      <c r="E474" s="110">
        <f t="shared" si="6"/>
        <v>2110.4895762093001</v>
      </c>
      <c r="F474" s="110">
        <v>2070.9347230000003</v>
      </c>
      <c r="G474" s="509"/>
    </row>
    <row r="475" spans="1:7" ht="29.25" customHeight="1" x14ac:dyDescent="0.2">
      <c r="A475" s="79" t="s">
        <v>962</v>
      </c>
      <c r="B475" s="80" t="s">
        <v>963</v>
      </c>
      <c r="C475" s="81" t="s">
        <v>964</v>
      </c>
      <c r="D475" s="81">
        <v>1</v>
      </c>
      <c r="E475" s="110">
        <f t="shared" si="6"/>
        <v>200462.4762462168</v>
      </c>
      <c r="F475" s="110">
        <v>196705.40304800001</v>
      </c>
      <c r="G475" s="509"/>
    </row>
    <row r="476" spans="1:7" ht="29.25" customHeight="1" x14ac:dyDescent="0.2">
      <c r="A476" s="79" t="s">
        <v>965</v>
      </c>
      <c r="B476" s="80" t="s">
        <v>321</v>
      </c>
      <c r="C476" s="81" t="s">
        <v>1435</v>
      </c>
      <c r="D476" s="81">
        <v>1</v>
      </c>
      <c r="E476" s="110">
        <f t="shared" si="6"/>
        <v>25850.653675566718</v>
      </c>
      <c r="F476" s="110">
        <v>25366.160019200001</v>
      </c>
      <c r="G476" s="509"/>
    </row>
    <row r="477" spans="1:7" ht="29.25" customHeight="1" x14ac:dyDescent="0.2">
      <c r="A477" s="79" t="s">
        <v>786</v>
      </c>
      <c r="B477" s="80" t="s">
        <v>1955</v>
      </c>
      <c r="C477" s="81" t="s">
        <v>1435</v>
      </c>
      <c r="D477" s="81">
        <v>1</v>
      </c>
      <c r="E477" s="110">
        <f t="shared" si="6"/>
        <v>8981.830084457999</v>
      </c>
      <c r="F477" s="110">
        <v>8813.4923799999997</v>
      </c>
      <c r="G477" s="509"/>
    </row>
    <row r="478" spans="1:7" ht="29.25" customHeight="1" x14ac:dyDescent="0.2">
      <c r="A478" s="79" t="s">
        <v>1113</v>
      </c>
      <c r="B478" s="80" t="s">
        <v>1114</v>
      </c>
      <c r="C478" s="81" t="s">
        <v>1424</v>
      </c>
      <c r="D478" s="81">
        <v>1</v>
      </c>
      <c r="E478" s="110">
        <f t="shared" si="6"/>
        <v>30227.378186543996</v>
      </c>
      <c r="F478" s="110">
        <v>29660.85584</v>
      </c>
      <c r="G478" s="509"/>
    </row>
    <row r="479" spans="1:7" ht="29.25" customHeight="1" x14ac:dyDescent="0.2">
      <c r="A479" s="79" t="s">
        <v>1122</v>
      </c>
      <c r="B479" s="80" t="s">
        <v>2904</v>
      </c>
      <c r="C479" s="81" t="s">
        <v>11</v>
      </c>
      <c r="D479" s="81">
        <v>1</v>
      </c>
      <c r="E479" s="110">
        <f t="shared" si="6"/>
        <v>25729.506716759999</v>
      </c>
      <c r="F479" s="110">
        <v>25247.283600000002</v>
      </c>
      <c r="G479" s="509"/>
    </row>
    <row r="480" spans="1:7" ht="29.25" customHeight="1" x14ac:dyDescent="0.2">
      <c r="A480" s="79" t="s">
        <v>935</v>
      </c>
      <c r="B480" s="80" t="s">
        <v>936</v>
      </c>
      <c r="C480" s="81" t="s">
        <v>1435</v>
      </c>
      <c r="D480" s="81">
        <v>1</v>
      </c>
      <c r="E480" s="110">
        <f t="shared" si="6"/>
        <v>296405.29181257274</v>
      </c>
      <c r="F480" s="110">
        <v>290850.05574778997</v>
      </c>
      <c r="G480" s="509"/>
    </row>
    <row r="481" spans="1:7" ht="29.25" customHeight="1" x14ac:dyDescent="0.2">
      <c r="A481" s="79" t="s">
        <v>937</v>
      </c>
      <c r="B481" s="80" t="s">
        <v>938</v>
      </c>
      <c r="C481" s="81" t="s">
        <v>1435</v>
      </c>
      <c r="D481" s="81">
        <v>1</v>
      </c>
      <c r="E481" s="110">
        <f t="shared" si="6"/>
        <v>1199967.4404148832</v>
      </c>
      <c r="F481" s="110">
        <v>1177477.6179127498</v>
      </c>
      <c r="G481" s="509"/>
    </row>
    <row r="482" spans="1:7" ht="29.25" customHeight="1" x14ac:dyDescent="0.2">
      <c r="A482" s="79" t="s">
        <v>939</v>
      </c>
      <c r="B482" s="80" t="s">
        <v>940</v>
      </c>
      <c r="C482" s="81" t="s">
        <v>1435</v>
      </c>
      <c r="D482" s="81">
        <v>1</v>
      </c>
      <c r="E482" s="110">
        <f t="shared" si="6"/>
        <v>388548.15388021711</v>
      </c>
      <c r="F482" s="110">
        <v>381265.97378100007</v>
      </c>
      <c r="G482" s="509"/>
    </row>
    <row r="483" spans="1:7" ht="29.25" customHeight="1" x14ac:dyDescent="0.2">
      <c r="A483" s="79" t="s">
        <v>941</v>
      </c>
      <c r="B483" s="80" t="s">
        <v>942</v>
      </c>
      <c r="C483" s="81" t="s">
        <v>1435</v>
      </c>
      <c r="D483" s="81">
        <v>1</v>
      </c>
      <c r="E483" s="110">
        <f t="shared" si="6"/>
        <v>112669.39242635999</v>
      </c>
      <c r="F483" s="110">
        <v>110557.7396</v>
      </c>
      <c r="G483" s="509"/>
    </row>
    <row r="484" spans="1:7" ht="29.25" customHeight="1" x14ac:dyDescent="0.2">
      <c r="A484" s="79" t="s">
        <v>943</v>
      </c>
      <c r="B484" s="80" t="s">
        <v>1087</v>
      </c>
      <c r="C484" s="81" t="s">
        <v>1435</v>
      </c>
      <c r="D484" s="81">
        <v>1</v>
      </c>
      <c r="E484" s="110">
        <f t="shared" si="6"/>
        <v>24946.401570547379</v>
      </c>
      <c r="F484" s="110">
        <v>24478.855431800002</v>
      </c>
      <c r="G484" s="509"/>
    </row>
    <row r="485" spans="1:7" ht="29.25" customHeight="1" x14ac:dyDescent="0.2">
      <c r="A485" s="79" t="s">
        <v>944</v>
      </c>
      <c r="B485" s="80" t="s">
        <v>2555</v>
      </c>
      <c r="C485" s="81" t="s">
        <v>1435</v>
      </c>
      <c r="D485" s="81">
        <v>1</v>
      </c>
      <c r="E485" s="110">
        <f t="shared" si="6"/>
        <v>158054.36249341202</v>
      </c>
      <c r="F485" s="110">
        <v>155092.10332000002</v>
      </c>
      <c r="G485" s="509"/>
    </row>
    <row r="486" spans="1:7" ht="29.25" customHeight="1" x14ac:dyDescent="0.2">
      <c r="A486" s="79" t="s">
        <v>2672</v>
      </c>
      <c r="B486" s="80" t="s">
        <v>2849</v>
      </c>
      <c r="C486" s="81" t="s">
        <v>1435</v>
      </c>
      <c r="D486" s="81">
        <v>1</v>
      </c>
      <c r="E486" s="110">
        <f t="shared" si="6"/>
        <v>499316.91116999998</v>
      </c>
      <c r="F486" s="110">
        <v>489958.7</v>
      </c>
      <c r="G486" s="509"/>
    </row>
    <row r="487" spans="1:7" ht="29.25" customHeight="1" x14ac:dyDescent="0.2">
      <c r="A487" s="79" t="s">
        <v>945</v>
      </c>
      <c r="B487" s="80" t="s">
        <v>946</v>
      </c>
      <c r="C487" s="81" t="s">
        <v>1435</v>
      </c>
      <c r="D487" s="81">
        <v>1</v>
      </c>
      <c r="E487" s="110">
        <f t="shared" si="6"/>
        <v>819310.67418472271</v>
      </c>
      <c r="F487" s="110">
        <v>803955.13117920002</v>
      </c>
      <c r="G487" s="509"/>
    </row>
    <row r="488" spans="1:7" ht="29.25" customHeight="1" x14ac:dyDescent="0.2">
      <c r="A488" s="79" t="s">
        <v>947</v>
      </c>
      <c r="B488" s="80" t="s">
        <v>948</v>
      </c>
      <c r="C488" s="81" t="s">
        <v>1435</v>
      </c>
      <c r="D488" s="81">
        <v>1</v>
      </c>
      <c r="E488" s="110">
        <f t="shared" si="6"/>
        <v>8299.0652443189902</v>
      </c>
      <c r="F488" s="110">
        <v>8143.5239371199996</v>
      </c>
      <c r="G488" s="509"/>
    </row>
    <row r="489" spans="1:7" ht="29.25" customHeight="1" x14ac:dyDescent="0.2">
      <c r="A489" s="79" t="s">
        <v>949</v>
      </c>
      <c r="B489" s="80" t="s">
        <v>950</v>
      </c>
      <c r="C489" s="81" t="s">
        <v>1435</v>
      </c>
      <c r="D489" s="81">
        <v>1</v>
      </c>
      <c r="E489" s="110">
        <f t="shared" si="6"/>
        <v>244.37157064319999</v>
      </c>
      <c r="F489" s="110">
        <v>239.79155200000002</v>
      </c>
      <c r="G489" s="509"/>
    </row>
    <row r="490" spans="1:7" ht="29.25" customHeight="1" x14ac:dyDescent="0.2">
      <c r="A490" s="79" t="s">
        <v>951</v>
      </c>
      <c r="B490" s="80" t="s">
        <v>952</v>
      </c>
      <c r="C490" s="81" t="s">
        <v>1412</v>
      </c>
      <c r="D490" s="81">
        <v>1</v>
      </c>
      <c r="E490" s="110">
        <f t="shared" si="6"/>
        <v>4900.7380650013492</v>
      </c>
      <c r="F490" s="110">
        <v>4808.8882985</v>
      </c>
      <c r="G490" s="509"/>
    </row>
    <row r="491" spans="1:7" ht="29.25" customHeight="1" x14ac:dyDescent="0.2">
      <c r="A491" s="79" t="s">
        <v>980</v>
      </c>
      <c r="B491" s="80" t="s">
        <v>981</v>
      </c>
      <c r="C491" s="81" t="s">
        <v>1414</v>
      </c>
      <c r="D491" s="81">
        <v>1</v>
      </c>
      <c r="E491" s="110">
        <f t="shared" si="6"/>
        <v>4865.3976463101899</v>
      </c>
      <c r="F491" s="110">
        <v>4774.2102309000002</v>
      </c>
      <c r="G491" s="509"/>
    </row>
    <row r="492" spans="1:7" ht="29.25" customHeight="1" x14ac:dyDescent="0.2">
      <c r="A492" s="79" t="s">
        <v>1123</v>
      </c>
      <c r="B492" s="80" t="s">
        <v>2657</v>
      </c>
      <c r="C492" s="81" t="s">
        <v>1424</v>
      </c>
      <c r="D492" s="81">
        <v>1</v>
      </c>
      <c r="E492" s="110">
        <f t="shared" si="6"/>
        <v>79496.508225749989</v>
      </c>
      <c r="F492" s="110">
        <v>78006.582500000004</v>
      </c>
      <c r="G492" s="509"/>
    </row>
    <row r="493" spans="1:7" ht="29.25" customHeight="1" x14ac:dyDescent="0.2">
      <c r="A493" s="79" t="s">
        <v>623</v>
      </c>
      <c r="B493" s="80" t="s">
        <v>328</v>
      </c>
      <c r="C493" s="81" t="s">
        <v>1435</v>
      </c>
      <c r="D493" s="81">
        <v>1</v>
      </c>
      <c r="E493" s="110">
        <f t="shared" si="6"/>
        <v>125.61298529702998</v>
      </c>
      <c r="F493" s="110">
        <v>123.25874329999999</v>
      </c>
      <c r="G493" s="509"/>
    </row>
    <row r="494" spans="1:7" ht="29.25" customHeight="1" x14ac:dyDescent="0.2">
      <c r="A494" s="79" t="s">
        <v>2735</v>
      </c>
      <c r="B494" s="80" t="s">
        <v>2736</v>
      </c>
      <c r="C494" s="81" t="s">
        <v>2666</v>
      </c>
      <c r="D494" s="81">
        <v>1</v>
      </c>
      <c r="E494" s="110">
        <f t="shared" si="6"/>
        <v>26675.117102402994</v>
      </c>
      <c r="F494" s="110">
        <v>26175.171329999997</v>
      </c>
      <c r="G494" s="509"/>
    </row>
    <row r="495" spans="1:7" ht="29.25" customHeight="1" x14ac:dyDescent="0.2">
      <c r="A495" s="79" t="s">
        <v>2737</v>
      </c>
      <c r="B495" s="461" t="s">
        <v>2738</v>
      </c>
      <c r="C495" s="81" t="s">
        <v>1435</v>
      </c>
      <c r="D495" s="81">
        <v>1</v>
      </c>
      <c r="E495" s="110">
        <f t="shared" si="6"/>
        <v>1679.5444101512999</v>
      </c>
      <c r="F495" s="110">
        <v>1648.066343</v>
      </c>
      <c r="G495" s="509"/>
    </row>
    <row r="496" spans="1:7" ht="29.25" customHeight="1" x14ac:dyDescent="0.2">
      <c r="A496" s="79" t="s">
        <v>967</v>
      </c>
      <c r="B496" s="80" t="s">
        <v>968</v>
      </c>
      <c r="C496" s="81" t="s">
        <v>1424</v>
      </c>
      <c r="D496" s="81">
        <v>1</v>
      </c>
      <c r="E496" s="110">
        <f t="shared" si="6"/>
        <v>31308.837664582497</v>
      </c>
      <c r="F496" s="110">
        <v>30722.046575</v>
      </c>
      <c r="G496" s="509"/>
    </row>
    <row r="497" spans="1:7" ht="29.25" customHeight="1" x14ac:dyDescent="0.2">
      <c r="A497" s="79" t="s">
        <v>971</v>
      </c>
      <c r="B497" s="80" t="s">
        <v>296</v>
      </c>
      <c r="C497" s="81" t="s">
        <v>1435</v>
      </c>
      <c r="D497" s="81">
        <v>1</v>
      </c>
      <c r="E497" s="110">
        <f t="shared" si="6"/>
        <v>26137.893182032498</v>
      </c>
      <c r="F497" s="110">
        <v>25648.016075</v>
      </c>
      <c r="G497" s="509"/>
    </row>
    <row r="498" spans="1:7" ht="29.25" customHeight="1" x14ac:dyDescent="0.2">
      <c r="A498" s="79" t="s">
        <v>969</v>
      </c>
      <c r="B498" s="80" t="s">
        <v>113</v>
      </c>
      <c r="C498" s="81" t="s">
        <v>1414</v>
      </c>
      <c r="D498" s="81">
        <v>1</v>
      </c>
      <c r="E498" s="110">
        <f t="shared" si="6"/>
        <v>13992.624354353698</v>
      </c>
      <c r="F498" s="110">
        <v>13730.374207000001</v>
      </c>
      <c r="G498" s="509"/>
    </row>
    <row r="499" spans="1:7" ht="29.25" customHeight="1" x14ac:dyDescent="0.2">
      <c r="A499" s="79" t="s">
        <v>1125</v>
      </c>
      <c r="B499" s="80" t="s">
        <v>1240</v>
      </c>
      <c r="C499" s="81" t="s">
        <v>1435</v>
      </c>
      <c r="D499" s="81">
        <v>1</v>
      </c>
      <c r="E499" s="110">
        <f t="shared" si="6"/>
        <v>1093.1529015000001</v>
      </c>
      <c r="F499" s="110">
        <v>1072.6650000000002</v>
      </c>
      <c r="G499" s="509"/>
    </row>
    <row r="500" spans="1:7" ht="29.25" customHeight="1" x14ac:dyDescent="0.2">
      <c r="A500" s="79" t="s">
        <v>1126</v>
      </c>
      <c r="B500" s="80" t="s">
        <v>1241</v>
      </c>
      <c r="C500" s="81" t="s">
        <v>1435</v>
      </c>
      <c r="D500" s="81">
        <v>1</v>
      </c>
      <c r="E500" s="110">
        <f t="shared" si="6"/>
        <v>2429.2286699999995</v>
      </c>
      <c r="F500" s="110">
        <v>2383.6999999999998</v>
      </c>
      <c r="G500" s="509"/>
    </row>
    <row r="501" spans="1:7" ht="29.25" customHeight="1" x14ac:dyDescent="0.2">
      <c r="A501" s="79" t="s">
        <v>1127</v>
      </c>
      <c r="B501" s="80" t="s">
        <v>1242</v>
      </c>
      <c r="C501" s="81" t="s">
        <v>1435</v>
      </c>
      <c r="D501" s="81">
        <v>1</v>
      </c>
      <c r="E501" s="110">
        <f t="shared" si="6"/>
        <v>3947.4965887499998</v>
      </c>
      <c r="F501" s="110">
        <v>3873.5125000000003</v>
      </c>
      <c r="G501" s="509"/>
    </row>
    <row r="502" spans="1:7" ht="29.25" customHeight="1" x14ac:dyDescent="0.2">
      <c r="A502" s="79" t="s">
        <v>1128</v>
      </c>
      <c r="B502" s="80" t="s">
        <v>1243</v>
      </c>
      <c r="C502" s="81" t="s">
        <v>1435</v>
      </c>
      <c r="D502" s="81">
        <v>1</v>
      </c>
      <c r="E502" s="110">
        <f t="shared" si="6"/>
        <v>6680.3788425000002</v>
      </c>
      <c r="F502" s="110">
        <v>6555.1750000000011</v>
      </c>
      <c r="G502" s="509"/>
    </row>
    <row r="503" spans="1:7" ht="29.25" customHeight="1" x14ac:dyDescent="0.2">
      <c r="A503" s="79" t="s">
        <v>1129</v>
      </c>
      <c r="B503" s="80" t="s">
        <v>1244</v>
      </c>
      <c r="C503" s="81" t="s">
        <v>1435</v>
      </c>
      <c r="D503" s="81">
        <v>1</v>
      </c>
      <c r="E503" s="110">
        <f t="shared" si="6"/>
        <v>11842.489766249999</v>
      </c>
      <c r="F503" s="110">
        <v>11620.5375</v>
      </c>
      <c r="G503" s="509"/>
    </row>
    <row r="504" spans="1:7" ht="29.25" customHeight="1" x14ac:dyDescent="0.2">
      <c r="A504" s="79" t="s">
        <v>1130</v>
      </c>
      <c r="B504" s="80" t="s">
        <v>1256</v>
      </c>
      <c r="C504" s="81" t="s">
        <v>1435</v>
      </c>
      <c r="D504" s="81">
        <v>1</v>
      </c>
      <c r="E504" s="110">
        <f t="shared" ref="E504:E567" si="7">+F504*(1+($F$2/100))</f>
        <v>20652.087538004998</v>
      </c>
      <c r="F504" s="110">
        <v>20265.025550000002</v>
      </c>
      <c r="G504" s="509"/>
    </row>
    <row r="505" spans="1:7" ht="29.25" customHeight="1" x14ac:dyDescent="0.2">
      <c r="A505" s="79" t="s">
        <v>1131</v>
      </c>
      <c r="B505" s="80" t="s">
        <v>1245</v>
      </c>
      <c r="C505" s="81" t="s">
        <v>1435</v>
      </c>
      <c r="D505" s="81">
        <v>1</v>
      </c>
      <c r="E505" s="110">
        <f t="shared" si="7"/>
        <v>37531.5829515</v>
      </c>
      <c r="F505" s="110">
        <v>36828.165000000001</v>
      </c>
      <c r="G505" s="509"/>
    </row>
    <row r="506" spans="1:7" ht="29.25" customHeight="1" x14ac:dyDescent="0.2">
      <c r="A506" s="79" t="s">
        <v>1132</v>
      </c>
      <c r="B506" s="80" t="s">
        <v>1257</v>
      </c>
      <c r="C506" s="81" t="s">
        <v>1435</v>
      </c>
      <c r="D506" s="81">
        <v>1</v>
      </c>
      <c r="E506" s="110">
        <f t="shared" si="7"/>
        <v>58880.859117795</v>
      </c>
      <c r="F506" s="110">
        <v>57777.312450000005</v>
      </c>
      <c r="G506" s="509"/>
    </row>
    <row r="507" spans="1:7" ht="29.25" customHeight="1" x14ac:dyDescent="0.2">
      <c r="A507" s="79" t="s">
        <v>2739</v>
      </c>
      <c r="B507" s="80" t="s">
        <v>2526</v>
      </c>
      <c r="C507" s="81" t="s">
        <v>1412</v>
      </c>
      <c r="D507" s="81">
        <v>1</v>
      </c>
      <c r="E507" s="110">
        <f t="shared" si="7"/>
        <v>17064.889728809998</v>
      </c>
      <c r="F507" s="110">
        <v>16745.059099999999</v>
      </c>
      <c r="G507" s="509"/>
    </row>
    <row r="508" spans="1:7" ht="29.25" customHeight="1" x14ac:dyDescent="0.2">
      <c r="A508" s="79" t="s">
        <v>2740</v>
      </c>
      <c r="B508" s="82" t="s">
        <v>1209</v>
      </c>
      <c r="C508" s="83" t="s">
        <v>1435</v>
      </c>
      <c r="D508" s="83">
        <v>1</v>
      </c>
      <c r="E508" s="110">
        <f t="shared" si="7"/>
        <v>5645.527429079998</v>
      </c>
      <c r="F508" s="110">
        <v>5539.7187999999987</v>
      </c>
      <c r="G508" s="509"/>
    </row>
    <row r="509" spans="1:7" ht="29.25" customHeight="1" x14ac:dyDescent="0.2">
      <c r="A509" s="79" t="s">
        <v>2741</v>
      </c>
      <c r="B509" s="80" t="s">
        <v>1210</v>
      </c>
      <c r="C509" s="81" t="s">
        <v>1435</v>
      </c>
      <c r="D509" s="81">
        <v>1</v>
      </c>
      <c r="E509" s="110">
        <f t="shared" si="7"/>
        <v>8211.6762604799987</v>
      </c>
      <c r="F509" s="110">
        <v>8057.7727999999988</v>
      </c>
      <c r="G509" s="509"/>
    </row>
    <row r="510" spans="1:7" ht="29.25" customHeight="1" x14ac:dyDescent="0.2">
      <c r="A510" s="79" t="s">
        <v>2742</v>
      </c>
      <c r="B510" s="80" t="s">
        <v>1211</v>
      </c>
      <c r="C510" s="81" t="s">
        <v>1435</v>
      </c>
      <c r="D510" s="81">
        <v>1</v>
      </c>
      <c r="E510" s="110">
        <f t="shared" si="7"/>
        <v>13343.973923279998</v>
      </c>
      <c r="F510" s="110">
        <v>13093.880799999999</v>
      </c>
      <c r="G510" s="509"/>
    </row>
    <row r="511" spans="1:7" ht="29.25" customHeight="1" x14ac:dyDescent="0.2">
      <c r="A511" s="79" t="s">
        <v>2743</v>
      </c>
      <c r="B511" s="80" t="s">
        <v>1212</v>
      </c>
      <c r="C511" s="81" t="s">
        <v>1435</v>
      </c>
      <c r="D511" s="81">
        <v>1</v>
      </c>
      <c r="E511" s="110">
        <f t="shared" si="7"/>
        <v>7826.7539357699989</v>
      </c>
      <c r="F511" s="110">
        <v>7680.0646999999999</v>
      </c>
      <c r="G511" s="509"/>
    </row>
    <row r="512" spans="1:7" ht="29.25" customHeight="1" x14ac:dyDescent="0.2">
      <c r="A512" s="79" t="s">
        <v>2744</v>
      </c>
      <c r="B512" s="80" t="s">
        <v>1213</v>
      </c>
      <c r="C512" s="81" t="s">
        <v>1435</v>
      </c>
      <c r="D512" s="81">
        <v>1</v>
      </c>
      <c r="E512" s="110">
        <f t="shared" si="7"/>
        <v>8083.3688189099985</v>
      </c>
      <c r="F512" s="110">
        <v>7931.8700999999992</v>
      </c>
      <c r="G512" s="509"/>
    </row>
    <row r="513" spans="1:7" ht="29.25" customHeight="1" x14ac:dyDescent="0.2">
      <c r="A513" s="79" t="s">
        <v>2745</v>
      </c>
      <c r="B513" s="80" t="s">
        <v>1214</v>
      </c>
      <c r="C513" s="81" t="s">
        <v>1093</v>
      </c>
      <c r="D513" s="81">
        <v>1</v>
      </c>
      <c r="E513" s="110">
        <f t="shared" si="7"/>
        <v>10849.895889739499</v>
      </c>
      <c r="F513" s="110">
        <v>10646.546844999999</v>
      </c>
      <c r="G513" s="509"/>
    </row>
    <row r="514" spans="1:7" ht="29.25" customHeight="1" x14ac:dyDescent="0.2">
      <c r="A514" s="79" t="s">
        <v>1133</v>
      </c>
      <c r="B514" s="80" t="s">
        <v>1215</v>
      </c>
      <c r="C514" s="81" t="s">
        <v>1093</v>
      </c>
      <c r="D514" s="81">
        <v>1</v>
      </c>
      <c r="E514" s="110">
        <f t="shared" si="7"/>
        <v>7116.3100517498142</v>
      </c>
      <c r="F514" s="110">
        <v>6982.9359746342998</v>
      </c>
      <c r="G514" s="509"/>
    </row>
    <row r="515" spans="1:7" ht="29.25" customHeight="1" x14ac:dyDescent="0.2">
      <c r="A515" s="79" t="s">
        <v>2746</v>
      </c>
      <c r="B515" s="80" t="s">
        <v>2557</v>
      </c>
      <c r="C515" s="81" t="s">
        <v>1414</v>
      </c>
      <c r="D515" s="81">
        <v>1</v>
      </c>
      <c r="E515" s="110">
        <f t="shared" si="7"/>
        <v>1457.6318472728572</v>
      </c>
      <c r="F515" s="110">
        <v>1430.3128714285715</v>
      </c>
      <c r="G515" s="509"/>
    </row>
    <row r="516" spans="1:7" ht="29.25" customHeight="1" x14ac:dyDescent="0.2">
      <c r="A516" s="79" t="s">
        <v>2747</v>
      </c>
      <c r="B516" s="80" t="s">
        <v>2905</v>
      </c>
      <c r="C516" s="81" t="s">
        <v>1435</v>
      </c>
      <c r="D516" s="81">
        <v>1</v>
      </c>
      <c r="E516" s="110">
        <f t="shared" si="7"/>
        <v>375385.94588797493</v>
      </c>
      <c r="F516" s="110">
        <v>368350.45224999997</v>
      </c>
      <c r="G516" s="509"/>
    </row>
    <row r="517" spans="1:7" ht="29.25" customHeight="1" x14ac:dyDescent="0.2">
      <c r="A517" s="79" t="s">
        <v>2748</v>
      </c>
      <c r="B517" s="80" t="s">
        <v>297</v>
      </c>
      <c r="C517" s="81" t="s">
        <v>1435</v>
      </c>
      <c r="D517" s="81">
        <v>1</v>
      </c>
      <c r="E517" s="110">
        <f t="shared" si="7"/>
        <v>27332.135122049996</v>
      </c>
      <c r="F517" s="110">
        <v>26819.875499999998</v>
      </c>
      <c r="G517" s="509"/>
    </row>
    <row r="518" spans="1:7" ht="29.25" customHeight="1" x14ac:dyDescent="0.2">
      <c r="A518" s="79" t="s">
        <v>2749</v>
      </c>
      <c r="B518" s="80" t="s">
        <v>2299</v>
      </c>
      <c r="C518" s="81" t="s">
        <v>1435</v>
      </c>
      <c r="D518" s="81">
        <v>1</v>
      </c>
      <c r="E518" s="110">
        <f t="shared" si="7"/>
        <v>9366.4432346099966</v>
      </c>
      <c r="F518" s="110">
        <v>9190.8970999999983</v>
      </c>
      <c r="G518" s="509"/>
    </row>
    <row r="519" spans="1:7" ht="29.25" customHeight="1" x14ac:dyDescent="0.2">
      <c r="A519" s="79" t="s">
        <v>2750</v>
      </c>
      <c r="B519" s="80" t="s">
        <v>2298</v>
      </c>
      <c r="C519" s="81" t="s">
        <v>1435</v>
      </c>
      <c r="D519" s="81">
        <v>1</v>
      </c>
      <c r="E519" s="110">
        <f t="shared" si="7"/>
        <v>10392.902767169999</v>
      </c>
      <c r="F519" s="110">
        <v>10198.118699999999</v>
      </c>
      <c r="G519" s="509"/>
    </row>
    <row r="520" spans="1:7" ht="29.25" customHeight="1" x14ac:dyDescent="0.2">
      <c r="A520" s="79" t="s">
        <v>2751</v>
      </c>
      <c r="B520" s="80" t="s">
        <v>325</v>
      </c>
      <c r="C520" s="81" t="s">
        <v>1435</v>
      </c>
      <c r="D520" s="81">
        <v>1</v>
      </c>
      <c r="E520" s="110">
        <f t="shared" si="7"/>
        <v>76.984464941999988</v>
      </c>
      <c r="F520" s="110">
        <v>75.541619999999995</v>
      </c>
      <c r="G520" s="509"/>
    </row>
    <row r="521" spans="1:7" ht="29.25" customHeight="1" x14ac:dyDescent="0.2">
      <c r="A521" s="79" t="s">
        <v>2752</v>
      </c>
      <c r="B521" s="80" t="s">
        <v>1216</v>
      </c>
      <c r="C521" s="81" t="s">
        <v>1412</v>
      </c>
      <c r="D521" s="81">
        <v>1</v>
      </c>
      <c r="E521" s="110">
        <f t="shared" si="7"/>
        <v>0</v>
      </c>
      <c r="F521" s="110" t="s">
        <v>3298</v>
      </c>
      <c r="G521" s="509"/>
    </row>
    <row r="522" spans="1:7" ht="29.25" customHeight="1" x14ac:dyDescent="0.2">
      <c r="A522" s="79" t="s">
        <v>2753</v>
      </c>
      <c r="B522" s="80" t="s">
        <v>1217</v>
      </c>
      <c r="C522" s="81" t="s">
        <v>1412</v>
      </c>
      <c r="D522" s="81">
        <v>1</v>
      </c>
      <c r="E522" s="110">
        <f t="shared" si="7"/>
        <v>0</v>
      </c>
      <c r="F522" s="110" t="s">
        <v>3298</v>
      </c>
      <c r="G522" s="509"/>
    </row>
    <row r="523" spans="1:7" ht="29.25" customHeight="1" x14ac:dyDescent="0.2">
      <c r="A523" s="79" t="s">
        <v>2754</v>
      </c>
      <c r="B523" s="80" t="s">
        <v>439</v>
      </c>
      <c r="C523" s="81" t="s">
        <v>1435</v>
      </c>
      <c r="D523" s="81">
        <v>1</v>
      </c>
      <c r="E523" s="110">
        <f t="shared" si="7"/>
        <v>186.04579027649996</v>
      </c>
      <c r="F523" s="110">
        <v>182.55891499999998</v>
      </c>
      <c r="G523" s="509"/>
    </row>
    <row r="524" spans="1:7" ht="29.25" customHeight="1" x14ac:dyDescent="0.2">
      <c r="A524" s="79" t="s">
        <v>2755</v>
      </c>
      <c r="B524" s="80" t="s">
        <v>105</v>
      </c>
      <c r="C524" s="81" t="s">
        <v>2156</v>
      </c>
      <c r="D524" s="81">
        <v>1</v>
      </c>
      <c r="E524" s="110">
        <f t="shared" si="7"/>
        <v>37913.744789084994</v>
      </c>
      <c r="F524" s="110">
        <v>37203.164349999999</v>
      </c>
      <c r="G524" s="509"/>
    </row>
    <row r="525" spans="1:7" ht="29.25" customHeight="1" x14ac:dyDescent="0.2">
      <c r="A525" s="79" t="s">
        <v>2756</v>
      </c>
      <c r="B525" s="80" t="s">
        <v>2658</v>
      </c>
      <c r="C525" s="81" t="s">
        <v>1435</v>
      </c>
      <c r="D525" s="81">
        <v>1</v>
      </c>
      <c r="E525" s="110">
        <f t="shared" si="7"/>
        <v>2251.7955995534999</v>
      </c>
      <c r="F525" s="110">
        <v>2209.5923849999999</v>
      </c>
      <c r="G525" s="509"/>
    </row>
    <row r="526" spans="1:7" ht="29.25" customHeight="1" x14ac:dyDescent="0.2">
      <c r="A526" s="79" t="s">
        <v>2757</v>
      </c>
      <c r="B526" s="80" t="s">
        <v>118</v>
      </c>
      <c r="C526" s="81" t="s">
        <v>1435</v>
      </c>
      <c r="D526" s="81">
        <v>1</v>
      </c>
      <c r="E526" s="110">
        <f t="shared" si="7"/>
        <v>2843.4121582349999</v>
      </c>
      <c r="F526" s="110">
        <v>2790.1208500000002</v>
      </c>
      <c r="G526" s="509"/>
    </row>
    <row r="527" spans="1:7" ht="29.25" customHeight="1" x14ac:dyDescent="0.2">
      <c r="A527" s="79" t="s">
        <v>2758</v>
      </c>
      <c r="B527" s="80" t="s">
        <v>119</v>
      </c>
      <c r="C527" s="81" t="s">
        <v>1435</v>
      </c>
      <c r="D527" s="81">
        <v>1</v>
      </c>
      <c r="E527" s="110">
        <f t="shared" si="7"/>
        <v>5266.5677565599999</v>
      </c>
      <c r="F527" s="110">
        <v>5167.8616000000002</v>
      </c>
      <c r="G527" s="509"/>
    </row>
    <row r="528" spans="1:7" ht="29.25" customHeight="1" x14ac:dyDescent="0.2">
      <c r="A528" s="79" t="s">
        <v>1134</v>
      </c>
      <c r="B528" s="80" t="s">
        <v>120</v>
      </c>
      <c r="C528" s="81" t="s">
        <v>1435</v>
      </c>
      <c r="D528" s="81">
        <v>1</v>
      </c>
      <c r="E528" s="110">
        <f t="shared" si="7"/>
        <v>41002.729881959989</v>
      </c>
      <c r="F528" s="110">
        <v>40234.255599999997</v>
      </c>
      <c r="G528" s="509"/>
    </row>
    <row r="529" spans="1:7" ht="29.25" customHeight="1" x14ac:dyDescent="0.2">
      <c r="A529" s="79" t="s">
        <v>1135</v>
      </c>
      <c r="B529" s="80" t="s">
        <v>121</v>
      </c>
      <c r="C529" s="81" t="s">
        <v>1435</v>
      </c>
      <c r="D529" s="81">
        <v>1</v>
      </c>
      <c r="E529" s="110">
        <f t="shared" si="7"/>
        <v>45702.183163560003</v>
      </c>
      <c r="F529" s="110">
        <v>44845.631600000008</v>
      </c>
      <c r="G529" s="509"/>
    </row>
    <row r="530" spans="1:7" ht="29.25" customHeight="1" x14ac:dyDescent="0.2">
      <c r="A530" s="79" t="s">
        <v>1136</v>
      </c>
      <c r="B530" s="80" t="s">
        <v>1258</v>
      </c>
      <c r="C530" s="81" t="s">
        <v>1424</v>
      </c>
      <c r="D530" s="81">
        <v>1</v>
      </c>
      <c r="E530" s="110">
        <f t="shared" si="7"/>
        <v>112653.93369845998</v>
      </c>
      <c r="F530" s="110">
        <v>110542.57059999999</v>
      </c>
      <c r="G530" s="509"/>
    </row>
    <row r="531" spans="1:7" ht="29.25" customHeight="1" x14ac:dyDescent="0.2">
      <c r="A531" s="79" t="s">
        <v>1137</v>
      </c>
      <c r="B531" s="80" t="s">
        <v>1259</v>
      </c>
      <c r="C531" s="81" t="s">
        <v>1424</v>
      </c>
      <c r="D531" s="81">
        <v>1</v>
      </c>
      <c r="E531" s="110">
        <f t="shared" si="7"/>
        <v>92509.665371969983</v>
      </c>
      <c r="F531" s="110">
        <v>90775.846699999995</v>
      </c>
      <c r="G531" s="509"/>
    </row>
    <row r="532" spans="1:7" ht="29.25" customHeight="1" x14ac:dyDescent="0.2">
      <c r="A532" s="79" t="s">
        <v>1138</v>
      </c>
      <c r="B532" s="80" t="s">
        <v>1260</v>
      </c>
      <c r="C532" s="81" t="s">
        <v>1424</v>
      </c>
      <c r="D532" s="81">
        <v>1</v>
      </c>
      <c r="E532" s="110">
        <f t="shared" si="7"/>
        <v>95653.197690434987</v>
      </c>
      <c r="F532" s="110">
        <v>93860.462849999996</v>
      </c>
      <c r="G532" s="509"/>
    </row>
    <row r="533" spans="1:7" ht="29.25" customHeight="1" x14ac:dyDescent="0.2">
      <c r="A533" s="79" t="s">
        <v>2759</v>
      </c>
      <c r="B533" s="80" t="s">
        <v>1261</v>
      </c>
      <c r="C533" s="81" t="s">
        <v>1424</v>
      </c>
      <c r="D533" s="81">
        <v>1</v>
      </c>
      <c r="E533" s="110">
        <f t="shared" si="7"/>
        <v>60304.497537899988</v>
      </c>
      <c r="F533" s="110">
        <v>59174.268999999993</v>
      </c>
      <c r="G533" s="509"/>
    </row>
    <row r="534" spans="1:7" ht="29.25" customHeight="1" x14ac:dyDescent="0.2">
      <c r="A534" s="79" t="s">
        <v>1139</v>
      </c>
      <c r="B534" s="80" t="s">
        <v>1262</v>
      </c>
      <c r="C534" s="81" t="s">
        <v>1424</v>
      </c>
      <c r="D534" s="81">
        <v>1</v>
      </c>
      <c r="E534" s="110">
        <f t="shared" si="7"/>
        <v>101683.64744422499</v>
      </c>
      <c r="F534" s="110">
        <v>99777.889750000002</v>
      </c>
      <c r="G534" s="509"/>
    </row>
    <row r="535" spans="1:7" ht="29.25" customHeight="1" x14ac:dyDescent="0.2">
      <c r="A535" s="79" t="s">
        <v>1140</v>
      </c>
      <c r="B535" s="80" t="s">
        <v>1263</v>
      </c>
      <c r="C535" s="81" t="s">
        <v>1424</v>
      </c>
      <c r="D535" s="81">
        <v>1</v>
      </c>
      <c r="E535" s="110">
        <f t="shared" si="7"/>
        <v>74290.00866902998</v>
      </c>
      <c r="F535" s="110">
        <v>72897.663299999986</v>
      </c>
      <c r="G535" s="509"/>
    </row>
    <row r="536" spans="1:7" ht="29.25" customHeight="1" x14ac:dyDescent="0.2">
      <c r="A536" s="79" t="s">
        <v>2760</v>
      </c>
      <c r="B536" s="80" t="s">
        <v>1218</v>
      </c>
      <c r="C536" s="81" t="s">
        <v>1435</v>
      </c>
      <c r="D536" s="81">
        <v>1</v>
      </c>
      <c r="E536" s="110">
        <f t="shared" si="7"/>
        <v>7185.2167279199994</v>
      </c>
      <c r="F536" s="110">
        <v>7050.5511999999999</v>
      </c>
      <c r="G536" s="509"/>
    </row>
    <row r="537" spans="1:7" ht="29.25" customHeight="1" x14ac:dyDescent="0.2">
      <c r="A537" s="79" t="s">
        <v>1141</v>
      </c>
      <c r="B537" s="80" t="s">
        <v>1219</v>
      </c>
      <c r="C537" s="81" t="s">
        <v>1435</v>
      </c>
      <c r="D537" s="81">
        <v>1</v>
      </c>
      <c r="E537" s="110">
        <f t="shared" si="7"/>
        <v>10290.256813913998</v>
      </c>
      <c r="F537" s="110">
        <v>10097.39654</v>
      </c>
      <c r="G537" s="509"/>
    </row>
    <row r="538" spans="1:7" ht="29.25" customHeight="1" x14ac:dyDescent="0.2">
      <c r="A538" s="79" t="s">
        <v>1142</v>
      </c>
      <c r="B538" s="80" t="s">
        <v>1220</v>
      </c>
      <c r="C538" s="81" t="s">
        <v>1435</v>
      </c>
      <c r="D538" s="81">
        <v>1</v>
      </c>
      <c r="E538" s="110">
        <f t="shared" si="7"/>
        <v>11547.669741299998</v>
      </c>
      <c r="F538" s="110">
        <v>11331.243</v>
      </c>
      <c r="G538" s="509"/>
    </row>
    <row r="539" spans="1:7" ht="29.25" customHeight="1" x14ac:dyDescent="0.2">
      <c r="A539" s="79" t="s">
        <v>1143</v>
      </c>
      <c r="B539" s="80" t="s">
        <v>1221</v>
      </c>
      <c r="C539" s="81" t="s">
        <v>1435</v>
      </c>
      <c r="D539" s="81">
        <v>1</v>
      </c>
      <c r="E539" s="110">
        <f t="shared" si="7"/>
        <v>14370.433455839999</v>
      </c>
      <c r="F539" s="110">
        <v>14101.1024</v>
      </c>
      <c r="G539" s="509"/>
    </row>
    <row r="540" spans="1:7" ht="29.25" customHeight="1" x14ac:dyDescent="0.2">
      <c r="A540" s="79" t="s">
        <v>1144</v>
      </c>
      <c r="B540" s="80" t="s">
        <v>1222</v>
      </c>
      <c r="C540" s="81" t="s">
        <v>1435</v>
      </c>
      <c r="D540" s="81">
        <v>1</v>
      </c>
      <c r="E540" s="110">
        <f t="shared" si="7"/>
        <v>18347.964144509995</v>
      </c>
      <c r="F540" s="110">
        <v>18004.086099999997</v>
      </c>
      <c r="G540" s="509"/>
    </row>
    <row r="541" spans="1:7" ht="29.25" customHeight="1" x14ac:dyDescent="0.2">
      <c r="A541" s="79" t="s">
        <v>1145</v>
      </c>
      <c r="B541" s="80" t="s">
        <v>2906</v>
      </c>
      <c r="C541" s="81" t="s">
        <v>1435</v>
      </c>
      <c r="D541" s="81">
        <v>1</v>
      </c>
      <c r="E541" s="110">
        <f t="shared" si="7"/>
        <v>9623.0581177499989</v>
      </c>
      <c r="F541" s="110">
        <v>9442.7024999999994</v>
      </c>
      <c r="G541" s="509"/>
    </row>
    <row r="542" spans="1:7" ht="29.25" customHeight="1" x14ac:dyDescent="0.2">
      <c r="A542" s="79" t="s">
        <v>1146</v>
      </c>
      <c r="B542" s="80" t="s">
        <v>1335</v>
      </c>
      <c r="C542" s="81" t="s">
        <v>1435</v>
      </c>
      <c r="D542" s="81">
        <v>1</v>
      </c>
      <c r="E542" s="110">
        <f t="shared" si="7"/>
        <v>13151.512760924998</v>
      </c>
      <c r="F542" s="110">
        <v>12905.026749999999</v>
      </c>
      <c r="G542" s="509"/>
    </row>
    <row r="543" spans="1:7" ht="29.25" customHeight="1" x14ac:dyDescent="0.2">
      <c r="A543" s="79" t="s">
        <v>1147</v>
      </c>
      <c r="B543" s="80" t="s">
        <v>1336</v>
      </c>
      <c r="C543" s="81" t="s">
        <v>1435</v>
      </c>
      <c r="D543" s="81">
        <v>1</v>
      </c>
      <c r="E543" s="110">
        <f t="shared" si="7"/>
        <v>12574.129273859997</v>
      </c>
      <c r="F543" s="110">
        <v>12338.464599999998</v>
      </c>
      <c r="G543" s="509"/>
    </row>
    <row r="544" spans="1:7" ht="29.25" customHeight="1" x14ac:dyDescent="0.2">
      <c r="A544" s="79" t="s">
        <v>1148</v>
      </c>
      <c r="B544" s="80" t="s">
        <v>1337</v>
      </c>
      <c r="C544" s="81" t="s">
        <v>1435</v>
      </c>
      <c r="D544" s="81">
        <v>1</v>
      </c>
      <c r="E544" s="110">
        <f t="shared" si="7"/>
        <v>15396.892988399995</v>
      </c>
      <c r="F544" s="110">
        <v>15108.323999999997</v>
      </c>
      <c r="G544" s="509"/>
    </row>
    <row r="545" spans="1:7" ht="29.25" customHeight="1" x14ac:dyDescent="0.2">
      <c r="A545" s="79" t="s">
        <v>1149</v>
      </c>
      <c r="B545" s="80" t="s">
        <v>1338</v>
      </c>
      <c r="C545" s="81" t="s">
        <v>1435</v>
      </c>
      <c r="D545" s="81">
        <v>1</v>
      </c>
      <c r="E545" s="110">
        <f t="shared" si="7"/>
        <v>19246.116235499998</v>
      </c>
      <c r="F545" s="110">
        <v>18885.404999999999</v>
      </c>
      <c r="G545" s="509"/>
    </row>
    <row r="546" spans="1:7" ht="29.25" customHeight="1" x14ac:dyDescent="0.2">
      <c r="A546" s="79" t="s">
        <v>1150</v>
      </c>
      <c r="B546" s="80" t="s">
        <v>1264</v>
      </c>
      <c r="C546" s="81" t="s">
        <v>1424</v>
      </c>
      <c r="D546" s="81">
        <v>1</v>
      </c>
      <c r="E546" s="110">
        <f t="shared" si="7"/>
        <v>2001.0219071699998</v>
      </c>
      <c r="F546" s="110">
        <v>1963.5187000000001</v>
      </c>
      <c r="G546" s="509"/>
    </row>
    <row r="547" spans="1:7" ht="29.25" customHeight="1" x14ac:dyDescent="0.2">
      <c r="A547" s="79" t="s">
        <v>1151</v>
      </c>
      <c r="B547" s="80" t="s">
        <v>1265</v>
      </c>
      <c r="C547" s="81" t="s">
        <v>1424</v>
      </c>
      <c r="D547" s="81">
        <v>1</v>
      </c>
      <c r="E547" s="110">
        <f t="shared" si="7"/>
        <v>1836.2318677559999</v>
      </c>
      <c r="F547" s="110">
        <v>1801.8171600000001</v>
      </c>
      <c r="G547" s="509"/>
    </row>
    <row r="548" spans="1:7" ht="29.25" customHeight="1" x14ac:dyDescent="0.2">
      <c r="A548" s="79" t="s">
        <v>1152</v>
      </c>
      <c r="B548" s="80" t="s">
        <v>1223</v>
      </c>
      <c r="C548" s="81" t="s">
        <v>1412</v>
      </c>
      <c r="D548" s="81">
        <v>1</v>
      </c>
      <c r="E548" s="110">
        <f t="shared" si="7"/>
        <v>7154.4229419431995</v>
      </c>
      <c r="F548" s="110">
        <v>7020.3345520000003</v>
      </c>
      <c r="G548" s="509"/>
    </row>
    <row r="549" spans="1:7" ht="29.25" customHeight="1" x14ac:dyDescent="0.2">
      <c r="A549" s="79" t="s">
        <v>1153</v>
      </c>
      <c r="B549" s="80" t="s">
        <v>1224</v>
      </c>
      <c r="C549" s="81" t="s">
        <v>1412</v>
      </c>
      <c r="D549" s="81">
        <v>1</v>
      </c>
      <c r="E549" s="110">
        <f t="shared" si="7"/>
        <v>8783.9274498821997</v>
      </c>
      <c r="F549" s="110">
        <v>8619.2988420000001</v>
      </c>
      <c r="G549" s="509"/>
    </row>
    <row r="550" spans="1:7" ht="29.25" customHeight="1" x14ac:dyDescent="0.2">
      <c r="A550" s="79" t="s">
        <v>1154</v>
      </c>
      <c r="B550" s="80" t="s">
        <v>1225</v>
      </c>
      <c r="C550" s="81" t="s">
        <v>1412</v>
      </c>
      <c r="D550" s="81">
        <v>1</v>
      </c>
      <c r="E550" s="110">
        <f t="shared" si="7"/>
        <v>4823.8465732657187</v>
      </c>
      <c r="F550" s="110">
        <v>4733.437909199999</v>
      </c>
      <c r="G550" s="509"/>
    </row>
    <row r="551" spans="1:7" ht="29.25" customHeight="1" x14ac:dyDescent="0.2">
      <c r="A551" s="79" t="s">
        <v>1155</v>
      </c>
      <c r="B551" s="80" t="s">
        <v>1226</v>
      </c>
      <c r="C551" s="81" t="s">
        <v>1412</v>
      </c>
      <c r="D551" s="81">
        <v>1</v>
      </c>
      <c r="E551" s="110">
        <f t="shared" si="7"/>
        <v>7751.0525452436996</v>
      </c>
      <c r="F551" s="110">
        <v>7605.782107</v>
      </c>
      <c r="G551" s="509"/>
    </row>
    <row r="552" spans="1:7" ht="29.25" customHeight="1" x14ac:dyDescent="0.2">
      <c r="A552" s="79" t="s">
        <v>1156</v>
      </c>
      <c r="B552" s="80" t="s">
        <v>1227</v>
      </c>
      <c r="C552" s="81" t="s">
        <v>1412</v>
      </c>
      <c r="D552" s="81">
        <v>1</v>
      </c>
      <c r="E552" s="110">
        <f t="shared" si="7"/>
        <v>14408.925688310996</v>
      </c>
      <c r="F552" s="110">
        <v>14138.873209999998</v>
      </c>
      <c r="G552" s="509"/>
    </row>
    <row r="553" spans="1:7" ht="29.25" customHeight="1" x14ac:dyDescent="0.2">
      <c r="A553" s="79" t="s">
        <v>1157</v>
      </c>
      <c r="B553" s="80" t="s">
        <v>2300</v>
      </c>
      <c r="C553" s="81" t="s">
        <v>1435</v>
      </c>
      <c r="D553" s="81">
        <v>1</v>
      </c>
      <c r="E553" s="110">
        <f t="shared" si="7"/>
        <v>137637.88805249997</v>
      </c>
      <c r="F553" s="110">
        <v>135058.27499999999</v>
      </c>
      <c r="G553" s="509"/>
    </row>
    <row r="554" spans="1:7" ht="29.25" customHeight="1" x14ac:dyDescent="0.2">
      <c r="A554" s="79" t="s">
        <v>1158</v>
      </c>
      <c r="B554" s="80" t="s">
        <v>2301</v>
      </c>
      <c r="C554" s="81" t="s">
        <v>1435</v>
      </c>
      <c r="D554" s="81">
        <v>1</v>
      </c>
      <c r="E554" s="110">
        <f t="shared" si="7"/>
        <v>157242.757194765</v>
      </c>
      <c r="F554" s="110">
        <v>154295.70915000001</v>
      </c>
      <c r="G554" s="509"/>
    </row>
    <row r="555" spans="1:7" ht="29.25" customHeight="1" x14ac:dyDescent="0.2">
      <c r="A555" s="79" t="s">
        <v>1159</v>
      </c>
      <c r="B555" s="80" t="s">
        <v>2302</v>
      </c>
      <c r="C555" s="81" t="s">
        <v>1435</v>
      </c>
      <c r="D555" s="81">
        <v>1</v>
      </c>
      <c r="E555" s="110">
        <f t="shared" si="7"/>
        <v>159114.477885</v>
      </c>
      <c r="F555" s="110">
        <v>156132.35</v>
      </c>
      <c r="G555" s="509"/>
    </row>
    <row r="556" spans="1:7" ht="29.25" customHeight="1" x14ac:dyDescent="0.2">
      <c r="A556" s="79" t="s">
        <v>1160</v>
      </c>
      <c r="B556" s="80" t="s">
        <v>2303</v>
      </c>
      <c r="C556" s="81" t="s">
        <v>1435</v>
      </c>
      <c r="D556" s="81">
        <v>1</v>
      </c>
      <c r="E556" s="110">
        <f t="shared" si="7"/>
        <v>161600.02049234996</v>
      </c>
      <c r="F556" s="110">
        <v>158571.30849999998</v>
      </c>
      <c r="G556" s="509"/>
    </row>
    <row r="557" spans="1:7" ht="29.25" customHeight="1" x14ac:dyDescent="0.2">
      <c r="A557" s="79" t="s">
        <v>1161</v>
      </c>
      <c r="B557" s="80" t="s">
        <v>2304</v>
      </c>
      <c r="C557" s="81" t="s">
        <v>1435</v>
      </c>
      <c r="D557" s="81">
        <v>1</v>
      </c>
      <c r="E557" s="110">
        <f t="shared" si="7"/>
        <v>166722.38040149998</v>
      </c>
      <c r="F557" s="110">
        <v>163597.66500000001</v>
      </c>
      <c r="G557" s="509"/>
    </row>
    <row r="558" spans="1:7" ht="29.25" customHeight="1" x14ac:dyDescent="0.2">
      <c r="A558" s="79" t="s">
        <v>2761</v>
      </c>
      <c r="B558" s="80" t="s">
        <v>2305</v>
      </c>
      <c r="C558" s="81" t="s">
        <v>1435</v>
      </c>
      <c r="D558" s="81">
        <v>1</v>
      </c>
      <c r="E558" s="110">
        <f t="shared" si="7"/>
        <v>244565.90893679997</v>
      </c>
      <c r="F558" s="110">
        <v>239982.24799999999</v>
      </c>
      <c r="G558" s="509"/>
    </row>
    <row r="559" spans="1:7" ht="29.25" customHeight="1" x14ac:dyDescent="0.2">
      <c r="A559" s="79" t="s">
        <v>2762</v>
      </c>
      <c r="B559" s="80" t="s">
        <v>2306</v>
      </c>
      <c r="C559" s="81" t="s">
        <v>1435</v>
      </c>
      <c r="D559" s="81">
        <v>1</v>
      </c>
      <c r="E559" s="110">
        <f t="shared" si="7"/>
        <v>244965.62747249997</v>
      </c>
      <c r="F559" s="110">
        <v>240374.47500000001</v>
      </c>
      <c r="G559" s="509"/>
    </row>
    <row r="560" spans="1:7" ht="29.25" customHeight="1" x14ac:dyDescent="0.2">
      <c r="A560" s="79" t="s">
        <v>2763</v>
      </c>
      <c r="B560" s="80" t="s">
        <v>1266</v>
      </c>
      <c r="C560" s="81" t="s">
        <v>1435</v>
      </c>
      <c r="D560" s="81">
        <v>1</v>
      </c>
      <c r="E560" s="110">
        <f t="shared" si="7"/>
        <v>108975.6530644782</v>
      </c>
      <c r="F560" s="110">
        <v>106933.22840200001</v>
      </c>
      <c r="G560" s="509"/>
    </row>
    <row r="561" spans="1:7" ht="29.25" customHeight="1" x14ac:dyDescent="0.2">
      <c r="A561" s="79" t="s">
        <v>2764</v>
      </c>
      <c r="B561" s="80" t="s">
        <v>1267</v>
      </c>
      <c r="C561" s="81" t="s">
        <v>1435</v>
      </c>
      <c r="D561" s="81">
        <v>1</v>
      </c>
      <c r="E561" s="110">
        <f t="shared" si="7"/>
        <v>197194.82359305298</v>
      </c>
      <c r="F561" s="110">
        <v>193498.99283</v>
      </c>
      <c r="G561" s="509"/>
    </row>
    <row r="562" spans="1:7" ht="29.25" customHeight="1" x14ac:dyDescent="0.2">
      <c r="A562" s="79" t="s">
        <v>2765</v>
      </c>
      <c r="B562" s="80" t="s">
        <v>1228</v>
      </c>
      <c r="C562" s="81" t="s">
        <v>1435</v>
      </c>
      <c r="D562" s="81">
        <v>1</v>
      </c>
      <c r="E562" s="110">
        <f t="shared" si="7"/>
        <v>3464.300922389999</v>
      </c>
      <c r="F562" s="110">
        <v>3399.3728999999994</v>
      </c>
      <c r="G562" s="509"/>
    </row>
    <row r="563" spans="1:7" ht="29.25" customHeight="1" x14ac:dyDescent="0.2">
      <c r="A563" s="79" t="s">
        <v>2766</v>
      </c>
      <c r="B563" s="80" t="s">
        <v>1229</v>
      </c>
      <c r="C563" s="81" t="s">
        <v>1435</v>
      </c>
      <c r="D563" s="81">
        <v>1</v>
      </c>
      <c r="E563" s="110">
        <f t="shared" si="7"/>
        <v>8339.9837020499981</v>
      </c>
      <c r="F563" s="110">
        <v>8183.6754999999994</v>
      </c>
      <c r="G563" s="509"/>
    </row>
    <row r="564" spans="1:7" ht="29.25" customHeight="1" x14ac:dyDescent="0.2">
      <c r="A564" s="79" t="s">
        <v>1162</v>
      </c>
      <c r="B564" s="80" t="s">
        <v>1230</v>
      </c>
      <c r="C564" s="81" t="s">
        <v>1435</v>
      </c>
      <c r="D564" s="81">
        <v>1</v>
      </c>
      <c r="E564" s="110">
        <f t="shared" si="7"/>
        <v>9815.519280104998</v>
      </c>
      <c r="F564" s="110">
        <v>9631.5565499999993</v>
      </c>
      <c r="G564" s="509"/>
    </row>
    <row r="565" spans="1:7" ht="29.25" customHeight="1" x14ac:dyDescent="0.2">
      <c r="A565" s="79" t="s">
        <v>1163</v>
      </c>
      <c r="B565" s="80" t="s">
        <v>1231</v>
      </c>
      <c r="C565" s="81" t="s">
        <v>1124</v>
      </c>
      <c r="D565" s="81">
        <v>1</v>
      </c>
      <c r="E565" s="110">
        <f t="shared" si="7"/>
        <v>7739688.171847499</v>
      </c>
      <c r="F565" s="110">
        <v>7594630.7249999996</v>
      </c>
      <c r="G565" s="509"/>
    </row>
    <row r="566" spans="1:7" ht="29.25" customHeight="1" x14ac:dyDescent="0.2">
      <c r="A566" s="79" t="s">
        <v>1164</v>
      </c>
      <c r="B566" s="80" t="s">
        <v>1232</v>
      </c>
      <c r="C566" s="81" t="s">
        <v>1124</v>
      </c>
      <c r="D566" s="81">
        <v>1</v>
      </c>
      <c r="E566" s="110">
        <f t="shared" si="7"/>
        <v>10058000.469164999</v>
      </c>
      <c r="F566" s="110">
        <v>9869493.1500000004</v>
      </c>
      <c r="G566" s="509"/>
    </row>
    <row r="567" spans="1:7" ht="29.25" customHeight="1" x14ac:dyDescent="0.2">
      <c r="A567" s="79" t="s">
        <v>1165</v>
      </c>
      <c r="B567" s="80" t="s">
        <v>1233</v>
      </c>
      <c r="C567" s="81" t="s">
        <v>1124</v>
      </c>
      <c r="D567" s="81">
        <v>1</v>
      </c>
      <c r="E567" s="110">
        <f t="shared" si="7"/>
        <v>10752262.9811025</v>
      </c>
      <c r="F567" s="110">
        <v>10550743.775</v>
      </c>
      <c r="G567" s="509"/>
    </row>
    <row r="568" spans="1:7" ht="29.25" customHeight="1" x14ac:dyDescent="0.2">
      <c r="A568" s="79" t="s">
        <v>1166</v>
      </c>
      <c r="B568" s="80" t="s">
        <v>1234</v>
      </c>
      <c r="C568" s="81" t="s">
        <v>1124</v>
      </c>
      <c r="D568" s="81">
        <v>1</v>
      </c>
      <c r="E568" s="110">
        <f t="shared" ref="E568:E631" si="8">+F568*(1+($F$2/100))</f>
        <v>13777756.870102499</v>
      </c>
      <c r="F568" s="110">
        <v>13519533.775</v>
      </c>
      <c r="G568" s="509"/>
    </row>
    <row r="569" spans="1:7" ht="29.25" customHeight="1" x14ac:dyDescent="0.2">
      <c r="A569" s="79" t="s">
        <v>1167</v>
      </c>
      <c r="B569" s="80" t="s">
        <v>1235</v>
      </c>
      <c r="C569" s="81" t="s">
        <v>1124</v>
      </c>
      <c r="D569" s="81">
        <v>1</v>
      </c>
      <c r="E569" s="110">
        <f t="shared" si="8"/>
        <v>17232782.555752497</v>
      </c>
      <c r="F569" s="110">
        <v>16909805.274999999</v>
      </c>
      <c r="G569" s="509"/>
    </row>
    <row r="570" spans="1:7" ht="29.25" customHeight="1" x14ac:dyDescent="0.2">
      <c r="A570" s="79" t="s">
        <v>1168</v>
      </c>
      <c r="B570" s="80" t="s">
        <v>1236</v>
      </c>
      <c r="C570" s="81" t="s">
        <v>1124</v>
      </c>
      <c r="D570" s="81">
        <v>1</v>
      </c>
      <c r="E570" s="110">
        <f t="shared" si="8"/>
        <v>17998376.055</v>
      </c>
      <c r="F570" s="110">
        <v>17661050</v>
      </c>
      <c r="G570" s="509"/>
    </row>
    <row r="571" spans="1:7" ht="29.25" customHeight="1" x14ac:dyDescent="0.2">
      <c r="A571" s="79" t="s">
        <v>1169</v>
      </c>
      <c r="B571" s="80" t="s">
        <v>122</v>
      </c>
      <c r="C571" s="81" t="s">
        <v>1412</v>
      </c>
      <c r="D571" s="81">
        <v>1</v>
      </c>
      <c r="E571" s="110">
        <f t="shared" si="8"/>
        <v>22543.242057599997</v>
      </c>
      <c r="F571" s="110">
        <v>22120.736000000001</v>
      </c>
      <c r="G571" s="509"/>
    </row>
    <row r="572" spans="1:7" ht="29.25" customHeight="1" x14ac:dyDescent="0.2">
      <c r="A572" s="79" t="s">
        <v>1170</v>
      </c>
      <c r="B572" s="80" t="s">
        <v>123</v>
      </c>
      <c r="C572" s="81" t="s">
        <v>1412</v>
      </c>
      <c r="D572" s="81">
        <v>1</v>
      </c>
      <c r="E572" s="110">
        <f t="shared" si="8"/>
        <v>24667.712948999997</v>
      </c>
      <c r="F572" s="110">
        <v>24205.39</v>
      </c>
      <c r="G572" s="509"/>
    </row>
    <row r="573" spans="1:7" ht="29.25" customHeight="1" x14ac:dyDescent="0.2">
      <c r="A573" s="79" t="s">
        <v>1171</v>
      </c>
      <c r="B573" s="80" t="s">
        <v>87</v>
      </c>
      <c r="C573" s="81" t="s">
        <v>1412</v>
      </c>
      <c r="D573" s="81">
        <v>1</v>
      </c>
      <c r="E573" s="110">
        <f t="shared" si="8"/>
        <v>713336.37377639988</v>
      </c>
      <c r="F573" s="110">
        <v>699967.00399999996</v>
      </c>
      <c r="G573" s="509"/>
    </row>
    <row r="574" spans="1:7" ht="29.25" customHeight="1" x14ac:dyDescent="0.2">
      <c r="A574" s="79" t="s">
        <v>1172</v>
      </c>
      <c r="B574" s="80" t="s">
        <v>89</v>
      </c>
      <c r="C574" s="81" t="s">
        <v>1412</v>
      </c>
      <c r="D574" s="81">
        <v>1</v>
      </c>
      <c r="E574" s="110">
        <f t="shared" si="8"/>
        <v>854130.05071019998</v>
      </c>
      <c r="F574" s="110">
        <v>838121.92200000002</v>
      </c>
      <c r="G574" s="509"/>
    </row>
    <row r="575" spans="1:7" ht="29.25" customHeight="1" x14ac:dyDescent="0.2">
      <c r="A575" s="79" t="s">
        <v>1173</v>
      </c>
      <c r="B575" s="80" t="s">
        <v>90</v>
      </c>
      <c r="C575" s="81" t="s">
        <v>1412</v>
      </c>
      <c r="D575" s="81">
        <v>1</v>
      </c>
      <c r="E575" s="110">
        <f t="shared" si="8"/>
        <v>1065872.6635358999</v>
      </c>
      <c r="F575" s="110">
        <v>1045896.049</v>
      </c>
      <c r="G575" s="509"/>
    </row>
    <row r="576" spans="1:7" ht="29.25" customHeight="1" x14ac:dyDescent="0.2">
      <c r="A576" s="79" t="s">
        <v>1174</v>
      </c>
      <c r="B576" s="80" t="s">
        <v>91</v>
      </c>
      <c r="C576" s="81" t="s">
        <v>1412</v>
      </c>
      <c r="D576" s="81">
        <v>1</v>
      </c>
      <c r="E576" s="110">
        <f t="shared" si="8"/>
        <v>906917.52096775477</v>
      </c>
      <c r="F576" s="110">
        <v>889920.04804999987</v>
      </c>
      <c r="G576" s="509"/>
    </row>
    <row r="577" spans="1:7" ht="29.25" customHeight="1" x14ac:dyDescent="0.2">
      <c r="A577" s="79" t="s">
        <v>1175</v>
      </c>
      <c r="B577" s="80" t="s">
        <v>92</v>
      </c>
      <c r="C577" s="81" t="s">
        <v>1412</v>
      </c>
      <c r="D577" s="81">
        <v>1</v>
      </c>
      <c r="E577" s="110">
        <f t="shared" si="8"/>
        <v>1045913.8377780397</v>
      </c>
      <c r="F577" s="110">
        <v>1026311.2920989499</v>
      </c>
      <c r="G577" s="509"/>
    </row>
    <row r="578" spans="1:7" ht="29.25" customHeight="1" x14ac:dyDescent="0.2">
      <c r="A578" s="79" t="s">
        <v>1176</v>
      </c>
      <c r="B578" s="80" t="s">
        <v>93</v>
      </c>
      <c r="C578" s="81" t="s">
        <v>1412</v>
      </c>
      <c r="D578" s="81">
        <v>1</v>
      </c>
      <c r="E578" s="110">
        <f t="shared" si="8"/>
        <v>1817485.0684316698</v>
      </c>
      <c r="F578" s="110">
        <v>1783421.7137</v>
      </c>
      <c r="G578" s="509"/>
    </row>
    <row r="579" spans="1:7" ht="29.25" customHeight="1" x14ac:dyDescent="0.2">
      <c r="A579" s="79" t="s">
        <v>1177</v>
      </c>
      <c r="B579" s="80" t="s">
        <v>94</v>
      </c>
      <c r="C579" s="81" t="s">
        <v>1412</v>
      </c>
      <c r="D579" s="81">
        <v>1</v>
      </c>
      <c r="E579" s="110">
        <f t="shared" si="8"/>
        <v>1600744.4419497848</v>
      </c>
      <c r="F579" s="110">
        <v>1570743.2459520998</v>
      </c>
      <c r="G579" s="509"/>
    </row>
    <row r="580" spans="1:7" ht="29.25" customHeight="1" x14ac:dyDescent="0.2">
      <c r="A580" s="79" t="s">
        <v>1178</v>
      </c>
      <c r="B580" s="80" t="s">
        <v>2307</v>
      </c>
      <c r="C580" s="81" t="s">
        <v>1412</v>
      </c>
      <c r="D580" s="81">
        <v>1</v>
      </c>
      <c r="E580" s="110">
        <f t="shared" si="8"/>
        <v>16928.70575620039</v>
      </c>
      <c r="F580" s="110">
        <v>16611.427491120001</v>
      </c>
      <c r="G580" s="509"/>
    </row>
    <row r="581" spans="1:7" ht="29.25" customHeight="1" x14ac:dyDescent="0.2">
      <c r="A581" s="79" t="s">
        <v>2767</v>
      </c>
      <c r="B581" s="80" t="s">
        <v>1237</v>
      </c>
      <c r="C581" s="81" t="s">
        <v>1412</v>
      </c>
      <c r="D581" s="81">
        <v>1</v>
      </c>
      <c r="E581" s="110">
        <f t="shared" si="8"/>
        <v>4451.0094403499997</v>
      </c>
      <c r="F581" s="110">
        <v>4367.5884999999998</v>
      </c>
      <c r="G581" s="509"/>
    </row>
    <row r="582" spans="1:7" ht="29.25" customHeight="1" x14ac:dyDescent="0.2">
      <c r="A582" s="79" t="s">
        <v>2768</v>
      </c>
      <c r="B582" s="80" t="s">
        <v>2819</v>
      </c>
      <c r="C582" s="81" t="s">
        <v>1412</v>
      </c>
      <c r="D582" s="81">
        <v>1</v>
      </c>
      <c r="E582" s="110">
        <f t="shared" si="8"/>
        <v>22729.614424545329</v>
      </c>
      <c r="F582" s="110">
        <v>22303.615370959997</v>
      </c>
      <c r="G582" s="509"/>
    </row>
    <row r="583" spans="1:7" ht="29.25" customHeight="1" x14ac:dyDescent="0.2">
      <c r="A583" s="79" t="s">
        <v>2769</v>
      </c>
      <c r="B583" s="80" t="s">
        <v>1268</v>
      </c>
      <c r="C583" s="81" t="s">
        <v>1412</v>
      </c>
      <c r="D583" s="81">
        <v>1</v>
      </c>
      <c r="E583" s="110">
        <f t="shared" si="8"/>
        <v>0</v>
      </c>
      <c r="F583" s="110" t="s">
        <v>3298</v>
      </c>
      <c r="G583" s="509"/>
    </row>
    <row r="584" spans="1:7" ht="29.25" customHeight="1" x14ac:dyDescent="0.2">
      <c r="A584" s="79" t="s">
        <v>2770</v>
      </c>
      <c r="B584" s="80" t="s">
        <v>1269</v>
      </c>
      <c r="C584" s="81" t="s">
        <v>1412</v>
      </c>
      <c r="D584" s="81">
        <v>1</v>
      </c>
      <c r="E584" s="110">
        <f t="shared" si="8"/>
        <v>0</v>
      </c>
      <c r="F584" s="110" t="s">
        <v>3298</v>
      </c>
      <c r="G584" s="509"/>
    </row>
    <row r="585" spans="1:7" ht="29.25" customHeight="1" x14ac:dyDescent="0.2">
      <c r="A585" s="79" t="s">
        <v>2771</v>
      </c>
      <c r="B585" s="80" t="s">
        <v>1270</v>
      </c>
      <c r="C585" s="81" t="s">
        <v>1412</v>
      </c>
      <c r="D585" s="81">
        <v>1</v>
      </c>
      <c r="E585" s="110">
        <f t="shared" si="8"/>
        <v>0</v>
      </c>
      <c r="F585" s="110" t="s">
        <v>3298</v>
      </c>
      <c r="G585" s="509"/>
    </row>
    <row r="586" spans="1:7" ht="29.25" customHeight="1" x14ac:dyDescent="0.2">
      <c r="A586" s="79" t="s">
        <v>2772</v>
      </c>
      <c r="B586" s="80" t="s">
        <v>1271</v>
      </c>
      <c r="C586" s="81" t="s">
        <v>1412</v>
      </c>
      <c r="D586" s="81">
        <v>1</v>
      </c>
      <c r="E586" s="110">
        <f t="shared" si="8"/>
        <v>0</v>
      </c>
      <c r="F586" s="110" t="s">
        <v>3298</v>
      </c>
      <c r="G586" s="509"/>
    </row>
    <row r="587" spans="1:7" ht="29.25" customHeight="1" x14ac:dyDescent="0.2">
      <c r="A587" s="79" t="s">
        <v>2773</v>
      </c>
      <c r="B587" s="80" t="s">
        <v>1277</v>
      </c>
      <c r="C587" s="81" t="s">
        <v>1412</v>
      </c>
      <c r="D587" s="81">
        <v>1</v>
      </c>
      <c r="E587" s="110">
        <f t="shared" si="8"/>
        <v>4996.2917747357988</v>
      </c>
      <c r="F587" s="110">
        <v>4902.6511379999993</v>
      </c>
      <c r="G587" s="509"/>
    </row>
    <row r="588" spans="1:7" ht="29.25" customHeight="1" x14ac:dyDescent="0.2">
      <c r="A588" s="79" t="s">
        <v>2774</v>
      </c>
      <c r="B588" s="80" t="s">
        <v>1286</v>
      </c>
      <c r="C588" s="81" t="s">
        <v>1414</v>
      </c>
      <c r="D588" s="81">
        <v>1</v>
      </c>
      <c r="E588" s="110">
        <f t="shared" si="8"/>
        <v>0</v>
      </c>
      <c r="F588" s="110" t="s">
        <v>3298</v>
      </c>
      <c r="G588" s="509"/>
    </row>
    <row r="589" spans="1:7" ht="29.25" customHeight="1" x14ac:dyDescent="0.2">
      <c r="A589" s="79" t="s">
        <v>2775</v>
      </c>
      <c r="B589" s="80" t="s">
        <v>2530</v>
      </c>
      <c r="C589" s="86" t="s">
        <v>1412</v>
      </c>
      <c r="D589" s="81">
        <v>1</v>
      </c>
      <c r="E589" s="110">
        <f t="shared" si="8"/>
        <v>23143.670091184496</v>
      </c>
      <c r="F589" s="110">
        <v>22709.910795</v>
      </c>
      <c r="G589" s="509"/>
    </row>
    <row r="590" spans="1:7" ht="29.25" customHeight="1" x14ac:dyDescent="0.2">
      <c r="A590" s="79" t="s">
        <v>2776</v>
      </c>
      <c r="B590" s="80" t="s">
        <v>2297</v>
      </c>
      <c r="C590" s="81" t="s">
        <v>1432</v>
      </c>
      <c r="D590" s="81">
        <v>1</v>
      </c>
      <c r="E590" s="110">
        <f t="shared" si="8"/>
        <v>561150.89524632599</v>
      </c>
      <c r="F590" s="110">
        <v>550633.78986000002</v>
      </c>
      <c r="G590" s="509"/>
    </row>
    <row r="591" spans="1:7" ht="29.25" customHeight="1" x14ac:dyDescent="0.2">
      <c r="A591" s="79" t="s">
        <v>1179</v>
      </c>
      <c r="B591" s="80" t="s">
        <v>1294</v>
      </c>
      <c r="C591" s="81" t="s">
        <v>1435</v>
      </c>
      <c r="D591" s="81">
        <v>1</v>
      </c>
      <c r="E591" s="110">
        <f t="shared" si="8"/>
        <v>107206.29697865143</v>
      </c>
      <c r="F591" s="110">
        <v>105197.03363620002</v>
      </c>
      <c r="G591" s="509"/>
    </row>
    <row r="592" spans="1:7" ht="29.25" customHeight="1" x14ac:dyDescent="0.2">
      <c r="A592" s="79" t="s">
        <v>1180</v>
      </c>
      <c r="B592" s="80" t="s">
        <v>1297</v>
      </c>
      <c r="C592" s="81" t="s">
        <v>1435</v>
      </c>
      <c r="D592" s="81">
        <v>1</v>
      </c>
      <c r="E592" s="110">
        <f t="shared" si="8"/>
        <v>247151.86260702959</v>
      </c>
      <c r="F592" s="110">
        <v>242519.735656</v>
      </c>
      <c r="G592" s="509"/>
    </row>
    <row r="593" spans="1:7" ht="29.25" customHeight="1" x14ac:dyDescent="0.2">
      <c r="A593" s="79" t="s">
        <v>1181</v>
      </c>
      <c r="B593" s="80" t="s">
        <v>1299</v>
      </c>
      <c r="C593" s="81" t="s">
        <v>1435</v>
      </c>
      <c r="D593" s="81">
        <v>1</v>
      </c>
      <c r="E593" s="110">
        <f t="shared" si="8"/>
        <v>153103.03574135789</v>
      </c>
      <c r="F593" s="110">
        <v>150233.57446900001</v>
      </c>
      <c r="G593" s="509"/>
    </row>
    <row r="594" spans="1:7" ht="29.25" customHeight="1" x14ac:dyDescent="0.2">
      <c r="A594" s="79" t="s">
        <v>1182</v>
      </c>
      <c r="B594" s="80" t="s">
        <v>1300</v>
      </c>
      <c r="C594" s="81" t="s">
        <v>1435</v>
      </c>
      <c r="D594" s="81">
        <v>1</v>
      </c>
      <c r="E594" s="110">
        <f t="shared" si="8"/>
        <v>341338.64293964196</v>
      </c>
      <c r="F594" s="110">
        <v>334941.26478230004</v>
      </c>
      <c r="G594" s="509"/>
    </row>
    <row r="595" spans="1:7" ht="29.25" customHeight="1" x14ac:dyDescent="0.2">
      <c r="A595" s="79" t="s">
        <v>1183</v>
      </c>
      <c r="B595" s="80" t="s">
        <v>1303</v>
      </c>
      <c r="C595" s="81" t="s">
        <v>1435</v>
      </c>
      <c r="D595" s="81">
        <v>1</v>
      </c>
      <c r="E595" s="110">
        <f t="shared" si="8"/>
        <v>46275.637451869945</v>
      </c>
      <c r="F595" s="110">
        <v>45408.338192395204</v>
      </c>
      <c r="G595" s="509"/>
    </row>
    <row r="596" spans="1:7" ht="29.25" customHeight="1" x14ac:dyDescent="0.2">
      <c r="A596" s="79" t="s">
        <v>1184</v>
      </c>
      <c r="B596" s="80" t="s">
        <v>1343</v>
      </c>
      <c r="C596" s="81" t="s">
        <v>1412</v>
      </c>
      <c r="D596" s="81">
        <v>1</v>
      </c>
      <c r="E596" s="110">
        <f t="shared" si="8"/>
        <v>69192.529950500029</v>
      </c>
      <c r="F596" s="110">
        <v>67895.721666666708</v>
      </c>
      <c r="G596" s="509"/>
    </row>
    <row r="597" spans="1:7" ht="29.25" customHeight="1" x14ac:dyDescent="0.2">
      <c r="A597" s="79" t="s">
        <v>1185</v>
      </c>
      <c r="B597" s="80" t="s">
        <v>1346</v>
      </c>
      <c r="C597" s="81" t="s">
        <v>1435</v>
      </c>
      <c r="D597" s="81">
        <v>1</v>
      </c>
      <c r="E597" s="110">
        <f t="shared" si="8"/>
        <v>30018.377916713522</v>
      </c>
      <c r="F597" s="110">
        <v>29455.772658927999</v>
      </c>
      <c r="G597" s="509"/>
    </row>
    <row r="598" spans="1:7" ht="29.25" customHeight="1" x14ac:dyDescent="0.2">
      <c r="A598" s="79" t="s">
        <v>2777</v>
      </c>
      <c r="B598" s="80" t="s">
        <v>1360</v>
      </c>
      <c r="C598" s="81" t="s">
        <v>1435</v>
      </c>
      <c r="D598" s="81">
        <v>1</v>
      </c>
      <c r="E598" s="110">
        <f t="shared" si="8"/>
        <v>21928.845959162998</v>
      </c>
      <c r="F598" s="110">
        <v>21517.854930000001</v>
      </c>
      <c r="G598" s="509"/>
    </row>
    <row r="599" spans="1:7" ht="29.25" customHeight="1" x14ac:dyDescent="0.2">
      <c r="A599" s="79" t="s">
        <v>2778</v>
      </c>
      <c r="B599" s="80" t="s">
        <v>2651</v>
      </c>
      <c r="C599" s="81" t="s">
        <v>1435</v>
      </c>
      <c r="D599" s="81">
        <v>1</v>
      </c>
      <c r="E599" s="110">
        <f t="shared" si="8"/>
        <v>1373364.4418348384</v>
      </c>
      <c r="F599" s="110">
        <v>1347624.8080020002</v>
      </c>
      <c r="G599" s="509"/>
    </row>
    <row r="600" spans="1:7" ht="29.25" customHeight="1" x14ac:dyDescent="0.2">
      <c r="A600" s="79" t="s">
        <v>2779</v>
      </c>
      <c r="B600" s="80" t="s">
        <v>2652</v>
      </c>
      <c r="C600" s="81" t="s">
        <v>1435</v>
      </c>
      <c r="D600" s="81">
        <v>1</v>
      </c>
      <c r="E600" s="110">
        <f t="shared" si="8"/>
        <v>969847.57301998488</v>
      </c>
      <c r="F600" s="110">
        <v>951670.66334999993</v>
      </c>
      <c r="G600" s="509"/>
    </row>
    <row r="601" spans="1:7" ht="29.25" customHeight="1" x14ac:dyDescent="0.2">
      <c r="A601" s="79" t="s">
        <v>2780</v>
      </c>
      <c r="B601" s="80" t="s">
        <v>174</v>
      </c>
      <c r="C601" s="81" t="s">
        <v>2156</v>
      </c>
      <c r="D601" s="81">
        <v>1</v>
      </c>
      <c r="E601" s="110">
        <f t="shared" si="8"/>
        <v>10920.4870665</v>
      </c>
      <c r="F601" s="110">
        <v>10715.815000000001</v>
      </c>
      <c r="G601" s="509"/>
    </row>
    <row r="602" spans="1:7" ht="29.25" customHeight="1" x14ac:dyDescent="0.2">
      <c r="A602" s="79" t="s">
        <v>2781</v>
      </c>
      <c r="B602" s="80" t="s">
        <v>1032</v>
      </c>
      <c r="C602" s="81" t="s">
        <v>2114</v>
      </c>
      <c r="D602" s="81">
        <v>1</v>
      </c>
      <c r="E602" s="110">
        <f t="shared" si="8"/>
        <v>320217.934223941</v>
      </c>
      <c r="F602" s="110">
        <v>314216.40096549998</v>
      </c>
      <c r="G602" s="509"/>
    </row>
    <row r="603" spans="1:7" ht="29.25" customHeight="1" x14ac:dyDescent="0.2">
      <c r="A603" s="79" t="s">
        <v>2782</v>
      </c>
      <c r="B603" s="80" t="s">
        <v>182</v>
      </c>
      <c r="C603" s="81" t="s">
        <v>1432</v>
      </c>
      <c r="D603" s="81">
        <v>1</v>
      </c>
      <c r="E603" s="110">
        <f t="shared" si="8"/>
        <v>813890.89365091198</v>
      </c>
      <c r="F603" s="110">
        <v>798636.92832000006</v>
      </c>
      <c r="G603" s="509"/>
    </row>
    <row r="604" spans="1:7" ht="29.25" customHeight="1" x14ac:dyDescent="0.2">
      <c r="A604" s="79" t="s">
        <v>2783</v>
      </c>
      <c r="B604" s="80" t="s">
        <v>291</v>
      </c>
      <c r="C604" s="81" t="s">
        <v>1435</v>
      </c>
      <c r="D604" s="81">
        <v>1</v>
      </c>
      <c r="E604" s="110">
        <f t="shared" si="8"/>
        <v>7056.9092863499991</v>
      </c>
      <c r="F604" s="110">
        <v>6924.6485000000002</v>
      </c>
      <c r="G604" s="509"/>
    </row>
    <row r="605" spans="1:7" ht="29.25" customHeight="1" x14ac:dyDescent="0.2">
      <c r="A605" s="79" t="s">
        <v>2784</v>
      </c>
      <c r="B605" s="80" t="s">
        <v>355</v>
      </c>
      <c r="C605" s="81" t="s">
        <v>1414</v>
      </c>
      <c r="D605" s="81">
        <v>1</v>
      </c>
      <c r="E605" s="110">
        <f t="shared" si="8"/>
        <v>33184.367827049995</v>
      </c>
      <c r="F605" s="110">
        <v>32562.425500000001</v>
      </c>
      <c r="G605" s="509"/>
    </row>
    <row r="606" spans="1:7" ht="29.25" customHeight="1" x14ac:dyDescent="0.2">
      <c r="A606" s="79" t="s">
        <v>2785</v>
      </c>
      <c r="B606" s="80" t="s">
        <v>346</v>
      </c>
      <c r="C606" s="81" t="s">
        <v>1435</v>
      </c>
      <c r="D606" s="81">
        <v>1</v>
      </c>
      <c r="E606" s="110">
        <f t="shared" si="8"/>
        <v>44195.570021451742</v>
      </c>
      <c r="F606" s="110">
        <v>43367.255442499998</v>
      </c>
      <c r="G606" s="509"/>
    </row>
    <row r="607" spans="1:7" ht="29.25" customHeight="1" x14ac:dyDescent="0.2">
      <c r="A607" s="79" t="s">
        <v>2786</v>
      </c>
      <c r="B607" s="80" t="s">
        <v>347</v>
      </c>
      <c r="C607" s="81" t="s">
        <v>1435</v>
      </c>
      <c r="D607" s="81">
        <v>1</v>
      </c>
      <c r="E607" s="110">
        <f t="shared" si="8"/>
        <v>72480.390105548679</v>
      </c>
      <c r="F607" s="110">
        <v>71121.960656999989</v>
      </c>
      <c r="G607" s="509"/>
    </row>
    <row r="608" spans="1:7" ht="29.25" customHeight="1" x14ac:dyDescent="0.2">
      <c r="A608" s="79" t="s">
        <v>2787</v>
      </c>
      <c r="B608" s="80" t="s">
        <v>348</v>
      </c>
      <c r="C608" s="81" t="s">
        <v>1424</v>
      </c>
      <c r="D608" s="81">
        <v>1</v>
      </c>
      <c r="E608" s="110">
        <f t="shared" si="8"/>
        <v>70755.141414263606</v>
      </c>
      <c r="F608" s="110">
        <v>69429.046623749993</v>
      </c>
      <c r="G608" s="509"/>
    </row>
    <row r="609" spans="1:7" ht="29.25" customHeight="1" x14ac:dyDescent="0.2">
      <c r="A609" s="79" t="s">
        <v>2788</v>
      </c>
      <c r="B609" s="80" t="s">
        <v>341</v>
      </c>
      <c r="C609" s="81" t="s">
        <v>1424</v>
      </c>
      <c r="D609" s="81">
        <v>1</v>
      </c>
      <c r="E609" s="110">
        <f t="shared" si="8"/>
        <v>5740.7346424705202</v>
      </c>
      <c r="F609" s="110">
        <v>5633.1416372000003</v>
      </c>
      <c r="G609" s="509"/>
    </row>
    <row r="610" spans="1:7" ht="29.25" customHeight="1" x14ac:dyDescent="0.2">
      <c r="A610" s="79" t="s">
        <v>2789</v>
      </c>
      <c r="B610" s="80" t="s">
        <v>360</v>
      </c>
      <c r="C610" s="81" t="s">
        <v>1414</v>
      </c>
      <c r="D610" s="81">
        <v>1</v>
      </c>
      <c r="E610" s="110">
        <f t="shared" si="8"/>
        <v>3588.6332624999995</v>
      </c>
      <c r="F610" s="110">
        <v>3521.375</v>
      </c>
      <c r="G610" s="509"/>
    </row>
    <row r="611" spans="1:7" ht="29.25" customHeight="1" x14ac:dyDescent="0.2">
      <c r="A611" s="79" t="s">
        <v>2790</v>
      </c>
      <c r="B611" s="80" t="s">
        <v>364</v>
      </c>
      <c r="C611" s="81" t="s">
        <v>1435</v>
      </c>
      <c r="D611" s="81">
        <v>1</v>
      </c>
      <c r="E611" s="110">
        <f t="shared" si="8"/>
        <v>1048.9851074999999</v>
      </c>
      <c r="F611" s="110">
        <v>1029.325</v>
      </c>
      <c r="G611" s="509"/>
    </row>
    <row r="612" spans="1:7" ht="29.25" customHeight="1" x14ac:dyDescent="0.2">
      <c r="A612" s="79" t="s">
        <v>2791</v>
      </c>
      <c r="B612" s="80" t="s">
        <v>368</v>
      </c>
      <c r="C612" s="81" t="s">
        <v>1435</v>
      </c>
      <c r="D612" s="81">
        <v>1</v>
      </c>
      <c r="E612" s="110">
        <f t="shared" si="8"/>
        <v>180928.95134159998</v>
      </c>
      <c r="F612" s="110">
        <v>177537.976</v>
      </c>
      <c r="G612" s="509"/>
    </row>
    <row r="613" spans="1:7" ht="29.25" customHeight="1" x14ac:dyDescent="0.2">
      <c r="A613" s="79" t="s">
        <v>1186</v>
      </c>
      <c r="B613" s="80" t="s">
        <v>391</v>
      </c>
      <c r="C613" s="81" t="s">
        <v>1435</v>
      </c>
      <c r="D613" s="81">
        <v>1</v>
      </c>
      <c r="E613" s="110">
        <f t="shared" si="8"/>
        <v>303543.16426499997</v>
      </c>
      <c r="F613" s="110">
        <v>297854.15000000002</v>
      </c>
      <c r="G613" s="509"/>
    </row>
    <row r="614" spans="1:7" ht="29.25" customHeight="1" x14ac:dyDescent="0.2">
      <c r="A614" s="79" t="s">
        <v>2792</v>
      </c>
      <c r="B614" s="80" t="s">
        <v>380</v>
      </c>
      <c r="C614" s="81" t="s">
        <v>1435</v>
      </c>
      <c r="D614" s="81">
        <v>1</v>
      </c>
      <c r="E614" s="110">
        <f t="shared" si="8"/>
        <v>298022.190015</v>
      </c>
      <c r="F614" s="110">
        <v>292436.65000000002</v>
      </c>
      <c r="G614" s="509"/>
    </row>
    <row r="615" spans="1:7" ht="29.25" customHeight="1" x14ac:dyDescent="0.2">
      <c r="A615" s="79" t="s">
        <v>2837</v>
      </c>
      <c r="B615" s="80" t="s">
        <v>2838</v>
      </c>
      <c r="C615" s="81" t="s">
        <v>1435</v>
      </c>
      <c r="D615" s="81">
        <v>1</v>
      </c>
      <c r="E615" s="110">
        <f t="shared" si="8"/>
        <v>317456.01937499997</v>
      </c>
      <c r="F615" s="110">
        <v>311506.25</v>
      </c>
      <c r="G615" s="509"/>
    </row>
    <row r="616" spans="1:7" ht="29.25" customHeight="1" x14ac:dyDescent="0.2">
      <c r="A616" s="79" t="s">
        <v>1187</v>
      </c>
      <c r="B616" s="80" t="s">
        <v>36</v>
      </c>
      <c r="C616" s="81" t="s">
        <v>1435</v>
      </c>
      <c r="D616" s="81">
        <v>1</v>
      </c>
      <c r="E616" s="110">
        <f t="shared" si="8"/>
        <v>647610.2795249999</v>
      </c>
      <c r="F616" s="110">
        <v>635472.75</v>
      </c>
      <c r="G616" s="509"/>
    </row>
    <row r="617" spans="1:7" ht="29.25" customHeight="1" x14ac:dyDescent="0.2">
      <c r="A617" s="79" t="s">
        <v>2793</v>
      </c>
      <c r="B617" s="80" t="s">
        <v>37</v>
      </c>
      <c r="C617" s="81" t="s">
        <v>1435</v>
      </c>
      <c r="D617" s="81">
        <v>1</v>
      </c>
      <c r="E617" s="110">
        <f t="shared" si="8"/>
        <v>269781.74420933996</v>
      </c>
      <c r="F617" s="110">
        <v>264725.48739999998</v>
      </c>
      <c r="G617" s="509"/>
    </row>
    <row r="618" spans="1:7" ht="29.25" customHeight="1" x14ac:dyDescent="0.2">
      <c r="A618" s="79" t="s">
        <v>1188</v>
      </c>
      <c r="B618" s="80" t="s">
        <v>103</v>
      </c>
      <c r="C618" s="81" t="s">
        <v>1414</v>
      </c>
      <c r="D618" s="81">
        <v>1</v>
      </c>
      <c r="E618" s="110">
        <f t="shared" si="8"/>
        <v>6158.7571953599981</v>
      </c>
      <c r="F618" s="110">
        <v>6043.3295999999991</v>
      </c>
      <c r="G618" s="509"/>
    </row>
    <row r="619" spans="1:7" ht="29.25" customHeight="1" x14ac:dyDescent="0.2">
      <c r="A619" s="79" t="s">
        <v>1189</v>
      </c>
      <c r="B619" s="80" t="s">
        <v>38</v>
      </c>
      <c r="C619" s="81" t="s">
        <v>1435</v>
      </c>
      <c r="D619" s="81">
        <v>1</v>
      </c>
      <c r="E619" s="110">
        <f t="shared" si="8"/>
        <v>953709.21318980982</v>
      </c>
      <c r="F619" s="110">
        <v>935834.76909999992</v>
      </c>
      <c r="G619" s="509"/>
    </row>
    <row r="620" spans="1:7" ht="29.25" customHeight="1" x14ac:dyDescent="0.2">
      <c r="A620" s="79" t="s">
        <v>1190</v>
      </c>
      <c r="B620" s="80" t="s">
        <v>390</v>
      </c>
      <c r="C620" s="81" t="s">
        <v>1435</v>
      </c>
      <c r="D620" s="81">
        <v>1</v>
      </c>
      <c r="E620" s="110">
        <f t="shared" si="8"/>
        <v>396260.19742979994</v>
      </c>
      <c r="F620" s="110">
        <v>388833.478</v>
      </c>
      <c r="G620" s="509"/>
    </row>
    <row r="621" spans="1:7" ht="29.25" customHeight="1" x14ac:dyDescent="0.2">
      <c r="A621" s="79" t="s">
        <v>1191</v>
      </c>
      <c r="B621" s="80" t="s">
        <v>388</v>
      </c>
      <c r="C621" s="81" t="s">
        <v>1435</v>
      </c>
      <c r="D621" s="81">
        <v>1</v>
      </c>
      <c r="E621" s="110">
        <f t="shared" si="8"/>
        <v>571965.64461398998</v>
      </c>
      <c r="F621" s="110">
        <v>561245.84889999998</v>
      </c>
      <c r="G621" s="509"/>
    </row>
    <row r="622" spans="1:7" ht="29.25" customHeight="1" x14ac:dyDescent="0.2">
      <c r="A622" s="79" t="s">
        <v>1192</v>
      </c>
      <c r="B622" s="80" t="s">
        <v>392</v>
      </c>
      <c r="C622" s="81" t="s">
        <v>1435</v>
      </c>
      <c r="D622" s="81">
        <v>1</v>
      </c>
      <c r="E622" s="110">
        <f t="shared" si="8"/>
        <v>411091.74265499995</v>
      </c>
      <c r="F622" s="110">
        <v>403387.05</v>
      </c>
      <c r="G622" s="509"/>
    </row>
    <row r="623" spans="1:7" ht="29.25" customHeight="1" x14ac:dyDescent="0.2">
      <c r="A623" s="79" t="s">
        <v>1193</v>
      </c>
      <c r="B623" s="80" t="s">
        <v>395</v>
      </c>
      <c r="C623" s="81" t="s">
        <v>1435</v>
      </c>
      <c r="D623" s="81">
        <v>1</v>
      </c>
      <c r="E623" s="110">
        <f t="shared" si="8"/>
        <v>88183.209110699987</v>
      </c>
      <c r="F623" s="110">
        <v>86530.476999999999</v>
      </c>
      <c r="G623" s="509"/>
    </row>
    <row r="624" spans="1:7" ht="29.25" customHeight="1" x14ac:dyDescent="0.2">
      <c r="A624" s="79" t="s">
        <v>1194</v>
      </c>
      <c r="B624" s="80" t="s">
        <v>400</v>
      </c>
      <c r="C624" s="81" t="s">
        <v>1435</v>
      </c>
      <c r="D624" s="81">
        <v>1</v>
      </c>
      <c r="E624" s="110">
        <f t="shared" si="8"/>
        <v>59164.968452699999</v>
      </c>
      <c r="F624" s="110">
        <v>58056.097000000002</v>
      </c>
      <c r="G624" s="509"/>
    </row>
    <row r="625" spans="1:7" ht="29.25" customHeight="1" x14ac:dyDescent="0.2">
      <c r="A625" s="79" t="s">
        <v>1195</v>
      </c>
      <c r="B625" s="80" t="s">
        <v>399</v>
      </c>
      <c r="C625" s="81" t="s">
        <v>1435</v>
      </c>
      <c r="D625" s="81">
        <v>1</v>
      </c>
      <c r="E625" s="110">
        <f t="shared" si="8"/>
        <v>246235.45154999997</v>
      </c>
      <c r="F625" s="110">
        <v>241620.5</v>
      </c>
      <c r="G625" s="509"/>
    </row>
    <row r="626" spans="1:7" ht="29.25" customHeight="1" x14ac:dyDescent="0.2">
      <c r="A626" s="79" t="s">
        <v>1196</v>
      </c>
      <c r="B626" s="80" t="s">
        <v>402</v>
      </c>
      <c r="C626" s="81" t="s">
        <v>1435</v>
      </c>
      <c r="D626" s="81">
        <v>1</v>
      </c>
      <c r="E626" s="110">
        <f t="shared" si="8"/>
        <v>783823.52065943135</v>
      </c>
      <c r="F626" s="110">
        <v>769133.07885333279</v>
      </c>
      <c r="G626" s="509"/>
    </row>
    <row r="627" spans="1:7" ht="29.25" customHeight="1" x14ac:dyDescent="0.2">
      <c r="A627" s="79" t="s">
        <v>1197</v>
      </c>
      <c r="B627" s="80" t="s">
        <v>452</v>
      </c>
      <c r="C627" s="81" t="s">
        <v>1435</v>
      </c>
      <c r="D627" s="81">
        <v>1</v>
      </c>
      <c r="E627" s="110">
        <f t="shared" si="8"/>
        <v>8441.3465808903002</v>
      </c>
      <c r="F627" s="110">
        <v>8283.1386330000005</v>
      </c>
      <c r="G627" s="509"/>
    </row>
    <row r="628" spans="1:7" ht="29.25" customHeight="1" x14ac:dyDescent="0.2">
      <c r="A628" s="79" t="s">
        <v>1198</v>
      </c>
      <c r="B628" s="80" t="s">
        <v>454</v>
      </c>
      <c r="C628" s="81" t="s">
        <v>1435</v>
      </c>
      <c r="D628" s="81">
        <v>1</v>
      </c>
      <c r="E628" s="110">
        <f t="shared" si="8"/>
        <v>21260.543068148996</v>
      </c>
      <c r="F628" s="110">
        <v>20862.077389999999</v>
      </c>
      <c r="G628" s="509"/>
    </row>
    <row r="629" spans="1:7" ht="29.25" customHeight="1" x14ac:dyDescent="0.2">
      <c r="A629" s="79" t="s">
        <v>1199</v>
      </c>
      <c r="B629" s="80" t="s">
        <v>459</v>
      </c>
      <c r="C629" s="81" t="s">
        <v>1435</v>
      </c>
      <c r="D629" s="81">
        <v>1</v>
      </c>
      <c r="E629" s="110">
        <f t="shared" si="8"/>
        <v>392416.76237210364</v>
      </c>
      <c r="F629" s="110">
        <v>385062.07670699997</v>
      </c>
      <c r="G629" s="509"/>
    </row>
    <row r="630" spans="1:7" ht="29.25" customHeight="1" x14ac:dyDescent="0.2">
      <c r="A630" s="79" t="s">
        <v>1200</v>
      </c>
      <c r="B630" s="80" t="s">
        <v>2408</v>
      </c>
      <c r="C630" s="81" t="s">
        <v>1424</v>
      </c>
      <c r="D630" s="81">
        <v>1</v>
      </c>
      <c r="E630" s="110">
        <f t="shared" si="8"/>
        <v>10727.252967749999</v>
      </c>
      <c r="F630" s="110">
        <v>10526.202499999999</v>
      </c>
      <c r="G630" s="509"/>
    </row>
    <row r="631" spans="1:7" ht="29.25" customHeight="1" x14ac:dyDescent="0.2">
      <c r="A631" s="79" t="s">
        <v>1201</v>
      </c>
      <c r="B631" s="80" t="s">
        <v>467</v>
      </c>
      <c r="C631" s="81" t="s">
        <v>1414</v>
      </c>
      <c r="D631" s="81">
        <v>1</v>
      </c>
      <c r="E631" s="110">
        <f t="shared" si="8"/>
        <v>11587.144707187499</v>
      </c>
      <c r="F631" s="110">
        <v>11369.978125</v>
      </c>
      <c r="G631" s="509"/>
    </row>
    <row r="632" spans="1:7" ht="29.25" customHeight="1" x14ac:dyDescent="0.2">
      <c r="A632" s="79" t="s">
        <v>1202</v>
      </c>
      <c r="B632" s="80" t="s">
        <v>469</v>
      </c>
      <c r="C632" s="81" t="s">
        <v>470</v>
      </c>
      <c r="D632" s="81">
        <v>1</v>
      </c>
      <c r="E632" s="110">
        <f t="shared" ref="E632:E695" si="9">+F632*(1+($F$2/100))</f>
        <v>7931.5641109319986</v>
      </c>
      <c r="F632" s="110">
        <v>7782.9105199999995</v>
      </c>
      <c r="G632" s="509"/>
    </row>
    <row r="633" spans="1:7" ht="29.25" customHeight="1" x14ac:dyDescent="0.2">
      <c r="A633" s="79" t="s">
        <v>1203</v>
      </c>
      <c r="B633" s="80" t="s">
        <v>473</v>
      </c>
      <c r="C633" s="81" t="s">
        <v>1424</v>
      </c>
      <c r="D633" s="81">
        <v>1</v>
      </c>
      <c r="E633" s="110">
        <f t="shared" si="9"/>
        <v>26091.167336629995</v>
      </c>
      <c r="F633" s="110">
        <v>25602.165966666664</v>
      </c>
      <c r="G633" s="509"/>
    </row>
    <row r="634" spans="1:7" ht="29.25" customHeight="1" x14ac:dyDescent="0.2">
      <c r="A634" s="79" t="s">
        <v>1204</v>
      </c>
      <c r="B634" s="80" t="s">
        <v>988</v>
      </c>
      <c r="C634" s="81" t="s">
        <v>1412</v>
      </c>
      <c r="D634" s="81">
        <v>1</v>
      </c>
      <c r="E634" s="110">
        <f t="shared" si="9"/>
        <v>8980.8901938016807</v>
      </c>
      <c r="F634" s="110">
        <v>8812.570104800001</v>
      </c>
      <c r="G634" s="509"/>
    </row>
    <row r="635" spans="1:7" ht="39.75" customHeight="1" x14ac:dyDescent="0.2">
      <c r="A635" s="79" t="s">
        <v>1205</v>
      </c>
      <c r="B635" s="80" t="s">
        <v>991</v>
      </c>
      <c r="C635" s="81" t="s">
        <v>2112</v>
      </c>
      <c r="D635" s="81">
        <v>1</v>
      </c>
      <c r="E635" s="110">
        <f t="shared" si="9"/>
        <v>74124.732783881991</v>
      </c>
      <c r="F635" s="110">
        <v>72735.485019999993</v>
      </c>
      <c r="G635" s="509"/>
    </row>
    <row r="636" spans="1:7" ht="29.25" customHeight="1" x14ac:dyDescent="0.2">
      <c r="A636" s="79" t="s">
        <v>2794</v>
      </c>
      <c r="B636" s="80" t="s">
        <v>480</v>
      </c>
      <c r="C636" s="81" t="s">
        <v>1424</v>
      </c>
      <c r="D636" s="81">
        <v>1</v>
      </c>
      <c r="E636" s="110">
        <f t="shared" si="9"/>
        <v>31007.631712750001</v>
      </c>
      <c r="F636" s="110">
        <v>30426.485833333336</v>
      </c>
      <c r="G636" s="509"/>
    </row>
    <row r="637" spans="1:7" ht="29.25" customHeight="1" x14ac:dyDescent="0.2">
      <c r="A637" s="79" t="s">
        <v>1206</v>
      </c>
      <c r="B637" s="80" t="s">
        <v>0</v>
      </c>
      <c r="C637" s="81" t="s">
        <v>1424</v>
      </c>
      <c r="D637" s="81">
        <v>1</v>
      </c>
      <c r="E637" s="110">
        <f t="shared" si="9"/>
        <v>44443.842712499994</v>
      </c>
      <c r="F637" s="110">
        <v>43610.875</v>
      </c>
      <c r="G637" s="509"/>
    </row>
    <row r="638" spans="1:7" ht="29.25" customHeight="1" x14ac:dyDescent="0.2">
      <c r="A638" s="79" t="s">
        <v>1207</v>
      </c>
      <c r="B638" s="80" t="s">
        <v>483</v>
      </c>
      <c r="C638" s="81" t="s">
        <v>1414</v>
      </c>
      <c r="D638" s="81">
        <v>1</v>
      </c>
      <c r="E638" s="110">
        <f t="shared" si="9"/>
        <v>6614.1271514999989</v>
      </c>
      <c r="F638" s="110">
        <v>6490.165</v>
      </c>
      <c r="G638" s="509"/>
    </row>
    <row r="639" spans="1:7" ht="29.25" customHeight="1" x14ac:dyDescent="0.2">
      <c r="A639" s="79" t="s">
        <v>1208</v>
      </c>
      <c r="B639" s="80" t="s">
        <v>1</v>
      </c>
      <c r="C639" s="81" t="s">
        <v>1424</v>
      </c>
      <c r="D639" s="81">
        <v>1</v>
      </c>
      <c r="E639" s="110">
        <f t="shared" si="9"/>
        <v>24844.384124999997</v>
      </c>
      <c r="F639" s="110">
        <v>24378.75</v>
      </c>
      <c r="G639" s="509"/>
    </row>
    <row r="640" spans="1:7" ht="29.25" customHeight="1" x14ac:dyDescent="0.2">
      <c r="A640" s="79" t="s">
        <v>1272</v>
      </c>
      <c r="B640" s="80" t="s">
        <v>4</v>
      </c>
      <c r="C640" s="81" t="s">
        <v>1424</v>
      </c>
      <c r="D640" s="81">
        <v>1</v>
      </c>
      <c r="E640" s="110">
        <f t="shared" si="9"/>
        <v>27299.069698092186</v>
      </c>
      <c r="F640" s="110">
        <v>26787.429789119997</v>
      </c>
      <c r="G640" s="509"/>
    </row>
    <row r="641" spans="1:7" ht="29.25" customHeight="1" x14ac:dyDescent="0.2">
      <c r="A641" s="79" t="s">
        <v>1273</v>
      </c>
      <c r="B641" s="80" t="s">
        <v>6</v>
      </c>
      <c r="C641" s="81" t="s">
        <v>1435</v>
      </c>
      <c r="D641" s="81">
        <v>1</v>
      </c>
      <c r="E641" s="110">
        <f t="shared" si="9"/>
        <v>883.35587999999984</v>
      </c>
      <c r="F641" s="110">
        <v>866.8</v>
      </c>
      <c r="G641" s="509"/>
    </row>
    <row r="642" spans="1:7" ht="44.25" customHeight="1" x14ac:dyDescent="0.2">
      <c r="A642" s="79" t="s">
        <v>1274</v>
      </c>
      <c r="B642" s="80" t="s">
        <v>10</v>
      </c>
      <c r="C642" s="81" t="s">
        <v>1424</v>
      </c>
      <c r="D642" s="81">
        <v>1</v>
      </c>
      <c r="E642" s="110">
        <f t="shared" si="9"/>
        <v>245494.39988548856</v>
      </c>
      <c r="F642" s="110">
        <v>240893.33714599998</v>
      </c>
      <c r="G642" s="509"/>
    </row>
    <row r="643" spans="1:7" ht="29.25" customHeight="1" x14ac:dyDescent="0.2">
      <c r="A643" s="79" t="s">
        <v>1275</v>
      </c>
      <c r="B643" s="80" t="s">
        <v>13</v>
      </c>
      <c r="C643" s="81" t="s">
        <v>1424</v>
      </c>
      <c r="D643" s="81">
        <v>1</v>
      </c>
      <c r="E643" s="110">
        <f t="shared" si="9"/>
        <v>43696.464747627957</v>
      </c>
      <c r="F643" s="110">
        <v>42877.504413333292</v>
      </c>
      <c r="G643" s="509"/>
    </row>
    <row r="644" spans="1:7" ht="29.25" customHeight="1" x14ac:dyDescent="0.2">
      <c r="A644" s="79" t="s">
        <v>1276</v>
      </c>
      <c r="B644" s="80" t="s">
        <v>14</v>
      </c>
      <c r="C644" s="81" t="s">
        <v>1424</v>
      </c>
      <c r="D644" s="81">
        <v>1</v>
      </c>
      <c r="E644" s="110">
        <f t="shared" si="9"/>
        <v>78859.387797299991</v>
      </c>
      <c r="F644" s="110">
        <v>77381.403000000006</v>
      </c>
      <c r="G644" s="509"/>
    </row>
    <row r="645" spans="1:7" ht="29.25" customHeight="1" x14ac:dyDescent="0.2">
      <c r="A645" s="79" t="s">
        <v>1285</v>
      </c>
      <c r="B645" s="80" t="s">
        <v>124</v>
      </c>
      <c r="C645" s="81" t="s">
        <v>1424</v>
      </c>
      <c r="D645" s="81">
        <v>1</v>
      </c>
      <c r="E645" s="110">
        <f t="shared" si="9"/>
        <v>111541.52363877598</v>
      </c>
      <c r="F645" s="110">
        <v>109451.00936</v>
      </c>
      <c r="G645" s="509"/>
    </row>
    <row r="646" spans="1:7" ht="29.25" customHeight="1" x14ac:dyDescent="0.2">
      <c r="A646" s="79" t="s">
        <v>1288</v>
      </c>
      <c r="B646" s="80" t="s">
        <v>2907</v>
      </c>
      <c r="C646" s="81" t="s">
        <v>1435</v>
      </c>
      <c r="D646" s="81">
        <v>1</v>
      </c>
      <c r="E646" s="110">
        <f t="shared" si="9"/>
        <v>2922.8126015087996</v>
      </c>
      <c r="F646" s="110">
        <v>2868.0331679999999</v>
      </c>
      <c r="G646" s="509"/>
    </row>
    <row r="647" spans="1:7" ht="29.25" customHeight="1" x14ac:dyDescent="0.2">
      <c r="A647" s="79" t="s">
        <v>1289</v>
      </c>
      <c r="B647" s="80" t="s">
        <v>19</v>
      </c>
      <c r="C647" s="81" t="s">
        <v>2156</v>
      </c>
      <c r="D647" s="81">
        <v>1</v>
      </c>
      <c r="E647" s="110">
        <f t="shared" si="9"/>
        <v>2338.2500812070398</v>
      </c>
      <c r="F647" s="110">
        <v>2294.4265344</v>
      </c>
      <c r="G647" s="509"/>
    </row>
    <row r="648" spans="1:7" ht="29.25" customHeight="1" x14ac:dyDescent="0.2">
      <c r="A648" s="79" t="s">
        <v>1295</v>
      </c>
      <c r="B648" s="80" t="s">
        <v>21</v>
      </c>
      <c r="C648" s="81" t="s">
        <v>1424</v>
      </c>
      <c r="D648" s="81">
        <v>1</v>
      </c>
      <c r="E648" s="110">
        <f t="shared" si="9"/>
        <v>33870.851454106865</v>
      </c>
      <c r="F648" s="110">
        <v>33236.043032191999</v>
      </c>
      <c r="G648" s="509"/>
    </row>
    <row r="649" spans="1:7" ht="29.25" customHeight="1" x14ac:dyDescent="0.2">
      <c r="A649" s="79" t="s">
        <v>1298</v>
      </c>
      <c r="B649" s="80" t="s">
        <v>23</v>
      </c>
      <c r="C649" s="81" t="s">
        <v>1435</v>
      </c>
      <c r="D649" s="81">
        <v>1</v>
      </c>
      <c r="E649" s="110">
        <f t="shared" si="9"/>
        <v>15363.502136136</v>
      </c>
      <c r="F649" s="110">
        <v>15075.55896</v>
      </c>
      <c r="G649" s="509"/>
    </row>
    <row r="650" spans="1:7" ht="29.25" customHeight="1" x14ac:dyDescent="0.2">
      <c r="A650" s="79" t="s">
        <v>1301</v>
      </c>
      <c r="B650" s="80" t="s">
        <v>2618</v>
      </c>
      <c r="C650" s="81" t="s">
        <v>1435</v>
      </c>
      <c r="D650" s="81">
        <v>1</v>
      </c>
      <c r="E650" s="110">
        <f t="shared" si="9"/>
        <v>116100.56750324999</v>
      </c>
      <c r="F650" s="110">
        <v>113924.6075</v>
      </c>
      <c r="G650" s="509"/>
    </row>
    <row r="651" spans="1:7" ht="29.25" customHeight="1" x14ac:dyDescent="0.2">
      <c r="A651" s="79" t="s">
        <v>1302</v>
      </c>
      <c r="B651" s="80" t="s">
        <v>25</v>
      </c>
      <c r="C651" s="81" t="s">
        <v>1435</v>
      </c>
      <c r="D651" s="81">
        <v>1</v>
      </c>
      <c r="E651" s="110">
        <f t="shared" si="9"/>
        <v>55927.469152499994</v>
      </c>
      <c r="F651" s="110">
        <v>54879.275000000001</v>
      </c>
      <c r="G651" s="509"/>
    </row>
    <row r="652" spans="1:7" ht="29.25" customHeight="1" x14ac:dyDescent="0.2">
      <c r="A652" s="79" t="s">
        <v>1304</v>
      </c>
      <c r="B652" s="80" t="s">
        <v>33</v>
      </c>
      <c r="C652" s="81" t="s">
        <v>1435</v>
      </c>
      <c r="D652" s="81">
        <v>1</v>
      </c>
      <c r="E652" s="110">
        <f t="shared" si="9"/>
        <v>7739.9995547952003</v>
      </c>
      <c r="F652" s="110">
        <v>7594.9362720000008</v>
      </c>
      <c r="G652" s="509"/>
    </row>
    <row r="653" spans="1:7" ht="29.25" customHeight="1" x14ac:dyDescent="0.2">
      <c r="A653" s="79" t="s">
        <v>1342</v>
      </c>
      <c r="B653" s="80" t="s">
        <v>34</v>
      </c>
      <c r="C653" s="81" t="s">
        <v>1435</v>
      </c>
      <c r="D653" s="81">
        <v>1</v>
      </c>
      <c r="E653" s="110">
        <f t="shared" si="9"/>
        <v>5110.65544374</v>
      </c>
      <c r="F653" s="110">
        <v>5014.8714000000009</v>
      </c>
      <c r="G653" s="509"/>
    </row>
    <row r="654" spans="1:7" ht="29.25" customHeight="1" x14ac:dyDescent="0.2">
      <c r="A654" s="79" t="s">
        <v>1345</v>
      </c>
      <c r="B654" s="80" t="s">
        <v>35</v>
      </c>
      <c r="C654" s="81" t="s">
        <v>1435</v>
      </c>
      <c r="D654" s="81">
        <v>1</v>
      </c>
      <c r="E654" s="110">
        <f t="shared" si="9"/>
        <v>41197.757193146397</v>
      </c>
      <c r="F654" s="110">
        <v>40425.627703999999</v>
      </c>
      <c r="G654" s="509"/>
    </row>
    <row r="655" spans="1:7" ht="29.25" customHeight="1" x14ac:dyDescent="0.2">
      <c r="A655" s="79" t="s">
        <v>1359</v>
      </c>
      <c r="B655" s="80" t="s">
        <v>40</v>
      </c>
      <c r="C655" s="81" t="s">
        <v>1435</v>
      </c>
      <c r="D655" s="81">
        <v>1</v>
      </c>
      <c r="E655" s="110">
        <f t="shared" si="9"/>
        <v>13929.751057916757</v>
      </c>
      <c r="F655" s="110">
        <v>13668.679283599999</v>
      </c>
      <c r="G655" s="509"/>
    </row>
    <row r="656" spans="1:7" ht="29.25" customHeight="1" x14ac:dyDescent="0.2">
      <c r="A656" s="79" t="s">
        <v>1376</v>
      </c>
      <c r="B656" s="80" t="s">
        <v>127</v>
      </c>
      <c r="C656" s="81" t="s">
        <v>1435</v>
      </c>
      <c r="D656" s="81">
        <v>1</v>
      </c>
      <c r="E656" s="110">
        <f t="shared" si="9"/>
        <v>80517.241034221792</v>
      </c>
      <c r="F656" s="110">
        <v>79008.184706330881</v>
      </c>
      <c r="G656" s="509"/>
    </row>
    <row r="657" spans="1:7" ht="29.25" customHeight="1" x14ac:dyDescent="0.2">
      <c r="A657" s="79" t="s">
        <v>1377</v>
      </c>
      <c r="B657" s="80" t="s">
        <v>54</v>
      </c>
      <c r="C657" s="81" t="s">
        <v>696</v>
      </c>
      <c r="D657" s="81"/>
      <c r="E657" s="110">
        <f t="shared" si="9"/>
        <v>0</v>
      </c>
      <c r="F657" s="110" t="s">
        <v>3298</v>
      </c>
      <c r="G657" s="509"/>
    </row>
    <row r="658" spans="1:7" ht="29.25" customHeight="1" x14ac:dyDescent="0.2">
      <c r="A658" s="79" t="s">
        <v>175</v>
      </c>
      <c r="B658" s="80" t="s">
        <v>2908</v>
      </c>
      <c r="C658" s="81" t="s">
        <v>2246</v>
      </c>
      <c r="D658" s="81">
        <v>1</v>
      </c>
      <c r="E658" s="110">
        <f t="shared" si="9"/>
        <v>21170.727859049999</v>
      </c>
      <c r="F658" s="110">
        <v>20773.945500000002</v>
      </c>
      <c r="G658" s="509"/>
    </row>
    <row r="659" spans="1:7" ht="29.25" customHeight="1" x14ac:dyDescent="0.2">
      <c r="A659" s="79" t="s">
        <v>181</v>
      </c>
      <c r="B659" s="80" t="s">
        <v>2909</v>
      </c>
      <c r="C659" s="81" t="s">
        <v>1435</v>
      </c>
      <c r="D659" s="81">
        <v>1</v>
      </c>
      <c r="E659" s="110">
        <f t="shared" si="9"/>
        <v>29353.032536519997</v>
      </c>
      <c r="F659" s="110">
        <v>28802.897199999999</v>
      </c>
      <c r="G659" s="509"/>
    </row>
    <row r="660" spans="1:7" ht="29.25" customHeight="1" x14ac:dyDescent="0.2">
      <c r="A660" s="79" t="s">
        <v>195</v>
      </c>
      <c r="B660" s="80" t="s">
        <v>73</v>
      </c>
      <c r="C660" s="81" t="s">
        <v>1435</v>
      </c>
      <c r="D660" s="81">
        <v>1</v>
      </c>
      <c r="E660" s="110">
        <f t="shared" si="9"/>
        <v>22582.109716319992</v>
      </c>
      <c r="F660" s="110">
        <v>22158.875199999995</v>
      </c>
      <c r="G660" s="509"/>
    </row>
    <row r="661" spans="1:7" ht="29.25" customHeight="1" x14ac:dyDescent="0.2">
      <c r="A661" s="79" t="s">
        <v>292</v>
      </c>
      <c r="B661" s="80" t="s">
        <v>74</v>
      </c>
      <c r="C661" s="81" t="s">
        <v>1435</v>
      </c>
      <c r="D661" s="81">
        <v>1</v>
      </c>
      <c r="E661" s="110">
        <f t="shared" si="9"/>
        <v>21260.543068148996</v>
      </c>
      <c r="F661" s="110">
        <v>20862.077389999999</v>
      </c>
      <c r="G661" s="509"/>
    </row>
    <row r="662" spans="1:7" ht="29.25" customHeight="1" x14ac:dyDescent="0.2">
      <c r="A662" s="79" t="s">
        <v>332</v>
      </c>
      <c r="B662" s="80" t="s">
        <v>76</v>
      </c>
      <c r="C662" s="81" t="s">
        <v>1435</v>
      </c>
      <c r="D662" s="81">
        <v>1</v>
      </c>
      <c r="E662" s="110">
        <f t="shared" si="9"/>
        <v>4448.4697921949992</v>
      </c>
      <c r="F662" s="110">
        <v>4365.09645</v>
      </c>
      <c r="G662" s="509"/>
    </row>
    <row r="663" spans="1:7" ht="29.25" customHeight="1" x14ac:dyDescent="0.2">
      <c r="A663" s="79" t="s">
        <v>2795</v>
      </c>
      <c r="B663" s="80" t="s">
        <v>2910</v>
      </c>
      <c r="C663" s="81" t="s">
        <v>1435</v>
      </c>
      <c r="D663" s="81">
        <v>1</v>
      </c>
      <c r="E663" s="110">
        <f t="shared" si="9"/>
        <v>2927.8088623660797</v>
      </c>
      <c r="F663" s="110">
        <v>2872.9357888</v>
      </c>
      <c r="G663" s="509"/>
    </row>
    <row r="664" spans="1:7" ht="29.25" customHeight="1" x14ac:dyDescent="0.2">
      <c r="A664" s="79" t="s">
        <v>2796</v>
      </c>
      <c r="B664" s="80" t="s">
        <v>75</v>
      </c>
      <c r="C664" s="81" t="s">
        <v>1435</v>
      </c>
      <c r="D664" s="81">
        <v>1</v>
      </c>
      <c r="E664" s="110">
        <f t="shared" si="9"/>
        <v>4246.8217286879999</v>
      </c>
      <c r="F664" s="110">
        <v>4167.22768</v>
      </c>
      <c r="G664" s="509"/>
    </row>
    <row r="665" spans="1:7" ht="29.25" customHeight="1" x14ac:dyDescent="0.2">
      <c r="A665" s="79" t="s">
        <v>336</v>
      </c>
      <c r="B665" s="80" t="s">
        <v>78</v>
      </c>
      <c r="C665" s="81" t="s">
        <v>1435</v>
      </c>
      <c r="D665" s="81">
        <v>1</v>
      </c>
      <c r="E665" s="110">
        <f t="shared" si="9"/>
        <v>223.25494833179997</v>
      </c>
      <c r="F665" s="110">
        <v>219.07069799999999</v>
      </c>
      <c r="G665" s="509"/>
    </row>
    <row r="666" spans="1:7" ht="26.25" customHeight="1" x14ac:dyDescent="0.2">
      <c r="A666" s="79" t="s">
        <v>337</v>
      </c>
      <c r="B666" s="80" t="s">
        <v>81</v>
      </c>
      <c r="C666" s="81" t="s">
        <v>1435</v>
      </c>
      <c r="D666" s="81">
        <v>1</v>
      </c>
      <c r="E666" s="110">
        <f t="shared" si="9"/>
        <v>26431.332963419994</v>
      </c>
      <c r="F666" s="110">
        <v>25935.956199999997</v>
      </c>
      <c r="G666" s="509"/>
    </row>
    <row r="667" spans="1:7" ht="24.75" customHeight="1" x14ac:dyDescent="0.2">
      <c r="A667" s="79" t="s">
        <v>339</v>
      </c>
      <c r="B667" s="80" t="s">
        <v>82</v>
      </c>
      <c r="C667" s="81" t="s">
        <v>1435</v>
      </c>
      <c r="D667" s="81">
        <v>1</v>
      </c>
      <c r="E667" s="110">
        <f t="shared" si="9"/>
        <v>25148.258547719994</v>
      </c>
      <c r="F667" s="110">
        <v>24676.929199999995</v>
      </c>
      <c r="G667" s="509"/>
    </row>
    <row r="668" spans="1:7" ht="29.25" customHeight="1" x14ac:dyDescent="0.2">
      <c r="A668" s="79" t="s">
        <v>340</v>
      </c>
      <c r="B668" s="80" t="s">
        <v>83</v>
      </c>
      <c r="C668" s="81" t="s">
        <v>1435</v>
      </c>
      <c r="D668" s="81">
        <v>1</v>
      </c>
      <c r="E668" s="110">
        <f t="shared" si="9"/>
        <v>36881.309353996803</v>
      </c>
      <c r="F668" s="110">
        <v>36190.078848000005</v>
      </c>
      <c r="G668" s="509"/>
    </row>
    <row r="669" spans="1:7" ht="29.25" customHeight="1" x14ac:dyDescent="0.2">
      <c r="A669" s="79" t="s">
        <v>359</v>
      </c>
      <c r="B669" s="80" t="s">
        <v>2430</v>
      </c>
      <c r="C669" s="81" t="s">
        <v>2931</v>
      </c>
      <c r="D669" s="81"/>
      <c r="E669" s="110">
        <f t="shared" si="9"/>
        <v>0</v>
      </c>
      <c r="F669" s="110" t="s">
        <v>3298</v>
      </c>
      <c r="G669" s="509"/>
    </row>
    <row r="670" spans="1:7" ht="29.25" customHeight="1" x14ac:dyDescent="0.2">
      <c r="A670" s="79" t="s">
        <v>363</v>
      </c>
      <c r="B670" s="80" t="s">
        <v>2429</v>
      </c>
      <c r="C670" s="81" t="s">
        <v>1435</v>
      </c>
      <c r="D670" s="81">
        <v>1</v>
      </c>
      <c r="E670" s="110">
        <f t="shared" si="9"/>
        <v>67017.345009125274</v>
      </c>
      <c r="F670" s="110">
        <v>65761.3041008</v>
      </c>
      <c r="G670" s="509"/>
    </row>
    <row r="671" spans="1:7" ht="29.25" customHeight="1" x14ac:dyDescent="0.2">
      <c r="A671" s="79" t="s">
        <v>367</v>
      </c>
      <c r="B671" s="80" t="s">
        <v>2911</v>
      </c>
      <c r="C671" s="81" t="s">
        <v>1435</v>
      </c>
      <c r="D671" s="81">
        <v>1</v>
      </c>
      <c r="E671" s="110">
        <f t="shared" si="9"/>
        <v>48915.831854999997</v>
      </c>
      <c r="F671" s="110">
        <v>47999.05</v>
      </c>
      <c r="G671" s="509"/>
    </row>
    <row r="672" spans="1:7" ht="29.25" customHeight="1" x14ac:dyDescent="0.2">
      <c r="A672" s="79" t="s">
        <v>2915</v>
      </c>
      <c r="B672" s="80" t="s">
        <v>2916</v>
      </c>
      <c r="C672" s="81" t="s">
        <v>1435</v>
      </c>
      <c r="D672" s="81">
        <v>1</v>
      </c>
      <c r="E672" s="110">
        <f t="shared" si="9"/>
        <v>6688744.2226835992</v>
      </c>
      <c r="F672" s="110">
        <v>6563383.5959999999</v>
      </c>
      <c r="G672" s="509"/>
    </row>
    <row r="673" spans="1:7" ht="29.25" customHeight="1" x14ac:dyDescent="0.2">
      <c r="A673" s="79" t="s">
        <v>3291</v>
      </c>
      <c r="B673" s="80" t="s">
        <v>3292</v>
      </c>
      <c r="C673" s="81" t="s">
        <v>1435</v>
      </c>
      <c r="D673" s="81">
        <v>1</v>
      </c>
      <c r="E673" s="110">
        <f t="shared" si="9"/>
        <v>736277.12598000001</v>
      </c>
      <c r="F673" s="110">
        <v>722477.8</v>
      </c>
      <c r="G673" s="509"/>
    </row>
    <row r="674" spans="1:7" ht="29.25" customHeight="1" x14ac:dyDescent="0.2">
      <c r="A674" s="79" t="s">
        <v>377</v>
      </c>
      <c r="B674" s="80" t="s">
        <v>2912</v>
      </c>
      <c r="C674" s="81" t="s">
        <v>1435</v>
      </c>
      <c r="D674" s="81">
        <v>1</v>
      </c>
      <c r="E674" s="110">
        <f t="shared" si="9"/>
        <v>6606397.7875499995</v>
      </c>
      <c r="F674" s="110">
        <v>6482580.5</v>
      </c>
      <c r="G674" s="509"/>
    </row>
    <row r="675" spans="1:7" ht="29.25" customHeight="1" x14ac:dyDescent="0.2">
      <c r="A675" s="79" t="s">
        <v>2913</v>
      </c>
      <c r="B675" s="80" t="s">
        <v>2914</v>
      </c>
      <c r="C675" s="81" t="s">
        <v>1435</v>
      </c>
      <c r="D675" s="81">
        <v>1</v>
      </c>
      <c r="E675" s="110">
        <f t="shared" si="9"/>
        <v>8479903.7400184777</v>
      </c>
      <c r="F675" s="110">
        <v>8320973.1527999993</v>
      </c>
      <c r="G675" s="509"/>
    </row>
    <row r="676" spans="1:7" ht="29.25" customHeight="1" x14ac:dyDescent="0.2">
      <c r="A676" s="79" t="s">
        <v>2917</v>
      </c>
      <c r="B676" s="80" t="s">
        <v>3289</v>
      </c>
      <c r="C676" s="81" t="s">
        <v>1435</v>
      </c>
      <c r="D676" s="81">
        <v>1</v>
      </c>
      <c r="E676" s="110">
        <f t="shared" si="9"/>
        <v>313390.46227288799</v>
      </c>
      <c r="F676" s="110">
        <v>307516.88968000002</v>
      </c>
      <c r="G676" s="509"/>
    </row>
    <row r="677" spans="1:7" ht="51.75" customHeight="1" x14ac:dyDescent="0.2">
      <c r="A677" s="79" t="s">
        <v>3280</v>
      </c>
      <c r="B677" s="80" t="s">
        <v>3325</v>
      </c>
      <c r="C677" s="81" t="s">
        <v>1435</v>
      </c>
      <c r="D677" s="81">
        <v>1</v>
      </c>
      <c r="E677" s="110">
        <v>3075436</v>
      </c>
      <c r="F677" s="110">
        <v>3010462</v>
      </c>
      <c r="G677" s="509"/>
    </row>
    <row r="678" spans="1:7" ht="29.25" customHeight="1" x14ac:dyDescent="0.2">
      <c r="A678" s="79" t="s">
        <v>384</v>
      </c>
      <c r="B678" s="80" t="s">
        <v>2418</v>
      </c>
      <c r="C678" s="81" t="s">
        <v>1435</v>
      </c>
      <c r="D678" s="81">
        <v>1</v>
      </c>
      <c r="E678" s="110">
        <f t="shared" si="9"/>
        <v>250256.72334969603</v>
      </c>
      <c r="F678" s="110">
        <v>245566.40501392999</v>
      </c>
      <c r="G678" s="509"/>
    </row>
    <row r="679" spans="1:7" ht="29.25" customHeight="1" x14ac:dyDescent="0.2">
      <c r="A679" s="79" t="s">
        <v>386</v>
      </c>
      <c r="B679" s="80" t="s">
        <v>2419</v>
      </c>
      <c r="C679" s="81" t="s">
        <v>1412</v>
      </c>
      <c r="D679" s="81">
        <v>1</v>
      </c>
      <c r="E679" s="110">
        <f t="shared" si="9"/>
        <v>7572.7076748578629</v>
      </c>
      <c r="F679" s="110">
        <v>7430.7797810399998</v>
      </c>
      <c r="G679" s="509"/>
    </row>
    <row r="680" spans="1:7" ht="29.25" customHeight="1" x14ac:dyDescent="0.2">
      <c r="A680" s="79" t="s">
        <v>387</v>
      </c>
      <c r="B680" s="80" t="s">
        <v>132</v>
      </c>
      <c r="C680" s="81" t="s">
        <v>2156</v>
      </c>
      <c r="D680" s="81">
        <v>1</v>
      </c>
      <c r="E680" s="110">
        <f t="shared" si="9"/>
        <v>89497.006643906396</v>
      </c>
      <c r="F680" s="110">
        <v>87819.651303999999</v>
      </c>
      <c r="G680" s="509"/>
    </row>
    <row r="681" spans="1:7" ht="29.25" customHeight="1" x14ac:dyDescent="0.2">
      <c r="A681" s="79" t="s">
        <v>389</v>
      </c>
      <c r="B681" s="80" t="s">
        <v>2308</v>
      </c>
      <c r="C681" s="81" t="s">
        <v>2246</v>
      </c>
      <c r="D681" s="81">
        <v>1</v>
      </c>
      <c r="E681" s="110">
        <f t="shared" si="9"/>
        <v>713335.26958154992</v>
      </c>
      <c r="F681" s="110">
        <v>699965.92050000001</v>
      </c>
      <c r="G681" s="509"/>
    </row>
    <row r="682" spans="1:7" ht="29.25" customHeight="1" x14ac:dyDescent="0.2">
      <c r="A682" s="79" t="s">
        <v>393</v>
      </c>
      <c r="B682" s="80" t="s">
        <v>2309</v>
      </c>
      <c r="C682" s="81" t="s">
        <v>2246</v>
      </c>
      <c r="D682" s="81">
        <v>1</v>
      </c>
      <c r="E682" s="110">
        <f t="shared" si="9"/>
        <v>854130.05071019998</v>
      </c>
      <c r="F682" s="110">
        <v>838121.92200000002</v>
      </c>
      <c r="G682" s="509"/>
    </row>
    <row r="683" spans="1:7" ht="29.25" customHeight="1" x14ac:dyDescent="0.2">
      <c r="A683" s="79" t="s">
        <v>394</v>
      </c>
      <c r="B683" s="80" t="s">
        <v>2310</v>
      </c>
      <c r="C683" s="81" t="s">
        <v>2246</v>
      </c>
      <c r="D683" s="81">
        <v>1</v>
      </c>
      <c r="E683" s="110">
        <f t="shared" si="9"/>
        <v>1065872.6635358999</v>
      </c>
      <c r="F683" s="110">
        <v>1045896.049</v>
      </c>
      <c r="G683" s="509"/>
    </row>
    <row r="684" spans="1:7" ht="27" customHeight="1" x14ac:dyDescent="0.2">
      <c r="A684" s="79" t="s">
        <v>398</v>
      </c>
      <c r="B684" s="80" t="s">
        <v>2919</v>
      </c>
      <c r="C684" s="81" t="s">
        <v>2246</v>
      </c>
      <c r="D684" s="81">
        <v>1</v>
      </c>
      <c r="E684" s="110">
        <f t="shared" si="9"/>
        <v>1418242.2014698025</v>
      </c>
      <c r="F684" s="110">
        <v>1391661.4674416669</v>
      </c>
      <c r="G684" s="509"/>
    </row>
    <row r="685" spans="1:7" ht="29.25" customHeight="1" x14ac:dyDescent="0.2">
      <c r="A685" s="79" t="s">
        <v>401</v>
      </c>
      <c r="B685" s="80" t="s">
        <v>2311</v>
      </c>
      <c r="C685" s="81" t="s">
        <v>2246</v>
      </c>
      <c r="D685" s="81">
        <v>1</v>
      </c>
      <c r="E685" s="110">
        <f t="shared" si="9"/>
        <v>1978391.4337192497</v>
      </c>
      <c r="F685" s="110">
        <v>1941312.3674999999</v>
      </c>
      <c r="G685" s="509"/>
    </row>
    <row r="686" spans="1:7" ht="29.25" customHeight="1" x14ac:dyDescent="0.2">
      <c r="A686" s="79" t="s">
        <v>403</v>
      </c>
      <c r="B686" s="80" t="s">
        <v>2920</v>
      </c>
      <c r="C686" s="81" t="s">
        <v>2246</v>
      </c>
      <c r="D686" s="81">
        <v>1</v>
      </c>
      <c r="E686" s="110">
        <f t="shared" si="9"/>
        <v>2647003.49929125</v>
      </c>
      <c r="F686" s="110">
        <v>2597393.2875000001</v>
      </c>
      <c r="G686" s="509"/>
    </row>
    <row r="687" spans="1:7" ht="29.25" customHeight="1" x14ac:dyDescent="0.2">
      <c r="A687" s="79" t="s">
        <v>403</v>
      </c>
      <c r="B687" s="80" t="s">
        <v>2928</v>
      </c>
      <c r="C687" s="81" t="s">
        <v>2156</v>
      </c>
      <c r="D687" s="81">
        <v>1</v>
      </c>
      <c r="E687" s="110">
        <f t="shared" si="9"/>
        <v>96102.273735929979</v>
      </c>
      <c r="F687" s="110">
        <v>94301.122299999988</v>
      </c>
      <c r="G687" s="509"/>
    </row>
    <row r="688" spans="1:7" ht="29.25" customHeight="1" x14ac:dyDescent="0.2">
      <c r="A688" s="79" t="s">
        <v>451</v>
      </c>
      <c r="B688" s="80" t="s">
        <v>2312</v>
      </c>
      <c r="C688" s="81" t="s">
        <v>2246</v>
      </c>
      <c r="D688" s="81">
        <v>1</v>
      </c>
      <c r="E688" s="110">
        <f t="shared" si="9"/>
        <v>368584.43687043001</v>
      </c>
      <c r="F688" s="110">
        <v>361676.41730000003</v>
      </c>
      <c r="G688" s="509"/>
    </row>
    <row r="689" spans="1:7" ht="29.25" customHeight="1" x14ac:dyDescent="0.2">
      <c r="A689" s="79" t="s">
        <v>453</v>
      </c>
      <c r="B689" s="80" t="s">
        <v>2313</v>
      </c>
      <c r="C689" s="81" t="s">
        <v>2246</v>
      </c>
      <c r="D689" s="81">
        <v>1</v>
      </c>
      <c r="E689" s="110">
        <f t="shared" si="9"/>
        <v>480525.11590553244</v>
      </c>
      <c r="F689" s="110">
        <v>471519.10107500001</v>
      </c>
      <c r="G689" s="509"/>
    </row>
    <row r="690" spans="1:7" ht="44.25" customHeight="1" x14ac:dyDescent="0.2">
      <c r="A690" s="79" t="s">
        <v>458</v>
      </c>
      <c r="B690" s="82" t="s">
        <v>3216</v>
      </c>
      <c r="C690" s="83" t="s">
        <v>2564</v>
      </c>
      <c r="D690" s="83">
        <v>1</v>
      </c>
      <c r="E690" s="110">
        <f t="shared" si="9"/>
        <v>7771.1323285909493</v>
      </c>
      <c r="F690" s="110">
        <v>7625.4855545</v>
      </c>
      <c r="G690" s="509"/>
    </row>
    <row r="691" spans="1:7" ht="29.25" customHeight="1" x14ac:dyDescent="0.2">
      <c r="A691" s="79" t="s">
        <v>465</v>
      </c>
      <c r="B691" s="82" t="s">
        <v>2516</v>
      </c>
      <c r="C691" s="83" t="s">
        <v>1414</v>
      </c>
      <c r="D691" s="83">
        <v>1</v>
      </c>
      <c r="E691" s="110">
        <f t="shared" si="9"/>
        <v>9732.6326728507775</v>
      </c>
      <c r="F691" s="110">
        <v>9550.2234057999976</v>
      </c>
      <c r="G691" s="509"/>
    </row>
    <row r="692" spans="1:7" ht="29.25" customHeight="1" x14ac:dyDescent="0.2">
      <c r="A692" s="79" t="s">
        <v>466</v>
      </c>
      <c r="B692" s="80" t="s">
        <v>2559</v>
      </c>
      <c r="C692" s="81" t="s">
        <v>696</v>
      </c>
      <c r="D692" s="81"/>
      <c r="E692" s="110">
        <f t="shared" si="9"/>
        <v>0</v>
      </c>
      <c r="F692" s="110" t="s">
        <v>3298</v>
      </c>
      <c r="G692" s="509"/>
    </row>
    <row r="693" spans="1:7" ht="29.25" customHeight="1" x14ac:dyDescent="0.2">
      <c r="A693" s="79" t="s">
        <v>2797</v>
      </c>
      <c r="B693" s="80" t="s">
        <v>2832</v>
      </c>
      <c r="C693" s="81" t="s">
        <v>2561</v>
      </c>
      <c r="D693" s="81">
        <v>1</v>
      </c>
      <c r="E693" s="110">
        <f t="shared" si="9"/>
        <v>12146.143349999998</v>
      </c>
      <c r="F693" s="110">
        <v>11918.5</v>
      </c>
      <c r="G693" s="509"/>
    </row>
    <row r="694" spans="1:7" ht="29.25" customHeight="1" x14ac:dyDescent="0.2">
      <c r="A694" s="79" t="s">
        <v>468</v>
      </c>
      <c r="B694" s="80" t="s">
        <v>2590</v>
      </c>
      <c r="C694" s="81" t="s">
        <v>1435</v>
      </c>
      <c r="D694" s="81">
        <v>1</v>
      </c>
      <c r="E694" s="110">
        <f t="shared" si="9"/>
        <v>7794.1669373567993</v>
      </c>
      <c r="F694" s="110">
        <v>7648.0884480000004</v>
      </c>
      <c r="G694" s="509"/>
    </row>
    <row r="695" spans="1:7" ht="29.25" customHeight="1" x14ac:dyDescent="0.2">
      <c r="A695" s="79" t="s">
        <v>471</v>
      </c>
      <c r="B695" s="80" t="s">
        <v>2591</v>
      </c>
      <c r="C695" s="81" t="s">
        <v>1435</v>
      </c>
      <c r="D695" s="81">
        <v>1</v>
      </c>
      <c r="E695" s="110">
        <f t="shared" si="9"/>
        <v>7014.7502436211189</v>
      </c>
      <c r="F695" s="110">
        <v>6883.2796031999997</v>
      </c>
      <c r="G695" s="509"/>
    </row>
    <row r="696" spans="1:7" ht="29.25" customHeight="1" x14ac:dyDescent="0.2">
      <c r="A696" s="79" t="s">
        <v>987</v>
      </c>
      <c r="B696" s="80" t="s">
        <v>113</v>
      </c>
      <c r="C696" s="81" t="s">
        <v>470</v>
      </c>
      <c r="D696" s="81">
        <v>1</v>
      </c>
      <c r="E696" s="110">
        <f t="shared" ref="E696:E756" si="10">+F696*(1+($F$2/100))</f>
        <v>13898.487326611797</v>
      </c>
      <c r="F696" s="110">
        <v>13638.001498</v>
      </c>
      <c r="G696" s="509"/>
    </row>
    <row r="697" spans="1:7" ht="29.25" customHeight="1" x14ac:dyDescent="0.2">
      <c r="A697" s="79" t="s">
        <v>990</v>
      </c>
      <c r="B697" s="80" t="s">
        <v>2623</v>
      </c>
      <c r="C697" s="81" t="s">
        <v>2564</v>
      </c>
      <c r="D697" s="81">
        <v>1</v>
      </c>
      <c r="E697" s="110">
        <f t="shared" si="10"/>
        <v>69555.464075096985</v>
      </c>
      <c r="F697" s="110">
        <v>68251.853669999997</v>
      </c>
      <c r="G697" s="509"/>
    </row>
    <row r="698" spans="1:7" ht="29.25" customHeight="1" x14ac:dyDescent="0.2">
      <c r="A698" s="79" t="s">
        <v>2229</v>
      </c>
      <c r="B698" s="80" t="s">
        <v>2573</v>
      </c>
      <c r="C698" s="81" t="s">
        <v>1435</v>
      </c>
      <c r="D698" s="81">
        <v>1</v>
      </c>
      <c r="E698" s="110">
        <f t="shared" si="10"/>
        <v>61215.480373046994</v>
      </c>
      <c r="F698" s="110">
        <v>60068.178169999999</v>
      </c>
      <c r="G698" s="509"/>
    </row>
    <row r="699" spans="1:7" ht="29.25" customHeight="1" x14ac:dyDescent="0.2">
      <c r="A699" s="79" t="s">
        <v>481</v>
      </c>
      <c r="B699" s="80" t="s">
        <v>2603</v>
      </c>
      <c r="C699" s="81" t="s">
        <v>561</v>
      </c>
      <c r="D699" s="81">
        <v>1</v>
      </c>
      <c r="E699" s="110">
        <f t="shared" si="10"/>
        <v>268034.24543973</v>
      </c>
      <c r="F699" s="110">
        <v>263010.7403</v>
      </c>
      <c r="G699" s="509"/>
    </row>
    <row r="700" spans="1:7" ht="29.25" customHeight="1" x14ac:dyDescent="0.2">
      <c r="A700" s="79" t="s">
        <v>482</v>
      </c>
      <c r="B700" s="80" t="s">
        <v>2631</v>
      </c>
      <c r="C700" s="87" t="s">
        <v>2632</v>
      </c>
      <c r="D700" s="81">
        <v>1</v>
      </c>
      <c r="E700" s="110">
        <f t="shared" si="10"/>
        <v>921512.46553159284</v>
      </c>
      <c r="F700" s="110">
        <v>904241.45376468741</v>
      </c>
      <c r="G700" s="509"/>
    </row>
    <row r="701" spans="1:7" ht="54" customHeight="1" x14ac:dyDescent="0.2">
      <c r="A701" s="79" t="s">
        <v>2</v>
      </c>
      <c r="B701" s="80" t="s">
        <v>2633</v>
      </c>
      <c r="C701" s="87" t="s">
        <v>1435</v>
      </c>
      <c r="D701" s="81">
        <v>1</v>
      </c>
      <c r="E701" s="110">
        <f t="shared" si="10"/>
        <v>2955.39</v>
      </c>
      <c r="F701" s="110">
        <v>2900</v>
      </c>
      <c r="G701" s="509"/>
    </row>
    <row r="702" spans="1:7" ht="29.25" customHeight="1" x14ac:dyDescent="0.2">
      <c r="A702" s="79" t="s">
        <v>3</v>
      </c>
      <c r="B702" s="80" t="s">
        <v>2634</v>
      </c>
      <c r="C702" s="87" t="s">
        <v>1435</v>
      </c>
      <c r="D702" s="81">
        <v>1</v>
      </c>
      <c r="E702" s="110">
        <f t="shared" si="10"/>
        <v>1527.4989876959999</v>
      </c>
      <c r="F702" s="110">
        <v>1498.8705600000001</v>
      </c>
      <c r="G702" s="509"/>
    </row>
    <row r="703" spans="1:7" ht="29.25" customHeight="1" x14ac:dyDescent="0.2">
      <c r="A703" s="79" t="s">
        <v>5</v>
      </c>
      <c r="B703" s="80" t="s">
        <v>2635</v>
      </c>
      <c r="C703" s="87" t="s">
        <v>2564</v>
      </c>
      <c r="D703" s="81">
        <v>1</v>
      </c>
      <c r="E703" s="110">
        <f t="shared" si="10"/>
        <v>28869.174353249997</v>
      </c>
      <c r="F703" s="110">
        <v>28328.107499999998</v>
      </c>
      <c r="G703" s="509"/>
    </row>
    <row r="704" spans="1:7" ht="29.25" customHeight="1" x14ac:dyDescent="0.2">
      <c r="A704" s="79" t="s">
        <v>7</v>
      </c>
      <c r="B704" s="80" t="s">
        <v>2636</v>
      </c>
      <c r="C704" s="87" t="s">
        <v>1414</v>
      </c>
      <c r="D704" s="81">
        <v>1</v>
      </c>
      <c r="E704" s="110">
        <f t="shared" si="10"/>
        <v>5101.9317744114715</v>
      </c>
      <c r="F704" s="110">
        <v>5006.3112299200002</v>
      </c>
      <c r="G704" s="509"/>
    </row>
    <row r="705" spans="1:9" ht="24" customHeight="1" x14ac:dyDescent="0.2">
      <c r="A705" s="79" t="s">
        <v>2798</v>
      </c>
      <c r="B705" s="80" t="s">
        <v>2645</v>
      </c>
      <c r="C705" s="87" t="s">
        <v>1435</v>
      </c>
      <c r="D705" s="81">
        <v>1</v>
      </c>
      <c r="E705" s="110">
        <f t="shared" si="10"/>
        <v>84339.381401315026</v>
      </c>
      <c r="F705" s="110">
        <v>82758.6904144</v>
      </c>
      <c r="G705" s="509"/>
    </row>
    <row r="706" spans="1:9" ht="0.75" customHeight="1" x14ac:dyDescent="0.2">
      <c r="A706" s="79" t="s">
        <v>12</v>
      </c>
      <c r="B706" s="80" t="s">
        <v>2418</v>
      </c>
      <c r="C706" s="87" t="s">
        <v>1435</v>
      </c>
      <c r="D706" s="81">
        <v>1</v>
      </c>
      <c r="E706" s="110">
        <f t="shared" si="10"/>
        <v>121037.42267759999</v>
      </c>
      <c r="F706" s="110">
        <v>118768.936</v>
      </c>
      <c r="G706" s="509"/>
    </row>
    <row r="707" spans="1:9" ht="25.5" customHeight="1" x14ac:dyDescent="0.2">
      <c r="A707" s="79" t="s">
        <v>15</v>
      </c>
      <c r="B707" s="80" t="s">
        <v>2663</v>
      </c>
      <c r="C707" s="87" t="s">
        <v>1435</v>
      </c>
      <c r="D707" s="81">
        <v>1</v>
      </c>
      <c r="E707" s="110">
        <f t="shared" si="10"/>
        <v>1605737.7847734184</v>
      </c>
      <c r="F707" s="110">
        <v>1575643.0034083198</v>
      </c>
      <c r="G707" s="509"/>
    </row>
    <row r="708" spans="1:9" ht="29.25" customHeight="1" x14ac:dyDescent="0.2">
      <c r="A708" s="79" t="s">
        <v>16</v>
      </c>
      <c r="B708" s="80" t="s">
        <v>2711</v>
      </c>
      <c r="C708" s="81" t="s">
        <v>1424</v>
      </c>
      <c r="D708" s="81">
        <v>1</v>
      </c>
      <c r="E708" s="110">
        <f t="shared" si="10"/>
        <v>45750.13613750579</v>
      </c>
      <c r="F708" s="110">
        <v>44892.685837999998</v>
      </c>
      <c r="G708" s="509"/>
      <c r="I708" s="460"/>
    </row>
    <row r="709" spans="1:9" ht="29.25" customHeight="1" x14ac:dyDescent="0.2">
      <c r="A709" s="79" t="s">
        <v>3254</v>
      </c>
      <c r="B709" s="80" t="s">
        <v>3255</v>
      </c>
      <c r="C709" s="81" t="s">
        <v>1424</v>
      </c>
      <c r="D709" s="81">
        <v>1</v>
      </c>
      <c r="E709" s="110">
        <f t="shared" si="10"/>
        <v>80532.230628067671</v>
      </c>
      <c r="F709" s="110">
        <v>79022.893364799995</v>
      </c>
      <c r="G709" s="509"/>
      <c r="I709" s="460"/>
    </row>
    <row r="710" spans="1:9" ht="29.25" customHeight="1" x14ac:dyDescent="0.2">
      <c r="A710" s="79" t="s">
        <v>18</v>
      </c>
      <c r="B710" s="80" t="s">
        <v>3217</v>
      </c>
      <c r="C710" s="81" t="s">
        <v>2666</v>
      </c>
      <c r="D710" s="81">
        <v>1</v>
      </c>
      <c r="E710" s="110">
        <f t="shared" si="10"/>
        <v>134012.04342355498</v>
      </c>
      <c r="F710" s="110">
        <v>131500.38605</v>
      </c>
      <c r="G710" s="509"/>
    </row>
    <row r="711" spans="1:9" ht="29.25" customHeight="1" x14ac:dyDescent="0.2">
      <c r="A711" s="79" t="s">
        <v>20</v>
      </c>
      <c r="B711" s="80" t="s">
        <v>2725</v>
      </c>
      <c r="C711" s="81" t="s">
        <v>1435</v>
      </c>
      <c r="D711" s="81">
        <v>1</v>
      </c>
      <c r="E711" s="110">
        <f t="shared" si="10"/>
        <v>119575.35032651207</v>
      </c>
      <c r="F711" s="110">
        <v>117334.2658488</v>
      </c>
      <c r="G711" s="509"/>
    </row>
    <row r="712" spans="1:9" ht="29.25" customHeight="1" x14ac:dyDescent="0.2">
      <c r="A712" s="79" t="s">
        <v>22</v>
      </c>
      <c r="B712" s="80" t="s">
        <v>2730</v>
      </c>
      <c r="C712" s="81" t="s">
        <v>2665</v>
      </c>
      <c r="D712" s="81">
        <v>1</v>
      </c>
      <c r="E712" s="110">
        <f t="shared" si="10"/>
        <v>80439.799802207985</v>
      </c>
      <c r="F712" s="110">
        <v>78932.194879999995</v>
      </c>
      <c r="G712" s="509"/>
    </row>
    <row r="713" spans="1:9" ht="29.25" customHeight="1" x14ac:dyDescent="0.2">
      <c r="A713" s="79" t="s">
        <v>24</v>
      </c>
      <c r="B713" s="80" t="s">
        <v>2734</v>
      </c>
      <c r="C713" s="81" t="s">
        <v>2733</v>
      </c>
      <c r="D713" s="81">
        <v>1</v>
      </c>
      <c r="E713" s="110">
        <f t="shared" si="10"/>
        <v>165077.13007499999</v>
      </c>
      <c r="F713" s="110">
        <v>161983.25</v>
      </c>
      <c r="G713" s="509"/>
    </row>
    <row r="714" spans="1:9" ht="29.25" customHeight="1" x14ac:dyDescent="0.2">
      <c r="A714" s="79" t="s">
        <v>2811</v>
      </c>
      <c r="B714" s="455" t="s">
        <v>2810</v>
      </c>
      <c r="C714" s="81" t="s">
        <v>1435</v>
      </c>
      <c r="D714" s="81">
        <v>1</v>
      </c>
      <c r="E714" s="110">
        <f t="shared" si="10"/>
        <v>22358.267336327997</v>
      </c>
      <c r="F714" s="110">
        <v>21939.228080000001</v>
      </c>
      <c r="G714" s="509"/>
    </row>
    <row r="715" spans="1:9" ht="29.25" customHeight="1" x14ac:dyDescent="0.2">
      <c r="A715" s="79" t="s">
        <v>2812</v>
      </c>
      <c r="B715" s="455" t="s">
        <v>2813</v>
      </c>
      <c r="C715" s="81" t="s">
        <v>1435</v>
      </c>
      <c r="D715" s="81">
        <v>1</v>
      </c>
      <c r="E715" s="110">
        <f t="shared" si="10"/>
        <v>96102.273735929979</v>
      </c>
      <c r="F715" s="110">
        <v>94301.122299999988</v>
      </c>
      <c r="G715" s="509"/>
    </row>
    <row r="716" spans="1:9" ht="29.25" customHeight="1" x14ac:dyDescent="0.2">
      <c r="A716" s="79" t="s">
        <v>2816</v>
      </c>
      <c r="B716" s="455" t="s">
        <v>2817</v>
      </c>
      <c r="C716" s="81" t="s">
        <v>1424</v>
      </c>
      <c r="D716" s="81">
        <v>1</v>
      </c>
      <c r="E716" s="110">
        <f t="shared" si="10"/>
        <v>30473.6048045352</v>
      </c>
      <c r="F716" s="110">
        <v>29902.467672000002</v>
      </c>
      <c r="G716" s="509"/>
    </row>
    <row r="717" spans="1:9" ht="29.25" customHeight="1" x14ac:dyDescent="0.2">
      <c r="A717" s="79" t="s">
        <v>2823</v>
      </c>
      <c r="B717" s="455" t="s">
        <v>2825</v>
      </c>
      <c r="C717" s="81" t="s">
        <v>1435</v>
      </c>
      <c r="D717" s="81">
        <v>1</v>
      </c>
      <c r="E717" s="110">
        <f t="shared" si="10"/>
        <v>4371.7282501199998</v>
      </c>
      <c r="F717" s="110">
        <v>4289.7932000000001</v>
      </c>
      <c r="G717" s="509"/>
    </row>
    <row r="718" spans="1:9" ht="29.25" customHeight="1" x14ac:dyDescent="0.2">
      <c r="A718" s="79" t="s">
        <v>2824</v>
      </c>
      <c r="B718" s="80" t="s">
        <v>2826</v>
      </c>
      <c r="C718" s="81" t="s">
        <v>1435</v>
      </c>
      <c r="D718" s="81">
        <v>1</v>
      </c>
      <c r="E718" s="110">
        <f t="shared" si="10"/>
        <v>2248.3173857759998</v>
      </c>
      <c r="F718" s="110">
        <v>2206.1793600000001</v>
      </c>
      <c r="G718" s="509"/>
    </row>
    <row r="719" spans="1:9" ht="29.25" customHeight="1" x14ac:dyDescent="0.2">
      <c r="A719" s="79" t="s">
        <v>2855</v>
      </c>
      <c r="B719" s="80" t="s">
        <v>2854</v>
      </c>
      <c r="C719" s="81" t="s">
        <v>1435</v>
      </c>
      <c r="D719" s="81">
        <v>1</v>
      </c>
      <c r="E719" s="110">
        <f t="shared" si="10"/>
        <v>22161.190639500001</v>
      </c>
      <c r="F719" s="110">
        <v>21745.845000000001</v>
      </c>
      <c r="G719" s="509"/>
    </row>
    <row r="720" spans="1:9" ht="29.25" customHeight="1" x14ac:dyDescent="0.2">
      <c r="A720" s="79" t="s">
        <v>2952</v>
      </c>
      <c r="B720" s="80" t="s">
        <v>2418</v>
      </c>
      <c r="C720" s="81" t="s">
        <v>1435</v>
      </c>
      <c r="D720" s="81">
        <v>1</v>
      </c>
      <c r="E720" s="110">
        <f t="shared" si="10"/>
        <v>185757.61176273372</v>
      </c>
      <c r="F720" s="110">
        <v>182276.13753579996</v>
      </c>
      <c r="G720" s="509"/>
    </row>
    <row r="721" spans="1:7" ht="50.25" customHeight="1" x14ac:dyDescent="0.2">
      <c r="A721" s="79" t="s">
        <v>2953</v>
      </c>
      <c r="B721" s="80" t="s">
        <v>3247</v>
      </c>
      <c r="C721" s="81" t="s">
        <v>1435</v>
      </c>
      <c r="D721" s="81">
        <v>1</v>
      </c>
      <c r="E721" s="110">
        <f t="shared" si="10"/>
        <v>4258063.3156168796</v>
      </c>
      <c r="F721" s="110">
        <v>4178258.5767999999</v>
      </c>
      <c r="G721" s="509"/>
    </row>
    <row r="722" spans="1:7" ht="50.25" customHeight="1" x14ac:dyDescent="0.2">
      <c r="A722" s="79" t="s">
        <v>3248</v>
      </c>
      <c r="B722" s="80" t="s">
        <v>3281</v>
      </c>
      <c r="C722" s="81" t="s">
        <v>1435</v>
      </c>
      <c r="D722" s="81">
        <v>1</v>
      </c>
      <c r="E722" s="110">
        <f t="shared" si="10"/>
        <v>468274.54884856794</v>
      </c>
      <c r="F722" s="110">
        <v>459498.13448000001</v>
      </c>
      <c r="G722" s="509"/>
    </row>
    <row r="723" spans="1:7" ht="51" customHeight="1" x14ac:dyDescent="0.2">
      <c r="A723" s="79" t="s">
        <v>2954</v>
      </c>
      <c r="B723" s="80" t="s">
        <v>2955</v>
      </c>
      <c r="C723" s="81" t="s">
        <v>1435</v>
      </c>
      <c r="D723" s="81">
        <v>1</v>
      </c>
      <c r="E723" s="110">
        <f t="shared" si="10"/>
        <v>2147018.196894648</v>
      </c>
      <c r="F723" s="110">
        <v>2106778.72328</v>
      </c>
      <c r="G723" s="509"/>
    </row>
    <row r="724" spans="1:7" ht="27.75" customHeight="1" x14ac:dyDescent="0.2">
      <c r="A724" s="79" t="s">
        <v>2956</v>
      </c>
      <c r="B724" s="80" t="s">
        <v>2957</v>
      </c>
      <c r="C724" s="81" t="s">
        <v>1435</v>
      </c>
      <c r="D724" s="81">
        <v>1</v>
      </c>
      <c r="E724" s="110">
        <v>1550</v>
      </c>
      <c r="F724" s="110">
        <v>1550</v>
      </c>
      <c r="G724" s="522" t="s">
        <v>3324</v>
      </c>
    </row>
    <row r="725" spans="1:7" ht="35.25" customHeight="1" x14ac:dyDescent="0.2">
      <c r="A725" s="79" t="s">
        <v>3049</v>
      </c>
      <c r="B725" s="80" t="s">
        <v>3050</v>
      </c>
      <c r="C725" s="81" t="s">
        <v>1414</v>
      </c>
      <c r="D725" s="81">
        <v>1</v>
      </c>
      <c r="E725" s="110">
        <f t="shared" si="10"/>
        <v>9830.9161730933974</v>
      </c>
      <c r="F725" s="110">
        <v>9646.6648739999982</v>
      </c>
      <c r="G725" s="509"/>
    </row>
    <row r="726" spans="1:7" ht="24" customHeight="1" x14ac:dyDescent="0.2">
      <c r="A726" s="79" t="s">
        <v>3051</v>
      </c>
      <c r="B726" s="80" t="s">
        <v>3052</v>
      </c>
      <c r="C726" s="81" t="s">
        <v>1414</v>
      </c>
      <c r="D726" s="81">
        <v>1</v>
      </c>
      <c r="E726" s="110">
        <f t="shared" si="10"/>
        <v>8076.9534468314978</v>
      </c>
      <c r="F726" s="110">
        <v>7925.5749649999989</v>
      </c>
      <c r="G726" s="509"/>
    </row>
    <row r="727" spans="1:7" ht="24.75" customHeight="1" x14ac:dyDescent="0.2">
      <c r="A727" s="79" t="s">
        <v>3053</v>
      </c>
      <c r="B727" s="80" t="s">
        <v>3054</v>
      </c>
      <c r="C727" s="81" t="s">
        <v>1414</v>
      </c>
      <c r="D727" s="81">
        <v>1</v>
      </c>
      <c r="E727" s="110">
        <f t="shared" si="10"/>
        <v>34146.459425024092</v>
      </c>
      <c r="F727" s="110">
        <v>33506.485550999998</v>
      </c>
      <c r="G727" s="509"/>
    </row>
    <row r="728" spans="1:7" ht="24.75" customHeight="1" x14ac:dyDescent="0.2">
      <c r="A728" s="79" t="s">
        <v>3061</v>
      </c>
      <c r="B728" s="80" t="s">
        <v>3062</v>
      </c>
      <c r="C728" s="81" t="s">
        <v>1432</v>
      </c>
      <c r="D728" s="81">
        <v>1</v>
      </c>
      <c r="E728" s="110">
        <f t="shared" si="10"/>
        <v>320106.087015</v>
      </c>
      <c r="F728" s="110">
        <v>314106.65000000002</v>
      </c>
      <c r="G728" s="509"/>
    </row>
    <row r="729" spans="1:7" ht="24.75" customHeight="1" x14ac:dyDescent="0.2">
      <c r="A729" s="79" t="s">
        <v>3064</v>
      </c>
      <c r="B729" s="80" t="s">
        <v>3063</v>
      </c>
      <c r="C729" s="81" t="s">
        <v>1435</v>
      </c>
      <c r="D729" s="81">
        <v>1</v>
      </c>
      <c r="E729" s="110">
        <f t="shared" si="10"/>
        <v>90302.777376965983</v>
      </c>
      <c r="F729" s="110">
        <v>88610.320259999993</v>
      </c>
      <c r="G729" s="509"/>
    </row>
    <row r="730" spans="1:7" ht="24.75" customHeight="1" x14ac:dyDescent="0.2">
      <c r="A730" s="79" t="s">
        <v>3066</v>
      </c>
      <c r="B730" s="80" t="s">
        <v>3065</v>
      </c>
      <c r="C730" s="81" t="s">
        <v>1435</v>
      </c>
      <c r="D730" s="81">
        <v>1</v>
      </c>
      <c r="E730" s="110">
        <f t="shared" si="10"/>
        <v>588931.15680629993</v>
      </c>
      <c r="F730" s="110">
        <v>577893.39300000004</v>
      </c>
      <c r="G730" s="509"/>
    </row>
    <row r="731" spans="1:7" ht="24.75" customHeight="1" x14ac:dyDescent="0.2">
      <c r="A731" s="79" t="s">
        <v>3071</v>
      </c>
      <c r="B731" s="80" t="s">
        <v>3070</v>
      </c>
      <c r="C731" s="81" t="s">
        <v>2946</v>
      </c>
      <c r="D731" s="81">
        <v>1</v>
      </c>
      <c r="E731" s="110">
        <f t="shared" si="10"/>
        <v>1020814.0051309199</v>
      </c>
      <c r="F731" s="110">
        <v>1001681.8811999999</v>
      </c>
      <c r="G731" s="509"/>
    </row>
    <row r="732" spans="1:7" ht="24.75" customHeight="1" x14ac:dyDescent="0.2">
      <c r="A732" s="79" t="s">
        <v>3074</v>
      </c>
      <c r="B732" s="80" t="s">
        <v>3075</v>
      </c>
      <c r="C732" s="81" t="s">
        <v>3076</v>
      </c>
      <c r="D732" s="81">
        <v>1</v>
      </c>
      <c r="E732" s="110">
        <f t="shared" si="10"/>
        <v>257965.96049973206</v>
      </c>
      <c r="F732" s="110">
        <v>253131.15543099999</v>
      </c>
      <c r="G732" s="509"/>
    </row>
    <row r="733" spans="1:7" ht="24.75" customHeight="1" x14ac:dyDescent="0.2">
      <c r="A733" s="79" t="s">
        <v>3097</v>
      </c>
      <c r="B733" s="80" t="s">
        <v>3079</v>
      </c>
      <c r="C733" s="81" t="s">
        <v>2946</v>
      </c>
      <c r="D733" s="81">
        <v>1</v>
      </c>
      <c r="E733" s="110">
        <f t="shared" si="10"/>
        <v>592780.38005339995</v>
      </c>
      <c r="F733" s="110">
        <v>581670.47400000005</v>
      </c>
      <c r="G733" s="509"/>
    </row>
    <row r="734" spans="1:7" ht="39" customHeight="1" x14ac:dyDescent="0.2">
      <c r="A734" s="79" t="s">
        <v>3099</v>
      </c>
      <c r="B734" s="80" t="s">
        <v>3114</v>
      </c>
      <c r="C734" s="81" t="s">
        <v>2946</v>
      </c>
      <c r="D734" s="81">
        <v>1</v>
      </c>
      <c r="E734" s="110">
        <f t="shared" si="10"/>
        <v>4221301.9969088435</v>
      </c>
      <c r="F734" s="110">
        <v>4142186.2397300005</v>
      </c>
      <c r="G734" s="509"/>
    </row>
    <row r="735" spans="1:7" ht="24.75" customHeight="1" x14ac:dyDescent="0.2">
      <c r="A735" s="79" t="s">
        <v>130</v>
      </c>
      <c r="B735" s="80" t="s">
        <v>3087</v>
      </c>
      <c r="C735" s="81" t="s">
        <v>2946</v>
      </c>
      <c r="D735" s="81">
        <v>1</v>
      </c>
      <c r="E735" s="110">
        <f t="shared" si="10"/>
        <v>99643.559123261977</v>
      </c>
      <c r="F735" s="110">
        <v>97776.036819999994</v>
      </c>
      <c r="G735" s="509"/>
    </row>
    <row r="736" spans="1:7" ht="24.75" customHeight="1" x14ac:dyDescent="0.2">
      <c r="A736" s="79" t="s">
        <v>3102</v>
      </c>
      <c r="B736" s="80" t="s">
        <v>3088</v>
      </c>
      <c r="C736" s="81" t="s">
        <v>2946</v>
      </c>
      <c r="D736" s="81">
        <v>1</v>
      </c>
      <c r="E736" s="110">
        <f t="shared" si="10"/>
        <v>791785.22192846984</v>
      </c>
      <c r="F736" s="110">
        <v>776945.56169999996</v>
      </c>
      <c r="G736" s="509"/>
    </row>
    <row r="737" spans="1:7" ht="24.75" customHeight="1" x14ac:dyDescent="0.2">
      <c r="A737" s="79" t="s">
        <v>3117</v>
      </c>
      <c r="B737" s="80" t="s">
        <v>3089</v>
      </c>
      <c r="C737" s="81" t="s">
        <v>2946</v>
      </c>
      <c r="D737" s="81">
        <v>1</v>
      </c>
      <c r="E737" s="110">
        <f t="shared" si="10"/>
        <v>130873.59040139997</v>
      </c>
      <c r="F737" s="110">
        <v>128420.75399999999</v>
      </c>
      <c r="G737" s="509"/>
    </row>
    <row r="738" spans="1:7" ht="24.75" customHeight="1" x14ac:dyDescent="0.2">
      <c r="A738" s="79" t="s">
        <v>3104</v>
      </c>
      <c r="B738" s="80" t="s">
        <v>3090</v>
      </c>
      <c r="C738" s="81" t="s">
        <v>2946</v>
      </c>
      <c r="D738" s="81">
        <v>1</v>
      </c>
      <c r="E738" s="110">
        <f t="shared" si="10"/>
        <v>130873.59040139997</v>
      </c>
      <c r="F738" s="110">
        <v>128420.75399999999</v>
      </c>
      <c r="G738" s="509"/>
    </row>
    <row r="739" spans="1:7" ht="24.75" customHeight="1" x14ac:dyDescent="0.2">
      <c r="A739" s="79" t="s">
        <v>3107</v>
      </c>
      <c r="B739" s="80" t="s">
        <v>3091</v>
      </c>
      <c r="C739" s="81" t="s">
        <v>2946</v>
      </c>
      <c r="D739" s="81">
        <v>1</v>
      </c>
      <c r="E739" s="110">
        <f t="shared" si="10"/>
        <v>130873.59040139997</v>
      </c>
      <c r="F739" s="110">
        <v>128420.75399999999</v>
      </c>
      <c r="G739" s="509"/>
    </row>
    <row r="740" spans="1:7" ht="24.75" customHeight="1" x14ac:dyDescent="0.2">
      <c r="A740" s="79" t="s">
        <v>131</v>
      </c>
      <c r="B740" s="80" t="s">
        <v>3092</v>
      </c>
      <c r="C740" s="81" t="s">
        <v>2946</v>
      </c>
      <c r="D740" s="81">
        <v>1</v>
      </c>
      <c r="E740" s="110">
        <f t="shared" si="10"/>
        <v>114514.39160122498</v>
      </c>
      <c r="F740" s="110">
        <v>112368.15974999999</v>
      </c>
      <c r="G740" s="509"/>
    </row>
    <row r="741" spans="1:7" ht="24.75" customHeight="1" x14ac:dyDescent="0.2">
      <c r="A741" s="79" t="s">
        <v>3118</v>
      </c>
      <c r="B741" s="80" t="s">
        <v>3093</v>
      </c>
      <c r="C741" s="81" t="s">
        <v>2946</v>
      </c>
      <c r="D741" s="81">
        <v>1</v>
      </c>
      <c r="E741" s="110">
        <f t="shared" si="10"/>
        <v>84387.291090822706</v>
      </c>
      <c r="F741" s="110">
        <v>82805.702179200001</v>
      </c>
      <c r="G741" s="509"/>
    </row>
    <row r="742" spans="1:7" ht="24.75" customHeight="1" x14ac:dyDescent="0.2">
      <c r="A742" s="79" t="s">
        <v>3119</v>
      </c>
      <c r="B742" s="80" t="s">
        <v>3094</v>
      </c>
      <c r="C742" s="81" t="s">
        <v>2946</v>
      </c>
      <c r="D742" s="81">
        <v>1</v>
      </c>
      <c r="E742" s="110">
        <f t="shared" si="10"/>
        <v>68054.267008727998</v>
      </c>
      <c r="F742" s="110">
        <v>66778.792079999999</v>
      </c>
      <c r="G742" s="509"/>
    </row>
    <row r="743" spans="1:7" ht="24.75" customHeight="1" x14ac:dyDescent="0.2">
      <c r="A743" s="79" t="s">
        <v>3120</v>
      </c>
      <c r="B743" s="80" t="s">
        <v>3095</v>
      </c>
      <c r="C743" s="81" t="s">
        <v>2946</v>
      </c>
      <c r="D743" s="81">
        <v>1</v>
      </c>
      <c r="E743" s="110">
        <f t="shared" si="10"/>
        <v>40832.56020523679</v>
      </c>
      <c r="F743" s="110">
        <v>40067.275247999998</v>
      </c>
      <c r="G743" s="509"/>
    </row>
    <row r="744" spans="1:7" ht="24.75" customHeight="1" x14ac:dyDescent="0.2">
      <c r="A744" s="79" t="s">
        <v>3121</v>
      </c>
      <c r="B744" s="80" t="s">
        <v>3096</v>
      </c>
      <c r="C744" s="81" t="s">
        <v>2946</v>
      </c>
      <c r="D744" s="81">
        <v>1</v>
      </c>
      <c r="E744" s="110">
        <f t="shared" si="10"/>
        <v>31304.962824014878</v>
      </c>
      <c r="F744" s="110">
        <v>30718.244356800002</v>
      </c>
      <c r="G744" s="509"/>
    </row>
    <row r="745" spans="1:7" ht="24.75" customHeight="1" x14ac:dyDescent="0.2">
      <c r="A745" s="79" t="s">
        <v>3122</v>
      </c>
      <c r="B745" s="80" t="s">
        <v>3098</v>
      </c>
      <c r="C745" s="81" t="s">
        <v>2946</v>
      </c>
      <c r="D745" s="81">
        <v>1</v>
      </c>
      <c r="E745" s="110">
        <f t="shared" si="10"/>
        <v>24538.798200262496</v>
      </c>
      <c r="F745" s="110">
        <v>24078.891374999999</v>
      </c>
      <c r="G745" s="509"/>
    </row>
    <row r="746" spans="1:7" ht="24.75" customHeight="1" x14ac:dyDescent="0.2">
      <c r="A746" s="79" t="s">
        <v>3123</v>
      </c>
      <c r="B746" s="80" t="s">
        <v>3100</v>
      </c>
      <c r="C746" s="81" t="s">
        <v>2946</v>
      </c>
      <c r="D746" s="81">
        <v>1</v>
      </c>
      <c r="E746" s="110">
        <f t="shared" si="10"/>
        <v>26174.718080279996</v>
      </c>
      <c r="F746" s="110">
        <v>25684.150799999999</v>
      </c>
      <c r="G746" s="509"/>
    </row>
    <row r="747" spans="1:7" ht="24.75" customHeight="1" x14ac:dyDescent="0.2">
      <c r="A747" s="79" t="s">
        <v>3124</v>
      </c>
      <c r="B747" s="80" t="s">
        <v>3101</v>
      </c>
      <c r="C747" s="81" t="s">
        <v>2946</v>
      </c>
      <c r="D747" s="81">
        <v>1</v>
      </c>
      <c r="E747" s="110">
        <f t="shared" si="10"/>
        <v>155412.38860166247</v>
      </c>
      <c r="F747" s="110">
        <v>152499.64537499999</v>
      </c>
      <c r="G747" s="509"/>
    </row>
    <row r="748" spans="1:7" ht="24.75" customHeight="1" x14ac:dyDescent="0.2">
      <c r="A748" s="79" t="s">
        <v>3125</v>
      </c>
      <c r="B748" s="80" t="s">
        <v>3103</v>
      </c>
      <c r="C748" s="81" t="s">
        <v>2946</v>
      </c>
      <c r="D748" s="81">
        <v>1</v>
      </c>
      <c r="E748" s="110">
        <f t="shared" si="10"/>
        <v>114514.39160122498</v>
      </c>
      <c r="F748" s="110">
        <v>112368.15974999999</v>
      </c>
      <c r="G748" s="509"/>
    </row>
    <row r="749" spans="1:7" ht="24.75" customHeight="1" x14ac:dyDescent="0.2">
      <c r="A749" s="79" t="s">
        <v>3126</v>
      </c>
      <c r="B749" s="80" t="s">
        <v>3105</v>
      </c>
      <c r="C749" s="81" t="s">
        <v>2946</v>
      </c>
      <c r="D749" s="81">
        <v>1</v>
      </c>
      <c r="E749" s="110">
        <f t="shared" si="10"/>
        <v>114514.39160122498</v>
      </c>
      <c r="F749" s="110">
        <v>112368.15974999999</v>
      </c>
      <c r="G749" s="509"/>
    </row>
    <row r="750" spans="1:7" ht="24.75" customHeight="1" x14ac:dyDescent="0.2">
      <c r="A750" s="79" t="s">
        <v>3127</v>
      </c>
      <c r="B750" s="80" t="s">
        <v>3109</v>
      </c>
      <c r="C750" s="81" t="s">
        <v>2946</v>
      </c>
      <c r="D750" s="81">
        <v>1</v>
      </c>
      <c r="E750" s="110">
        <f t="shared" si="10"/>
        <v>270908.33213089796</v>
      </c>
      <c r="F750" s="110">
        <v>265830.96077999996</v>
      </c>
      <c r="G750" s="509"/>
    </row>
    <row r="751" spans="1:7" ht="24.75" customHeight="1" x14ac:dyDescent="0.2">
      <c r="A751" s="79" t="s">
        <v>3131</v>
      </c>
      <c r="B751" s="80" t="s">
        <v>3133</v>
      </c>
      <c r="C751" s="81" t="s">
        <v>2946</v>
      </c>
      <c r="D751" s="81">
        <v>1</v>
      </c>
      <c r="E751" s="110">
        <f t="shared" si="10"/>
        <v>1042497.9627562498</v>
      </c>
      <c r="F751" s="110">
        <v>1022959.4374999999</v>
      </c>
      <c r="G751" s="509"/>
    </row>
    <row r="752" spans="1:7" ht="24.75" customHeight="1" x14ac:dyDescent="0.2">
      <c r="A752" s="79" t="s">
        <v>3132</v>
      </c>
      <c r="B752" s="80" t="s">
        <v>3134</v>
      </c>
      <c r="C752" s="81" t="s">
        <v>2946</v>
      </c>
      <c r="D752" s="81">
        <v>1</v>
      </c>
      <c r="E752" s="110">
        <f t="shared" si="10"/>
        <v>1531670.0837418749</v>
      </c>
      <c r="F752" s="110">
        <v>1502963.48125</v>
      </c>
      <c r="G752" s="509"/>
    </row>
    <row r="753" spans="1:7" ht="24.75" customHeight="1" x14ac:dyDescent="0.2">
      <c r="A753" s="79" t="s">
        <v>3135</v>
      </c>
      <c r="B753" s="80" t="s">
        <v>3136</v>
      </c>
      <c r="C753" s="81" t="s">
        <v>2946</v>
      </c>
      <c r="D753" s="81">
        <v>1</v>
      </c>
      <c r="E753" s="110">
        <f t="shared" si="10"/>
        <v>1543378.1377851374</v>
      </c>
      <c r="F753" s="110">
        <v>1514452.1026250001</v>
      </c>
      <c r="G753" s="509"/>
    </row>
    <row r="754" spans="1:7" ht="24.75" customHeight="1" x14ac:dyDescent="0.2">
      <c r="A754" s="79" t="s">
        <v>3139</v>
      </c>
      <c r="B754" s="80" t="s">
        <v>3140</v>
      </c>
      <c r="C754" s="81" t="s">
        <v>2946</v>
      </c>
      <c r="D754" s="81">
        <v>1</v>
      </c>
      <c r="E754" s="110">
        <f t="shared" si="10"/>
        <v>33987.871427243575</v>
      </c>
      <c r="F754" s="110">
        <v>33350.869813799996</v>
      </c>
      <c r="G754" s="509"/>
    </row>
    <row r="755" spans="1:7" ht="24.75" customHeight="1" x14ac:dyDescent="0.2">
      <c r="A755" s="79" t="s">
        <v>3141</v>
      </c>
      <c r="B755" s="80" t="s">
        <v>3142</v>
      </c>
      <c r="C755" s="81" t="s">
        <v>2946</v>
      </c>
      <c r="D755" s="81">
        <v>1</v>
      </c>
      <c r="E755" s="110">
        <f t="shared" si="10"/>
        <v>40690.780482301947</v>
      </c>
      <c r="F755" s="110">
        <v>39928.152764500002</v>
      </c>
      <c r="G755" s="509"/>
    </row>
    <row r="756" spans="1:7" ht="24.75" customHeight="1" x14ac:dyDescent="0.2">
      <c r="A756" s="79" t="s">
        <v>3286</v>
      </c>
      <c r="B756" s="80" t="s">
        <v>3262</v>
      </c>
      <c r="C756" s="81" t="s">
        <v>2946</v>
      </c>
      <c r="D756" s="81">
        <v>1</v>
      </c>
      <c r="E756" s="110">
        <f t="shared" si="10"/>
        <v>24292.286699999997</v>
      </c>
      <c r="F756" s="110">
        <v>23837</v>
      </c>
      <c r="G756" s="509"/>
    </row>
    <row r="757" spans="1:7" ht="29.25" customHeight="1" x14ac:dyDescent="0.2">
      <c r="A757" s="79" t="s">
        <v>1021</v>
      </c>
      <c r="B757" s="80" t="s">
        <v>1022</v>
      </c>
      <c r="C757" s="81" t="s">
        <v>2066</v>
      </c>
      <c r="D757" s="81">
        <v>1</v>
      </c>
      <c r="E757" s="110">
        <f>+F757*(1+($G$2/100))</f>
        <v>0</v>
      </c>
      <c r="F757" s="110" t="s">
        <v>3298</v>
      </c>
      <c r="G757" s="509"/>
    </row>
    <row r="758" spans="1:7" ht="29.25" customHeight="1" x14ac:dyDescent="0.2">
      <c r="A758" s="79" t="s">
        <v>1017</v>
      </c>
      <c r="B758" s="80" t="s">
        <v>1029</v>
      </c>
      <c r="C758" s="81" t="s">
        <v>2066</v>
      </c>
      <c r="D758" s="81">
        <v>1</v>
      </c>
      <c r="E758" s="110">
        <f t="shared" ref="E758:E821" si="11">+F758*(1+($G$2/100))</f>
        <v>0</v>
      </c>
      <c r="F758" s="110" t="s">
        <v>3298</v>
      </c>
      <c r="G758" s="509"/>
    </row>
    <row r="759" spans="1:7" ht="29.25" customHeight="1" x14ac:dyDescent="0.2">
      <c r="A759" s="79" t="s">
        <v>2117</v>
      </c>
      <c r="B759" s="80" t="s">
        <v>1278</v>
      </c>
      <c r="C759" s="81" t="s">
        <v>2065</v>
      </c>
      <c r="D759" s="81">
        <v>1</v>
      </c>
      <c r="E759" s="110">
        <f t="shared" si="11"/>
        <v>49716.008472358793</v>
      </c>
      <c r="F759" s="110">
        <v>46157.282027999994</v>
      </c>
      <c r="G759" s="509"/>
    </row>
    <row r="760" spans="1:7" ht="29.25" customHeight="1" x14ac:dyDescent="0.2">
      <c r="A760" s="79" t="s">
        <v>2108</v>
      </c>
      <c r="B760" s="80" t="s">
        <v>2109</v>
      </c>
      <c r="C760" s="81" t="s">
        <v>2107</v>
      </c>
      <c r="D760" s="81">
        <v>1</v>
      </c>
      <c r="E760" s="110">
        <f t="shared" si="11"/>
        <v>191706.97354379998</v>
      </c>
      <c r="F760" s="110">
        <v>177984.378</v>
      </c>
      <c r="G760" s="509"/>
    </row>
    <row r="761" spans="1:7" ht="29.25" customHeight="1" x14ac:dyDescent="0.2">
      <c r="A761" s="79" t="s">
        <v>2105</v>
      </c>
      <c r="B761" s="80" t="s">
        <v>2106</v>
      </c>
      <c r="C761" s="81" t="s">
        <v>2107</v>
      </c>
      <c r="D761" s="81">
        <v>1</v>
      </c>
      <c r="E761" s="110">
        <f t="shared" si="11"/>
        <v>144553.19267517861</v>
      </c>
      <c r="F761" s="110">
        <v>134205.91651209601</v>
      </c>
      <c r="G761" s="509"/>
    </row>
    <row r="762" spans="1:7" ht="29.25" customHeight="1" x14ac:dyDescent="0.2">
      <c r="A762" s="79" t="s">
        <v>2081</v>
      </c>
      <c r="B762" s="80" t="s">
        <v>1030</v>
      </c>
      <c r="C762" s="81" t="s">
        <v>2066</v>
      </c>
      <c r="D762" s="81"/>
      <c r="E762" s="110">
        <f t="shared" si="11"/>
        <v>0</v>
      </c>
      <c r="F762" s="110" t="s">
        <v>3298</v>
      </c>
      <c r="G762" s="509"/>
    </row>
    <row r="763" spans="1:7" ht="29.25" customHeight="1" x14ac:dyDescent="0.2">
      <c r="A763" s="79" t="s">
        <v>2191</v>
      </c>
      <c r="B763" s="80" t="s">
        <v>1088</v>
      </c>
      <c r="C763" s="81" t="s">
        <v>2065</v>
      </c>
      <c r="D763" s="81">
        <v>1</v>
      </c>
      <c r="E763" s="110">
        <f t="shared" si="11"/>
        <v>281.17022786424002</v>
      </c>
      <c r="F763" s="110">
        <v>261.04375440000001</v>
      </c>
      <c r="G763" s="509"/>
    </row>
    <row r="764" spans="1:7" ht="29.25" customHeight="1" x14ac:dyDescent="0.2">
      <c r="A764" s="79" t="s">
        <v>2124</v>
      </c>
      <c r="B764" s="80" t="s">
        <v>1315</v>
      </c>
      <c r="C764" s="81" t="s">
        <v>2107</v>
      </c>
      <c r="D764" s="81">
        <v>1</v>
      </c>
      <c r="E764" s="110">
        <f t="shared" si="11"/>
        <v>176527.98966364568</v>
      </c>
      <c r="F764" s="110">
        <v>163891.92244326961</v>
      </c>
      <c r="G764" s="509"/>
    </row>
    <row r="765" spans="1:7" ht="30.75" customHeight="1" x14ac:dyDescent="0.2">
      <c r="A765" s="79" t="s">
        <v>2133</v>
      </c>
      <c r="B765" s="80" t="s">
        <v>1279</v>
      </c>
      <c r="C765" s="81" t="s">
        <v>2107</v>
      </c>
      <c r="D765" s="81">
        <v>1</v>
      </c>
      <c r="E765" s="110">
        <f t="shared" si="11"/>
        <v>182057.90459999998</v>
      </c>
      <c r="F765" s="110">
        <v>169026</v>
      </c>
      <c r="G765" s="509"/>
    </row>
    <row r="766" spans="1:7" ht="29.25" customHeight="1" x14ac:dyDescent="0.2">
      <c r="A766" s="79" t="s">
        <v>2134</v>
      </c>
      <c r="B766" s="80" t="s">
        <v>1089</v>
      </c>
      <c r="C766" s="81" t="s">
        <v>2107</v>
      </c>
      <c r="D766" s="81">
        <v>1</v>
      </c>
      <c r="E766" s="110">
        <f t="shared" si="11"/>
        <v>89861.914449999997</v>
      </c>
      <c r="F766" s="110">
        <v>83429.5</v>
      </c>
      <c r="G766" s="509"/>
    </row>
    <row r="767" spans="1:7" ht="29.25" customHeight="1" x14ac:dyDescent="0.2">
      <c r="A767" s="79" t="s">
        <v>3301</v>
      </c>
      <c r="B767" s="80" t="s">
        <v>3302</v>
      </c>
      <c r="C767" s="81" t="s">
        <v>3300</v>
      </c>
      <c r="D767" s="81">
        <v>1</v>
      </c>
      <c r="E767" s="110">
        <f t="shared" si="11"/>
        <v>3231.2999999999997</v>
      </c>
      <c r="F767" s="110">
        <v>3000</v>
      </c>
      <c r="G767" s="509"/>
    </row>
    <row r="768" spans="1:7" ht="29.25" customHeight="1" x14ac:dyDescent="0.2">
      <c r="A768" s="79" t="s">
        <v>2077</v>
      </c>
      <c r="B768" s="80" t="s">
        <v>2078</v>
      </c>
      <c r="C768" s="81" t="s">
        <v>2065</v>
      </c>
      <c r="D768" s="81">
        <v>1</v>
      </c>
      <c r="E768" s="110">
        <f t="shared" si="11"/>
        <v>157665.15334429976</v>
      </c>
      <c r="F768" s="110">
        <v>146379.30864757198</v>
      </c>
      <c r="G768" s="509"/>
    </row>
    <row r="769" spans="1:7" ht="29.25" customHeight="1" x14ac:dyDescent="0.2">
      <c r="A769" s="79" t="s">
        <v>2118</v>
      </c>
      <c r="B769" s="80" t="s">
        <v>1280</v>
      </c>
      <c r="C769" s="81" t="s">
        <v>2065</v>
      </c>
      <c r="D769" s="81">
        <v>1</v>
      </c>
      <c r="E769" s="110">
        <f t="shared" si="11"/>
        <v>83697.986602732781</v>
      </c>
      <c r="F769" s="110">
        <v>77706.792872279999</v>
      </c>
      <c r="G769" s="509"/>
    </row>
    <row r="770" spans="1:7" ht="29.25" customHeight="1" x14ac:dyDescent="0.2">
      <c r="A770" s="79" t="s">
        <v>2125</v>
      </c>
      <c r="B770" s="80" t="s">
        <v>3162</v>
      </c>
      <c r="C770" s="81" t="s">
        <v>2107</v>
      </c>
      <c r="D770" s="81">
        <v>1</v>
      </c>
      <c r="E770" s="110">
        <f t="shared" si="11"/>
        <v>108633.95167481998</v>
      </c>
      <c r="F770" s="110">
        <v>100857.81419999999</v>
      </c>
      <c r="G770" s="509"/>
    </row>
    <row r="771" spans="1:7" ht="29.25" customHeight="1" x14ac:dyDescent="0.2">
      <c r="A771" s="79" t="s">
        <v>1072</v>
      </c>
      <c r="B771" s="80" t="s">
        <v>1073</v>
      </c>
      <c r="C771" s="81" t="s">
        <v>1074</v>
      </c>
      <c r="D771" s="81">
        <v>1</v>
      </c>
      <c r="E771" s="110">
        <f t="shared" si="11"/>
        <v>44603.822511190796</v>
      </c>
      <c r="F771" s="110">
        <v>41411.031947999996</v>
      </c>
      <c r="G771" s="509"/>
    </row>
    <row r="772" spans="1:7" ht="29.25" customHeight="1" x14ac:dyDescent="0.2">
      <c r="A772" s="79" t="s">
        <v>485</v>
      </c>
      <c r="B772" s="80" t="s">
        <v>486</v>
      </c>
      <c r="C772" s="81" t="s">
        <v>2065</v>
      </c>
      <c r="D772" s="81">
        <v>1</v>
      </c>
      <c r="E772" s="110">
        <f t="shared" si="11"/>
        <v>21598.9856859348</v>
      </c>
      <c r="F772" s="110">
        <v>20052.906588000002</v>
      </c>
      <c r="G772" s="509"/>
    </row>
    <row r="773" spans="1:7" ht="29.25" customHeight="1" x14ac:dyDescent="0.2">
      <c r="A773" s="79" t="s">
        <v>2095</v>
      </c>
      <c r="B773" s="80" t="s">
        <v>2096</v>
      </c>
      <c r="C773" s="81" t="s">
        <v>2065</v>
      </c>
      <c r="D773" s="81">
        <v>1</v>
      </c>
      <c r="E773" s="110">
        <f t="shared" si="11"/>
        <v>38341.394708759995</v>
      </c>
      <c r="F773" s="110">
        <v>35596.875599999999</v>
      </c>
      <c r="G773" s="509"/>
    </row>
    <row r="774" spans="1:7" ht="29.25" customHeight="1" x14ac:dyDescent="0.2">
      <c r="A774" s="79" t="s">
        <v>1023</v>
      </c>
      <c r="B774" s="80" t="s">
        <v>1031</v>
      </c>
      <c r="C774" s="81" t="s">
        <v>2066</v>
      </c>
      <c r="D774" s="81">
        <v>1</v>
      </c>
      <c r="E774" s="110">
        <f t="shared" si="11"/>
        <v>0</v>
      </c>
      <c r="F774" s="110" t="s">
        <v>3298</v>
      </c>
      <c r="G774" s="509"/>
    </row>
    <row r="775" spans="1:7" ht="29.25" customHeight="1" x14ac:dyDescent="0.2">
      <c r="A775" s="79" t="s">
        <v>2201</v>
      </c>
      <c r="B775" s="80" t="s">
        <v>2202</v>
      </c>
      <c r="C775" s="81" t="s">
        <v>2065</v>
      </c>
      <c r="D775" s="81">
        <v>1</v>
      </c>
      <c r="E775" s="110">
        <f t="shared" si="11"/>
        <v>42234.2781968536</v>
      </c>
      <c r="F775" s="110">
        <v>39211.102215999999</v>
      </c>
      <c r="G775" s="509"/>
    </row>
    <row r="776" spans="1:7" ht="29.25" customHeight="1" x14ac:dyDescent="0.2">
      <c r="A776" s="79" t="s">
        <v>670</v>
      </c>
      <c r="B776" s="80" t="s">
        <v>671</v>
      </c>
      <c r="C776" s="81" t="s">
        <v>2107</v>
      </c>
      <c r="D776" s="81">
        <v>1</v>
      </c>
      <c r="E776" s="110">
        <f t="shared" si="11"/>
        <v>226965.521068</v>
      </c>
      <c r="F776" s="110">
        <v>210719.08000000002</v>
      </c>
      <c r="G776" s="509"/>
    </row>
    <row r="777" spans="1:7" ht="22.5" customHeight="1" x14ac:dyDescent="0.2">
      <c r="A777" s="79" t="s">
        <v>674</v>
      </c>
      <c r="B777" s="80" t="s">
        <v>675</v>
      </c>
      <c r="C777" s="81" t="s">
        <v>2107</v>
      </c>
      <c r="D777" s="81">
        <v>1</v>
      </c>
      <c r="E777" s="110">
        <f t="shared" si="11"/>
        <v>127804.64902919998</v>
      </c>
      <c r="F777" s="110">
        <v>118656.25199999999</v>
      </c>
      <c r="G777" s="509"/>
    </row>
    <row r="778" spans="1:7" ht="27" customHeight="1" x14ac:dyDescent="0.2">
      <c r="A778" s="79" t="s">
        <v>1091</v>
      </c>
      <c r="B778" s="80" t="s">
        <v>1092</v>
      </c>
      <c r="C778" s="81" t="s">
        <v>2065</v>
      </c>
      <c r="D778" s="81">
        <v>1</v>
      </c>
      <c r="E778" s="110">
        <f t="shared" si="11"/>
        <v>85546.909637040269</v>
      </c>
      <c r="F778" s="110">
        <v>79423.367966799997</v>
      </c>
      <c r="G778" s="509"/>
    </row>
    <row r="779" spans="1:7" ht="29.25" customHeight="1" x14ac:dyDescent="0.2">
      <c r="A779" s="79" t="s">
        <v>2122</v>
      </c>
      <c r="B779" s="80" t="s">
        <v>1284</v>
      </c>
      <c r="C779" s="81" t="s">
        <v>2107</v>
      </c>
      <c r="D779" s="81">
        <v>1</v>
      </c>
      <c r="E779" s="110">
        <f t="shared" si="11"/>
        <v>153535.49954600004</v>
      </c>
      <c r="F779" s="110">
        <v>142545.26000000004</v>
      </c>
      <c r="G779" s="509"/>
    </row>
    <row r="780" spans="1:7" ht="29.25" customHeight="1" x14ac:dyDescent="0.2">
      <c r="A780" s="79" t="s">
        <v>2126</v>
      </c>
      <c r="B780" s="80" t="s">
        <v>2127</v>
      </c>
      <c r="C780" s="81" t="s">
        <v>2107</v>
      </c>
      <c r="D780" s="81">
        <v>1</v>
      </c>
      <c r="E780" s="110">
        <f t="shared" si="11"/>
        <v>80105.478023999996</v>
      </c>
      <c r="F780" s="110">
        <v>74371.44</v>
      </c>
      <c r="G780" s="509"/>
    </row>
    <row r="781" spans="1:7" ht="29.25" customHeight="1" x14ac:dyDescent="0.2">
      <c r="A781" s="79" t="s">
        <v>2177</v>
      </c>
      <c r="B781" s="80" t="s">
        <v>1312</v>
      </c>
      <c r="C781" s="81" t="s">
        <v>2107</v>
      </c>
      <c r="D781" s="81">
        <v>1</v>
      </c>
      <c r="E781" s="110">
        <f t="shared" si="11"/>
        <v>186912.78205599997</v>
      </c>
      <c r="F781" s="110">
        <v>173533.36</v>
      </c>
      <c r="G781" s="509"/>
    </row>
    <row r="782" spans="1:7" ht="29.25" customHeight="1" x14ac:dyDescent="0.2">
      <c r="A782" s="79" t="s">
        <v>1024</v>
      </c>
      <c r="B782" s="80" t="s">
        <v>1025</v>
      </c>
      <c r="C782" s="81" t="s">
        <v>2065</v>
      </c>
      <c r="D782" s="81">
        <v>1</v>
      </c>
      <c r="E782" s="110">
        <f t="shared" si="11"/>
        <v>36501.396152936002</v>
      </c>
      <c r="F782" s="110">
        <v>33888.586160000006</v>
      </c>
      <c r="G782" s="509"/>
    </row>
    <row r="783" spans="1:7" ht="29.25" customHeight="1" x14ac:dyDescent="0.2">
      <c r="A783" s="79" t="s">
        <v>2209</v>
      </c>
      <c r="B783" s="80" t="s">
        <v>2210</v>
      </c>
      <c r="C783" s="81" t="s">
        <v>2065</v>
      </c>
      <c r="D783" s="81">
        <v>1</v>
      </c>
      <c r="E783" s="110">
        <f t="shared" si="11"/>
        <v>46728.195513999992</v>
      </c>
      <c r="F783" s="110">
        <v>43383.34</v>
      </c>
      <c r="G783" s="509"/>
    </row>
    <row r="784" spans="1:7" ht="29.25" customHeight="1" x14ac:dyDescent="0.2">
      <c r="A784" s="79" t="s">
        <v>2211</v>
      </c>
      <c r="B784" s="80" t="s">
        <v>1314</v>
      </c>
      <c r="C784" s="81" t="s">
        <v>2065</v>
      </c>
      <c r="D784" s="81">
        <v>1</v>
      </c>
      <c r="E784" s="110">
        <f t="shared" si="11"/>
        <v>3756.218687707199</v>
      </c>
      <c r="F784" s="110">
        <v>3487.3444319999994</v>
      </c>
      <c r="G784" s="509"/>
    </row>
    <row r="785" spans="1:7" ht="29.25" customHeight="1" x14ac:dyDescent="0.2">
      <c r="A785" s="79" t="s">
        <v>2196</v>
      </c>
      <c r="B785" s="80" t="s">
        <v>2197</v>
      </c>
      <c r="C785" s="81" t="s">
        <v>2065</v>
      </c>
      <c r="D785" s="81">
        <v>1</v>
      </c>
      <c r="E785" s="110">
        <f t="shared" si="11"/>
        <v>20660.537873689998</v>
      </c>
      <c r="F785" s="110">
        <v>19181.633900000001</v>
      </c>
      <c r="G785" s="509"/>
    </row>
    <row r="786" spans="1:7" ht="29.25" customHeight="1" x14ac:dyDescent="0.2">
      <c r="A786" s="79" t="s">
        <v>819</v>
      </c>
      <c r="B786" s="80" t="s">
        <v>820</v>
      </c>
      <c r="C786" s="81" t="s">
        <v>2066</v>
      </c>
      <c r="D786" s="81">
        <v>1</v>
      </c>
      <c r="E786" s="110">
        <f t="shared" si="11"/>
        <v>0</v>
      </c>
      <c r="F786" s="110" t="s">
        <v>3298</v>
      </c>
      <c r="G786" s="509"/>
    </row>
    <row r="787" spans="1:7" ht="29.25" customHeight="1" x14ac:dyDescent="0.2">
      <c r="A787" s="79" t="s">
        <v>2162</v>
      </c>
      <c r="B787" s="80" t="s">
        <v>1313</v>
      </c>
      <c r="C787" s="81" t="s">
        <v>196</v>
      </c>
      <c r="D787" s="81">
        <v>1</v>
      </c>
      <c r="E787" s="110">
        <f t="shared" si="11"/>
        <v>242743.87279999998</v>
      </c>
      <c r="F787" s="110">
        <v>225368</v>
      </c>
      <c r="G787" s="509"/>
    </row>
    <row r="788" spans="1:7" ht="29.25" customHeight="1" x14ac:dyDescent="0.2">
      <c r="A788" s="79" t="s">
        <v>2163</v>
      </c>
      <c r="B788" s="80" t="s">
        <v>173</v>
      </c>
      <c r="C788" s="81" t="s">
        <v>2065</v>
      </c>
      <c r="D788" s="81">
        <v>1</v>
      </c>
      <c r="E788" s="110">
        <f t="shared" si="11"/>
        <v>79061.436627087198</v>
      </c>
      <c r="F788" s="110">
        <v>73402.132232000004</v>
      </c>
      <c r="G788" s="509"/>
    </row>
    <row r="789" spans="1:7" ht="29.25" customHeight="1" x14ac:dyDescent="0.2">
      <c r="A789" s="79" t="s">
        <v>2167</v>
      </c>
      <c r="B789" s="80" t="s">
        <v>1094</v>
      </c>
      <c r="C789" s="81" t="s">
        <v>2107</v>
      </c>
      <c r="D789" s="81">
        <v>1</v>
      </c>
      <c r="E789" s="110">
        <f t="shared" si="11"/>
        <v>142781.642551119</v>
      </c>
      <c r="F789" s="110">
        <v>132561.17589000001</v>
      </c>
      <c r="G789" s="509"/>
    </row>
    <row r="790" spans="1:7" ht="29.25" customHeight="1" x14ac:dyDescent="0.2">
      <c r="A790" s="79" t="s">
        <v>2166</v>
      </c>
      <c r="B790" s="80" t="s">
        <v>3167</v>
      </c>
      <c r="C790" s="81" t="s">
        <v>476</v>
      </c>
      <c r="D790" s="81">
        <v>1</v>
      </c>
      <c r="E790" s="110">
        <f t="shared" si="11"/>
        <v>8010547.8023999995</v>
      </c>
      <c r="F790" s="110">
        <v>7437144</v>
      </c>
      <c r="G790" s="509"/>
    </row>
    <row r="791" spans="1:7" ht="29.25" customHeight="1" x14ac:dyDescent="0.2">
      <c r="A791" s="79" t="s">
        <v>2173</v>
      </c>
      <c r="B791" s="80" t="s">
        <v>1287</v>
      </c>
      <c r="C791" s="81" t="s">
        <v>2065</v>
      </c>
      <c r="D791" s="81">
        <v>1</v>
      </c>
      <c r="E791" s="110">
        <f t="shared" si="11"/>
        <v>58744.017217600012</v>
      </c>
      <c r="F791" s="110">
        <v>54539.056000000011</v>
      </c>
      <c r="G791" s="509"/>
    </row>
    <row r="792" spans="1:7" ht="29.25" customHeight="1" x14ac:dyDescent="0.2">
      <c r="A792" s="79" t="s">
        <v>2175</v>
      </c>
      <c r="B792" s="80" t="s">
        <v>985</v>
      </c>
      <c r="C792" s="81" t="s">
        <v>2065</v>
      </c>
      <c r="D792" s="81">
        <v>1</v>
      </c>
      <c r="E792" s="110">
        <f t="shared" si="11"/>
        <v>58744.017217600012</v>
      </c>
      <c r="F792" s="110">
        <v>54539.056000000011</v>
      </c>
      <c r="G792" s="509"/>
    </row>
    <row r="793" spans="1:7" ht="29.25" customHeight="1" x14ac:dyDescent="0.2">
      <c r="A793" s="79" t="s">
        <v>984</v>
      </c>
      <c r="B793" s="80" t="s">
        <v>2452</v>
      </c>
      <c r="C793" s="81" t="s">
        <v>2065</v>
      </c>
      <c r="D793" s="81">
        <v>1</v>
      </c>
      <c r="E793" s="110">
        <f t="shared" si="11"/>
        <v>172226.77775159999</v>
      </c>
      <c r="F793" s="110">
        <v>159898.59599999999</v>
      </c>
      <c r="G793" s="509"/>
    </row>
    <row r="794" spans="1:7" ht="29.25" customHeight="1" x14ac:dyDescent="0.2">
      <c r="A794" s="79" t="s">
        <v>1095</v>
      </c>
      <c r="B794" s="80" t="s">
        <v>1281</v>
      </c>
      <c r="C794" s="81" t="s">
        <v>2426</v>
      </c>
      <c r="D794" s="81">
        <v>1</v>
      </c>
      <c r="E794" s="110">
        <f t="shared" si="11"/>
        <v>12386.65</v>
      </c>
      <c r="F794" s="110">
        <v>11500</v>
      </c>
      <c r="G794" s="509"/>
    </row>
    <row r="795" spans="1:7" ht="29.25" customHeight="1" x14ac:dyDescent="0.2">
      <c r="A795" s="79" t="s">
        <v>2178</v>
      </c>
      <c r="B795" s="80" t="s">
        <v>1282</v>
      </c>
      <c r="C795" s="81" t="s">
        <v>2107</v>
      </c>
      <c r="D795" s="81">
        <v>1</v>
      </c>
      <c r="E795" s="110">
        <f t="shared" si="11"/>
        <v>80105.478023999996</v>
      </c>
      <c r="F795" s="110">
        <v>74371.44</v>
      </c>
      <c r="G795" s="509"/>
    </row>
    <row r="796" spans="1:7" ht="29.25" customHeight="1" x14ac:dyDescent="0.2">
      <c r="A796" s="79" t="s">
        <v>923</v>
      </c>
      <c r="B796" s="80" t="s">
        <v>1097</v>
      </c>
      <c r="C796" s="81" t="s">
        <v>2065</v>
      </c>
      <c r="D796" s="81">
        <v>1</v>
      </c>
      <c r="E796" s="110">
        <f t="shared" si="11"/>
        <v>43693.897103999996</v>
      </c>
      <c r="F796" s="110">
        <v>40566.239999999998</v>
      </c>
      <c r="G796" s="509"/>
    </row>
    <row r="797" spans="1:7" ht="29.25" customHeight="1" x14ac:dyDescent="0.2">
      <c r="A797" s="79" t="s">
        <v>1096</v>
      </c>
      <c r="B797" s="80" t="s">
        <v>970</v>
      </c>
      <c r="C797" s="81" t="s">
        <v>1432</v>
      </c>
      <c r="D797" s="81">
        <v>1</v>
      </c>
      <c r="E797" s="110">
        <f t="shared" si="11"/>
        <v>54617.371379999997</v>
      </c>
      <c r="F797" s="110">
        <v>50707.8</v>
      </c>
      <c r="G797" s="509"/>
    </row>
    <row r="798" spans="1:7" ht="29.25" customHeight="1" x14ac:dyDescent="0.2">
      <c r="A798" s="79" t="s">
        <v>1026</v>
      </c>
      <c r="B798" s="80" t="s">
        <v>1116</v>
      </c>
      <c r="C798" s="81" t="s">
        <v>2065</v>
      </c>
      <c r="D798" s="81">
        <v>1</v>
      </c>
      <c r="E798" s="110">
        <f t="shared" si="11"/>
        <v>395.67251266400001</v>
      </c>
      <c r="F798" s="110">
        <v>367.34984000000003</v>
      </c>
      <c r="G798" s="509"/>
    </row>
    <row r="799" spans="1:7" ht="29.25" customHeight="1" x14ac:dyDescent="0.2">
      <c r="A799" s="79" t="s">
        <v>1115</v>
      </c>
      <c r="B799" s="80" t="s">
        <v>1119</v>
      </c>
      <c r="C799" s="81" t="s">
        <v>1074</v>
      </c>
      <c r="D799" s="81">
        <v>1</v>
      </c>
      <c r="E799" s="110">
        <f t="shared" si="11"/>
        <v>910.28952299999992</v>
      </c>
      <c r="F799" s="110">
        <v>845.13</v>
      </c>
      <c r="G799" s="509"/>
    </row>
    <row r="800" spans="1:7" ht="29.25" customHeight="1" x14ac:dyDescent="0.2">
      <c r="A800" s="79" t="s">
        <v>1117</v>
      </c>
      <c r="B800" s="80" t="s">
        <v>1121</v>
      </c>
      <c r="C800" s="81" t="s">
        <v>2065</v>
      </c>
      <c r="D800" s="81">
        <v>1</v>
      </c>
      <c r="E800" s="110">
        <f t="shared" si="11"/>
        <v>28008.9084</v>
      </c>
      <c r="F800" s="110">
        <v>26004</v>
      </c>
      <c r="G800" s="509"/>
    </row>
    <row r="801" spans="1:7" ht="29.25" customHeight="1" x14ac:dyDescent="0.2">
      <c r="A801" s="79" t="s">
        <v>1118</v>
      </c>
      <c r="B801" s="80" t="s">
        <v>1250</v>
      </c>
      <c r="C801" s="81" t="s">
        <v>2065</v>
      </c>
      <c r="D801" s="81">
        <v>1</v>
      </c>
      <c r="E801" s="110">
        <f t="shared" si="11"/>
        <v>115303.33958</v>
      </c>
      <c r="F801" s="110">
        <v>107049.8</v>
      </c>
      <c r="G801" s="509"/>
    </row>
    <row r="802" spans="1:7" ht="29.25" customHeight="1" x14ac:dyDescent="0.2">
      <c r="A802" s="79" t="s">
        <v>1120</v>
      </c>
      <c r="B802" s="80" t="s">
        <v>1283</v>
      </c>
      <c r="C802" s="81" t="s">
        <v>2107</v>
      </c>
      <c r="D802" s="81">
        <v>1</v>
      </c>
      <c r="E802" s="110">
        <f t="shared" si="11"/>
        <v>606859.68199999991</v>
      </c>
      <c r="F802" s="110">
        <v>563420</v>
      </c>
      <c r="G802" s="509"/>
    </row>
    <row r="803" spans="1:7" ht="29.25" customHeight="1" x14ac:dyDescent="0.2">
      <c r="A803" s="79" t="s">
        <v>1238</v>
      </c>
      <c r="B803" s="80" t="s">
        <v>2620</v>
      </c>
      <c r="C803" s="81" t="s">
        <v>2065</v>
      </c>
      <c r="D803" s="81">
        <v>1</v>
      </c>
      <c r="E803" s="110">
        <f t="shared" si="11"/>
        <v>2917.5946249999997</v>
      </c>
      <c r="F803" s="110">
        <v>2708.75</v>
      </c>
      <c r="G803" s="509"/>
    </row>
    <row r="804" spans="1:7" ht="29.25" customHeight="1" x14ac:dyDescent="0.2">
      <c r="A804" s="79" t="s">
        <v>1249</v>
      </c>
      <c r="B804" s="80" t="s">
        <v>2600</v>
      </c>
      <c r="C804" s="81" t="s">
        <v>2534</v>
      </c>
      <c r="D804" s="81">
        <v>1</v>
      </c>
      <c r="E804" s="110">
        <f t="shared" si="11"/>
        <v>70022.270999999993</v>
      </c>
      <c r="F804" s="110">
        <v>65010</v>
      </c>
      <c r="G804" s="509"/>
    </row>
    <row r="805" spans="1:7" ht="29.25" customHeight="1" x14ac:dyDescent="0.2">
      <c r="A805" s="79" t="s">
        <v>1316</v>
      </c>
      <c r="B805" s="80" t="s">
        <v>1329</v>
      </c>
      <c r="C805" s="81" t="s">
        <v>2107</v>
      </c>
      <c r="D805" s="81">
        <v>1</v>
      </c>
      <c r="E805" s="110">
        <f t="shared" si="11"/>
        <v>87527.838749999995</v>
      </c>
      <c r="F805" s="110">
        <v>81262.5</v>
      </c>
      <c r="G805" s="509"/>
    </row>
    <row r="806" spans="1:7" ht="29.25" customHeight="1" x14ac:dyDescent="0.2">
      <c r="A806" s="79" t="s">
        <v>1317</v>
      </c>
      <c r="B806" s="80" t="s">
        <v>1318</v>
      </c>
      <c r="C806" s="81" t="s">
        <v>2107</v>
      </c>
      <c r="D806" s="81">
        <v>1</v>
      </c>
      <c r="E806" s="110">
        <f t="shared" si="11"/>
        <v>175055.67749999999</v>
      </c>
      <c r="F806" s="110">
        <v>162525</v>
      </c>
      <c r="G806" s="509"/>
    </row>
    <row r="807" spans="1:7" ht="29.25" customHeight="1" x14ac:dyDescent="0.2">
      <c r="A807" s="79" t="s">
        <v>1319</v>
      </c>
      <c r="B807" s="80" t="s">
        <v>1320</v>
      </c>
      <c r="C807" s="81" t="s">
        <v>2107</v>
      </c>
      <c r="D807" s="81">
        <v>1</v>
      </c>
      <c r="E807" s="110">
        <f t="shared" si="11"/>
        <v>408463.2475</v>
      </c>
      <c r="F807" s="110">
        <v>379225</v>
      </c>
      <c r="G807" s="509"/>
    </row>
    <row r="808" spans="1:7" ht="29.25" customHeight="1" x14ac:dyDescent="0.2">
      <c r="A808" s="79" t="s">
        <v>187</v>
      </c>
      <c r="B808" s="80" t="s">
        <v>188</v>
      </c>
      <c r="C808" s="81" t="s">
        <v>189</v>
      </c>
      <c r="D808" s="81"/>
      <c r="E808" s="110">
        <f t="shared" si="11"/>
        <v>0</v>
      </c>
      <c r="F808" s="110" t="s">
        <v>3298</v>
      </c>
      <c r="G808" s="509"/>
    </row>
    <row r="809" spans="1:7" ht="29.25" customHeight="1" x14ac:dyDescent="0.2">
      <c r="A809" s="79" t="s">
        <v>197</v>
      </c>
      <c r="B809" s="80" t="s">
        <v>2180</v>
      </c>
      <c r="C809" s="81" t="s">
        <v>1435</v>
      </c>
      <c r="D809" s="81">
        <v>1</v>
      </c>
      <c r="E809" s="110">
        <f t="shared" si="11"/>
        <v>15803.693958912749</v>
      </c>
      <c r="F809" s="110">
        <v>14672.4482025</v>
      </c>
      <c r="G809" s="509"/>
    </row>
    <row r="810" spans="1:7" ht="29.25" customHeight="1" x14ac:dyDescent="0.2">
      <c r="A810" s="79" t="s">
        <v>361</v>
      </c>
      <c r="B810" s="80" t="s">
        <v>362</v>
      </c>
      <c r="C810" s="81" t="s">
        <v>2065</v>
      </c>
      <c r="D810" s="81">
        <v>1</v>
      </c>
      <c r="E810" s="110">
        <f t="shared" si="11"/>
        <v>45281.068579999999</v>
      </c>
      <c r="F810" s="110">
        <v>42039.8</v>
      </c>
      <c r="G810" s="509"/>
    </row>
    <row r="811" spans="1:7" ht="29.25" customHeight="1" x14ac:dyDescent="0.2">
      <c r="A811" s="79" t="s">
        <v>373</v>
      </c>
      <c r="B811" s="80" t="s">
        <v>374</v>
      </c>
      <c r="C811" s="81" t="s">
        <v>2065</v>
      </c>
      <c r="D811" s="81">
        <v>1</v>
      </c>
      <c r="E811" s="110">
        <f t="shared" si="11"/>
        <v>36411.580919999993</v>
      </c>
      <c r="F811" s="110">
        <v>33805.199999999997</v>
      </c>
      <c r="G811" s="509"/>
    </row>
    <row r="812" spans="1:7" ht="29.25" customHeight="1" x14ac:dyDescent="0.2">
      <c r="A812" s="79" t="s">
        <v>375</v>
      </c>
      <c r="B812" s="80" t="s">
        <v>376</v>
      </c>
      <c r="C812" s="81" t="s">
        <v>2065</v>
      </c>
      <c r="D812" s="81">
        <v>1</v>
      </c>
      <c r="E812" s="110">
        <f t="shared" si="11"/>
        <v>8752.7838749999992</v>
      </c>
      <c r="F812" s="110">
        <v>8126.25</v>
      </c>
      <c r="G812" s="509"/>
    </row>
    <row r="813" spans="1:7" ht="29.25" customHeight="1" x14ac:dyDescent="0.2">
      <c r="A813" s="79" t="s">
        <v>2431</v>
      </c>
      <c r="B813" s="80" t="s">
        <v>2432</v>
      </c>
      <c r="C813" s="81" t="s">
        <v>2065</v>
      </c>
      <c r="D813" s="81">
        <v>1</v>
      </c>
      <c r="E813" s="110">
        <f t="shared" si="11"/>
        <v>54617.371379999997</v>
      </c>
      <c r="F813" s="110">
        <v>50707.8</v>
      </c>
      <c r="G813" s="509"/>
    </row>
    <row r="814" spans="1:7" ht="29.25" customHeight="1" x14ac:dyDescent="0.2">
      <c r="A814" s="79" t="s">
        <v>2453</v>
      </c>
      <c r="B814" s="80" t="s">
        <v>2454</v>
      </c>
      <c r="C814" s="87" t="s">
        <v>2107</v>
      </c>
      <c r="D814" s="81">
        <v>1</v>
      </c>
      <c r="E814" s="110">
        <f t="shared" si="11"/>
        <v>667545.65019999992</v>
      </c>
      <c r="F814" s="110">
        <v>619762</v>
      </c>
      <c r="G814" s="509"/>
    </row>
    <row r="815" spans="1:7" ht="29.25" customHeight="1" x14ac:dyDescent="0.2">
      <c r="A815" s="79" t="s">
        <v>2537</v>
      </c>
      <c r="B815" s="80" t="s">
        <v>2538</v>
      </c>
      <c r="C815" s="87" t="s">
        <v>2065</v>
      </c>
      <c r="D815" s="81">
        <v>1</v>
      </c>
      <c r="E815" s="110">
        <f t="shared" si="11"/>
        <v>140791.44622399998</v>
      </c>
      <c r="F815" s="110">
        <v>130713.44</v>
      </c>
      <c r="G815" s="509"/>
    </row>
    <row r="816" spans="1:7" ht="29.25" customHeight="1" x14ac:dyDescent="0.2">
      <c r="A816" s="79" t="s">
        <v>2595</v>
      </c>
      <c r="B816" s="80" t="s">
        <v>2567</v>
      </c>
      <c r="C816" s="87" t="s">
        <v>2562</v>
      </c>
      <c r="D816" s="81">
        <v>1</v>
      </c>
      <c r="E816" s="110">
        <f t="shared" si="11"/>
        <v>140044.54199999999</v>
      </c>
      <c r="F816" s="110">
        <v>130020</v>
      </c>
      <c r="G816" s="509"/>
    </row>
    <row r="817" spans="1:7" ht="29.25" customHeight="1" x14ac:dyDescent="0.2">
      <c r="A817" s="79" t="s">
        <v>2597</v>
      </c>
      <c r="B817" s="80" t="s">
        <v>2571</v>
      </c>
      <c r="C817" s="87" t="s">
        <v>2562</v>
      </c>
      <c r="D817" s="81">
        <v>1</v>
      </c>
      <c r="E817" s="110">
        <f t="shared" si="11"/>
        <v>210066.81299999999</v>
      </c>
      <c r="F817" s="110">
        <v>195030</v>
      </c>
      <c r="G817" s="509"/>
    </row>
    <row r="818" spans="1:7" ht="29.25" customHeight="1" x14ac:dyDescent="0.2">
      <c r="A818" s="79" t="s">
        <v>2598</v>
      </c>
      <c r="B818" s="80" t="s">
        <v>2572</v>
      </c>
      <c r="C818" s="87" t="s">
        <v>2562</v>
      </c>
      <c r="D818" s="81">
        <v>1</v>
      </c>
      <c r="E818" s="110">
        <f t="shared" si="11"/>
        <v>53094.386985749996</v>
      </c>
      <c r="F818" s="110">
        <v>49293.832499999997</v>
      </c>
      <c r="G818" s="509"/>
    </row>
    <row r="819" spans="1:7" ht="29.25" customHeight="1" x14ac:dyDescent="0.2">
      <c r="A819" s="79" t="s">
        <v>2599</v>
      </c>
      <c r="B819" s="80" t="s">
        <v>3144</v>
      </c>
      <c r="C819" s="87" t="s">
        <v>1424</v>
      </c>
      <c r="D819" s="81">
        <v>1</v>
      </c>
      <c r="E819" s="110">
        <f t="shared" si="11"/>
        <v>30342.984099999998</v>
      </c>
      <c r="F819" s="110">
        <v>28171</v>
      </c>
      <c r="G819" s="509"/>
    </row>
    <row r="820" spans="1:7" ht="29.25" customHeight="1" x14ac:dyDescent="0.2">
      <c r="A820" s="79" t="s">
        <v>3145</v>
      </c>
      <c r="B820" s="80" t="s">
        <v>3150</v>
      </c>
      <c r="C820" s="87" t="s">
        <v>1074</v>
      </c>
      <c r="D820" s="81">
        <v>1</v>
      </c>
      <c r="E820" s="110">
        <f t="shared" si="11"/>
        <v>20757.962193407995</v>
      </c>
      <c r="F820" s="110">
        <v>19272.084479999998</v>
      </c>
      <c r="G820" s="509"/>
    </row>
    <row r="821" spans="1:7" ht="29.25" customHeight="1" x14ac:dyDescent="0.2">
      <c r="A821" s="79" t="s">
        <v>3164</v>
      </c>
      <c r="B821" s="80" t="s">
        <v>3165</v>
      </c>
      <c r="C821" s="87" t="s">
        <v>2561</v>
      </c>
      <c r="D821" s="81">
        <v>1</v>
      </c>
      <c r="E821" s="110">
        <f t="shared" si="11"/>
        <v>11670.378499999999</v>
      </c>
      <c r="F821" s="110">
        <v>10835</v>
      </c>
      <c r="G821" s="509"/>
    </row>
    <row r="822" spans="1:7" ht="29.25" customHeight="1" x14ac:dyDescent="0.2">
      <c r="A822" s="79" t="s">
        <v>3287</v>
      </c>
      <c r="B822" s="80" t="s">
        <v>3265</v>
      </c>
      <c r="C822" s="87" t="s">
        <v>3288</v>
      </c>
      <c r="D822" s="81">
        <v>1</v>
      </c>
      <c r="E822" s="110">
        <f t="shared" ref="E822:E825" si="12">+F822*(1+($G$2/100))</f>
        <v>40846.32475</v>
      </c>
      <c r="F822" s="110">
        <v>37922.5</v>
      </c>
      <c r="G822" s="509"/>
    </row>
    <row r="823" spans="1:7" ht="29.25" customHeight="1" x14ac:dyDescent="0.2">
      <c r="A823" s="79" t="s">
        <v>417</v>
      </c>
      <c r="B823" s="80" t="s">
        <v>2653</v>
      </c>
      <c r="C823" s="81" t="s">
        <v>1435</v>
      </c>
      <c r="D823" s="81">
        <v>1</v>
      </c>
      <c r="E823" s="110">
        <f t="shared" si="12"/>
        <v>29175.946249999997</v>
      </c>
      <c r="F823" s="110">
        <v>27087.5</v>
      </c>
      <c r="G823" s="509"/>
    </row>
    <row r="824" spans="1:7" ht="29.25" customHeight="1" x14ac:dyDescent="0.2">
      <c r="A824" s="79" t="s">
        <v>419</v>
      </c>
      <c r="B824" s="80" t="s">
        <v>420</v>
      </c>
      <c r="C824" s="81" t="s">
        <v>1435</v>
      </c>
      <c r="D824" s="81">
        <v>1</v>
      </c>
      <c r="E824" s="110">
        <f t="shared" si="12"/>
        <v>70022.270999999993</v>
      </c>
      <c r="F824" s="110">
        <v>65010</v>
      </c>
      <c r="G824" s="509"/>
    </row>
    <row r="825" spans="1:7" ht="51.75" customHeight="1" x14ac:dyDescent="0.2">
      <c r="A825" s="79" t="s">
        <v>2664</v>
      </c>
      <c r="B825" s="80" t="s">
        <v>2662</v>
      </c>
      <c r="C825" s="87" t="s">
        <v>1435</v>
      </c>
      <c r="D825" s="81">
        <v>1</v>
      </c>
      <c r="E825" s="110">
        <f t="shared" si="12"/>
        <v>1050334.0649999999</v>
      </c>
      <c r="F825" s="110">
        <v>975150</v>
      </c>
      <c r="G825" s="509"/>
    </row>
    <row r="1838" spans="5:6" ht="29.25" customHeight="1" x14ac:dyDescent="0.2">
      <c r="E1838" s="111" t="s">
        <v>2066</v>
      </c>
      <c r="F1838" s="111" t="s">
        <v>2066</v>
      </c>
    </row>
  </sheetData>
  <mergeCells count="3">
    <mergeCell ref="A1:E1"/>
    <mergeCell ref="A3:E3"/>
    <mergeCell ref="A2:E2"/>
  </mergeCells>
  <phoneticPr fontId="20" type="noConversion"/>
  <pageMargins left="0.51181102362204722" right="0.51181102362204722" top="0.51181102362204722" bottom="0.51181102362204722" header="0" footer="0"/>
  <pageSetup paperSize="5" scale="73" fitToHeight="0" orientation="portrait" r:id="rId1"/>
  <headerFooter differentOddEven="1">
    <oddHeader>&amp;RANALISIS DE PRECIOS UNITARIOS CARDER 2019</oddHeader>
    <oddFooter>Página &amp;P&amp;R&amp;A</oddFooter>
  </headerFooter>
  <rowBreaks count="3" manualBreakCount="3">
    <brk id="340" max="4" man="1"/>
    <brk id="373" max="4" man="1"/>
    <brk id="783"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D4B2F"/>
    <pageSetUpPr autoPageBreaks="0"/>
  </sheetPr>
  <dimension ref="A1:AG735"/>
  <sheetViews>
    <sheetView showGridLines="0" view="pageBreakPreview" topLeftCell="A53" zoomScale="85" zoomScaleNormal="100" zoomScaleSheetLayoutView="85" workbookViewId="0">
      <selection activeCell="D69" sqref="D69"/>
    </sheetView>
  </sheetViews>
  <sheetFormatPr baseColWidth="10" defaultColWidth="9.125" defaultRowHeight="19.5" customHeight="1" x14ac:dyDescent="0.2"/>
  <cols>
    <col min="1" max="1" width="52.75" customWidth="1"/>
    <col min="2" max="2" width="23.875" customWidth="1"/>
    <col min="3" max="3" width="30.25" customWidth="1"/>
    <col min="4" max="4" width="20.125" customWidth="1"/>
    <col min="5" max="5" width="35" customWidth="1"/>
    <col min="6" max="6" width="13.25" bestFit="1" customWidth="1"/>
    <col min="7" max="13" width="12.125" customWidth="1"/>
    <col min="14" max="14" width="36.75" customWidth="1"/>
    <col min="15" max="15" width="22.625" customWidth="1"/>
    <col min="16" max="16" width="16.75" customWidth="1"/>
    <col min="17" max="17" width="18.625" customWidth="1"/>
    <col min="18" max="18" width="16.25" customWidth="1"/>
  </cols>
  <sheetData>
    <row r="1" spans="1:18" ht="12" customHeight="1" x14ac:dyDescent="0.2">
      <c r="A1" s="619"/>
      <c r="B1" s="620"/>
      <c r="C1" s="621"/>
      <c r="D1" s="23"/>
      <c r="E1" s="23"/>
      <c r="F1" s="23"/>
      <c r="G1" s="23"/>
      <c r="H1" s="23"/>
      <c r="I1" s="23"/>
      <c r="J1" s="23"/>
      <c r="K1" s="23"/>
      <c r="L1" s="23"/>
      <c r="M1" s="23"/>
      <c r="N1" s="619"/>
      <c r="O1" s="620"/>
      <c r="P1" s="620"/>
      <c r="Q1" s="621"/>
    </row>
    <row r="2" spans="1:18" ht="96.9" customHeight="1" x14ac:dyDescent="0.2">
      <c r="A2" s="622" t="s">
        <v>2252</v>
      </c>
      <c r="B2" s="623"/>
      <c r="C2" s="64"/>
      <c r="D2" s="632"/>
      <c r="E2" s="632"/>
      <c r="F2" s="16"/>
      <c r="G2" s="16"/>
      <c r="H2" s="16"/>
      <c r="I2" s="16"/>
      <c r="J2" s="16"/>
      <c r="K2" s="16"/>
      <c r="L2" s="16"/>
      <c r="M2" s="16"/>
      <c r="N2" s="622" t="s">
        <v>2252</v>
      </c>
      <c r="O2" s="623"/>
      <c r="P2" s="288"/>
      <c r="Q2" s="64"/>
      <c r="R2" s="288"/>
    </row>
    <row r="3" spans="1:18" ht="12" customHeight="1" x14ac:dyDescent="0.2">
      <c r="A3" s="624"/>
      <c r="B3" s="625"/>
      <c r="C3" s="626"/>
      <c r="N3" s="624"/>
      <c r="O3" s="625"/>
      <c r="P3" s="625"/>
      <c r="Q3" s="626"/>
    </row>
    <row r="4" spans="1:18" ht="21" customHeight="1" x14ac:dyDescent="0.2">
      <c r="A4" s="54" t="s">
        <v>1050</v>
      </c>
      <c r="B4" s="20"/>
      <c r="C4" s="65"/>
      <c r="D4" s="20"/>
      <c r="N4" s="54" t="s">
        <v>1050</v>
      </c>
      <c r="O4" s="20"/>
      <c r="P4" s="20"/>
      <c r="Q4" s="65"/>
      <c r="R4" s="20"/>
    </row>
    <row r="5" spans="1:18" ht="19.5" customHeight="1" x14ac:dyDescent="0.3">
      <c r="A5" s="88" t="s">
        <v>3322</v>
      </c>
      <c r="B5" s="55">
        <v>1423500</v>
      </c>
      <c r="C5" s="289">
        <v>1</v>
      </c>
      <c r="D5" s="17"/>
      <c r="N5" s="88" t="s">
        <v>2474</v>
      </c>
      <c r="O5" s="55">
        <v>781242</v>
      </c>
      <c r="P5" s="55"/>
      <c r="Q5" s="66"/>
      <c r="R5" s="55"/>
    </row>
    <row r="6" spans="1:18" ht="19.5" customHeight="1" x14ac:dyDescent="0.3">
      <c r="A6" s="88" t="s">
        <v>2476</v>
      </c>
      <c r="B6" s="56">
        <v>200000</v>
      </c>
      <c r="C6" s="66"/>
      <c r="D6" s="17"/>
      <c r="N6" s="88" t="s">
        <v>2476</v>
      </c>
      <c r="O6" s="56">
        <v>88211</v>
      </c>
      <c r="P6" s="56"/>
      <c r="Q6" s="66"/>
      <c r="R6" s="56"/>
    </row>
    <row r="7" spans="1:18" ht="19.5" customHeight="1" thickBot="1" x14ac:dyDescent="0.25">
      <c r="A7" s="67"/>
      <c r="B7" s="68"/>
      <c r="C7" s="69"/>
      <c r="D7" s="17"/>
      <c r="N7" s="67"/>
      <c r="O7" s="68"/>
      <c r="P7" s="68"/>
      <c r="Q7" s="69"/>
      <c r="R7" s="68"/>
    </row>
    <row r="8" spans="1:18" ht="19.5" customHeight="1" thickBot="1" x14ac:dyDescent="0.25">
      <c r="A8" s="627" t="s">
        <v>1408</v>
      </c>
      <c r="B8" s="24" t="s">
        <v>2475</v>
      </c>
      <c r="C8" s="25" t="s">
        <v>1048</v>
      </c>
      <c r="D8" s="17"/>
      <c r="N8" s="627" t="s">
        <v>1408</v>
      </c>
      <c r="O8" s="629" t="s">
        <v>2475</v>
      </c>
      <c r="P8" s="630"/>
      <c r="Q8" s="629" t="s">
        <v>1048</v>
      </c>
      <c r="R8" s="631"/>
    </row>
    <row r="9" spans="1:18" ht="36.75" customHeight="1" thickBot="1" x14ac:dyDescent="0.25">
      <c r="A9" s="628"/>
      <c r="B9" s="26" t="s">
        <v>1036</v>
      </c>
      <c r="C9" s="27" t="s">
        <v>3306</v>
      </c>
      <c r="D9" s="17"/>
      <c r="N9" s="628"/>
      <c r="O9" s="26" t="s">
        <v>1036</v>
      </c>
      <c r="P9" s="290"/>
      <c r="Q9" s="27" t="s">
        <v>1036</v>
      </c>
      <c r="R9" s="290"/>
    </row>
    <row r="10" spans="1:18" ht="19.5" customHeight="1" x14ac:dyDescent="0.3">
      <c r="A10" s="38" t="s">
        <v>1037</v>
      </c>
      <c r="B10" s="42"/>
      <c r="C10" s="43"/>
      <c r="D10" s="17"/>
      <c r="E10" s="21"/>
      <c r="F10" s="21"/>
      <c r="G10" s="21"/>
      <c r="H10" s="21"/>
      <c r="I10" s="21"/>
      <c r="J10" s="21"/>
      <c r="K10" s="21"/>
      <c r="L10" s="21"/>
      <c r="M10" s="21"/>
      <c r="N10" s="38" t="s">
        <v>1037</v>
      </c>
      <c r="O10" s="291" t="s">
        <v>2611</v>
      </c>
      <c r="P10" s="291" t="s">
        <v>2612</v>
      </c>
      <c r="Q10" s="291" t="s">
        <v>2611</v>
      </c>
      <c r="R10" s="291" t="s">
        <v>2612</v>
      </c>
    </row>
    <row r="11" spans="1:18" ht="19.5" customHeight="1" x14ac:dyDescent="0.25">
      <c r="A11" s="28" t="s">
        <v>1038</v>
      </c>
      <c r="B11" s="31">
        <f>1/12</f>
        <v>8.3333333333333329E-2</v>
      </c>
      <c r="C11" s="31">
        <f>1/12</f>
        <v>8.3333333333333329E-2</v>
      </c>
      <c r="D11" s="17"/>
      <c r="N11" s="29" t="s">
        <v>2613</v>
      </c>
      <c r="O11" s="292">
        <v>1</v>
      </c>
      <c r="P11" s="293">
        <v>1</v>
      </c>
      <c r="Q11" s="294">
        <v>1</v>
      </c>
      <c r="R11" s="294"/>
    </row>
    <row r="12" spans="1:18" ht="19.5" customHeight="1" x14ac:dyDescent="0.25">
      <c r="A12" s="28" t="s">
        <v>1039</v>
      </c>
      <c r="B12" s="31">
        <v>0.01</v>
      </c>
      <c r="C12" s="32">
        <v>0.01</v>
      </c>
      <c r="D12" s="17"/>
      <c r="E12" s="21"/>
      <c r="F12" s="21"/>
      <c r="G12" s="21"/>
      <c r="H12" s="21"/>
      <c r="I12" s="21"/>
      <c r="J12" s="21"/>
      <c r="K12" s="21"/>
      <c r="L12" s="21"/>
      <c r="M12" s="21"/>
      <c r="N12" s="29" t="s">
        <v>1038</v>
      </c>
      <c r="O12" s="295">
        <v>8.3299999999999999E-2</v>
      </c>
      <c r="P12" s="294">
        <f>+O12</f>
        <v>8.3299999999999999E-2</v>
      </c>
      <c r="Q12" s="294">
        <v>8.3299999999999999E-2</v>
      </c>
      <c r="R12" s="294"/>
    </row>
    <row r="13" spans="1:18" ht="19.5" customHeight="1" x14ac:dyDescent="0.25">
      <c r="A13" s="28" t="s">
        <v>1040</v>
      </c>
      <c r="B13" s="31">
        <v>4.1700000000000001E-2</v>
      </c>
      <c r="C13" s="32">
        <v>4.1700000000000001E-2</v>
      </c>
      <c r="D13" s="17"/>
      <c r="N13" s="29" t="s">
        <v>1039</v>
      </c>
      <c r="O13" s="295">
        <v>0.01</v>
      </c>
      <c r="P13" s="294">
        <f>+O13</f>
        <v>0.01</v>
      </c>
      <c r="Q13" s="294">
        <v>0.01</v>
      </c>
      <c r="R13" s="294"/>
    </row>
    <row r="14" spans="1:18" ht="19.5" customHeight="1" x14ac:dyDescent="0.25">
      <c r="A14" s="28" t="s">
        <v>1041</v>
      </c>
      <c r="B14" s="31">
        <f>1/12</f>
        <v>8.3333333333333329E-2</v>
      </c>
      <c r="C14" s="31">
        <f>1/12</f>
        <v>8.3333333333333329E-2</v>
      </c>
      <c r="D14" s="17"/>
      <c r="N14" s="29" t="s">
        <v>1040</v>
      </c>
      <c r="O14" s="295">
        <v>4.1700000000000001E-2</v>
      </c>
      <c r="P14" s="294"/>
      <c r="Q14" s="294">
        <v>4.1700000000000001E-2</v>
      </c>
      <c r="R14" s="294"/>
    </row>
    <row r="15" spans="1:18" ht="19.5" customHeight="1" x14ac:dyDescent="0.25">
      <c r="A15" s="29" t="s">
        <v>2253</v>
      </c>
      <c r="B15" s="31">
        <v>0.04</v>
      </c>
      <c r="C15" s="32">
        <v>0</v>
      </c>
      <c r="D15" s="17"/>
      <c r="N15" s="29" t="s">
        <v>1041</v>
      </c>
      <c r="O15" s="295">
        <v>8.3299999999999999E-2</v>
      </c>
      <c r="P15" s="294">
        <f>+O15</f>
        <v>8.3299999999999999E-2</v>
      </c>
      <c r="Q15" s="294">
        <v>8.3299999999999999E-2</v>
      </c>
      <c r="R15" s="294"/>
    </row>
    <row r="16" spans="1:18" ht="19.5" customHeight="1" x14ac:dyDescent="0.3">
      <c r="A16" s="39" t="s">
        <v>1042</v>
      </c>
      <c r="B16" s="40"/>
      <c r="C16" s="41"/>
      <c r="D16" s="17"/>
      <c r="N16" s="29" t="s">
        <v>2253</v>
      </c>
      <c r="O16" s="295">
        <v>0.04</v>
      </c>
      <c r="P16" s="294"/>
      <c r="Q16" s="294">
        <v>0</v>
      </c>
      <c r="R16" s="294"/>
    </row>
    <row r="17" spans="1:33" ht="19.5" customHeight="1" x14ac:dyDescent="0.3">
      <c r="A17" s="28" t="s">
        <v>1043</v>
      </c>
      <c r="B17" s="31">
        <v>0.12</v>
      </c>
      <c r="C17" s="32">
        <v>0.12</v>
      </c>
      <c r="D17" s="17"/>
      <c r="N17" s="39" t="s">
        <v>1042</v>
      </c>
      <c r="O17" s="296"/>
      <c r="P17" s="297"/>
      <c r="Q17" s="297"/>
      <c r="R17" s="297"/>
    </row>
    <row r="18" spans="1:33" ht="19.5" customHeight="1" x14ac:dyDescent="0.25">
      <c r="A18" s="29" t="s">
        <v>2614</v>
      </c>
      <c r="B18" s="31">
        <v>6.9599999999999995E-2</v>
      </c>
      <c r="C18" s="32">
        <v>6.9599999999999995E-2</v>
      </c>
      <c r="D18" s="17"/>
      <c r="N18" s="29" t="s">
        <v>1043</v>
      </c>
      <c r="O18" s="295">
        <v>0.12</v>
      </c>
      <c r="P18" s="294"/>
      <c r="Q18" s="294">
        <v>0.12</v>
      </c>
      <c r="R18" s="294"/>
      <c r="S18" s="98"/>
      <c r="T18" s="98"/>
      <c r="U18" s="98"/>
      <c r="V18" s="98"/>
      <c r="W18" s="98"/>
      <c r="X18" s="98"/>
      <c r="Y18" s="98"/>
      <c r="Z18" s="98"/>
      <c r="AA18" s="98"/>
      <c r="AB18" s="98"/>
      <c r="AC18" s="98"/>
      <c r="AD18" s="98"/>
      <c r="AE18" s="98"/>
      <c r="AF18" s="98"/>
      <c r="AG18" s="98"/>
    </row>
    <row r="19" spans="1:33" ht="19.5" customHeight="1" x14ac:dyDescent="0.25">
      <c r="A19" s="28" t="s">
        <v>1047</v>
      </c>
      <c r="B19" s="31">
        <v>8.5000000000000006E-2</v>
      </c>
      <c r="C19" s="32">
        <v>8.5000000000000006E-2</v>
      </c>
      <c r="D19" s="17"/>
      <c r="N19" s="29" t="s">
        <v>2614</v>
      </c>
      <c r="O19" s="295">
        <v>6.9599999999999995E-2</v>
      </c>
      <c r="P19" s="294"/>
      <c r="Q19" s="294">
        <v>6.9599999999999995E-2</v>
      </c>
      <c r="R19" s="294"/>
      <c r="S19" s="98"/>
      <c r="T19" s="98"/>
      <c r="U19" s="98"/>
      <c r="V19" s="98"/>
      <c r="W19" s="98"/>
      <c r="X19" s="98"/>
      <c r="Y19" s="98"/>
      <c r="Z19" s="98"/>
      <c r="AA19" s="98"/>
      <c r="AB19" s="98"/>
      <c r="AC19" s="98"/>
      <c r="AD19" s="98"/>
      <c r="AE19" s="98"/>
      <c r="AF19" s="98"/>
      <c r="AG19" s="98"/>
    </row>
    <row r="20" spans="1:33" ht="19.5" customHeight="1" x14ac:dyDescent="0.3">
      <c r="A20" s="29" t="s">
        <v>2241</v>
      </c>
      <c r="B20" s="31">
        <v>0</v>
      </c>
      <c r="C20" s="32">
        <v>0</v>
      </c>
      <c r="D20" s="17"/>
      <c r="N20" s="29" t="s">
        <v>1047</v>
      </c>
      <c r="O20" s="295">
        <v>8.5000000000000006E-2</v>
      </c>
      <c r="P20" s="294"/>
      <c r="Q20" s="294">
        <v>8.5000000000000006E-2</v>
      </c>
      <c r="R20" s="294"/>
      <c r="S20" s="99"/>
      <c r="T20" s="99"/>
      <c r="U20" s="99"/>
      <c r="V20" s="99"/>
      <c r="W20" s="99"/>
      <c r="X20" s="99"/>
      <c r="Y20" s="99"/>
      <c r="Z20" s="99"/>
      <c r="AA20" s="99"/>
      <c r="AB20" s="99"/>
      <c r="AC20" s="99"/>
      <c r="AD20" s="99"/>
      <c r="AE20" s="99"/>
      <c r="AF20" s="99"/>
      <c r="AG20" s="98"/>
    </row>
    <row r="21" spans="1:33" ht="19.5" customHeight="1" x14ac:dyDescent="0.3">
      <c r="A21" s="39" t="s">
        <v>1044</v>
      </c>
      <c r="B21" s="40"/>
      <c r="C21" s="41"/>
      <c r="D21" s="17"/>
      <c r="N21" s="29" t="s">
        <v>2241</v>
      </c>
      <c r="O21" s="295">
        <v>0</v>
      </c>
      <c r="P21" s="294"/>
      <c r="Q21" s="294">
        <v>0</v>
      </c>
      <c r="R21" s="294"/>
      <c r="S21" s="92"/>
      <c r="T21" s="92"/>
      <c r="U21" s="92"/>
      <c r="V21" s="92"/>
      <c r="W21" s="92"/>
      <c r="X21" s="92"/>
      <c r="Y21" s="92"/>
      <c r="Z21" s="92"/>
      <c r="AA21" s="92"/>
      <c r="AB21" s="92"/>
      <c r="AC21" s="92"/>
      <c r="AD21" s="92"/>
      <c r="AE21" s="92"/>
      <c r="AF21" s="92"/>
      <c r="AG21" s="98"/>
    </row>
    <row r="22" spans="1:33" ht="19.5" customHeight="1" x14ac:dyDescent="0.3">
      <c r="A22" s="29" t="s">
        <v>2610</v>
      </c>
      <c r="B22" s="310">
        <v>2.5000000000000001E-4</v>
      </c>
      <c r="C22" s="311">
        <v>2.5000000000000001E-4</v>
      </c>
      <c r="D22" s="17"/>
      <c r="N22" s="39" t="s">
        <v>1044</v>
      </c>
      <c r="O22" s="296"/>
      <c r="P22" s="297"/>
      <c r="Q22" s="297"/>
      <c r="R22" s="297"/>
      <c r="S22" s="92"/>
      <c r="T22" s="92"/>
      <c r="U22" s="92"/>
      <c r="V22" s="92"/>
      <c r="W22" s="92"/>
      <c r="X22" s="92"/>
      <c r="Y22" s="92"/>
      <c r="Z22" s="92"/>
      <c r="AA22" s="92"/>
      <c r="AB22" s="92"/>
      <c r="AC22" s="92"/>
      <c r="AD22" s="92"/>
      <c r="AE22" s="92"/>
      <c r="AF22" s="92"/>
      <c r="AG22" s="98"/>
    </row>
    <row r="23" spans="1:33" ht="19.5" customHeight="1" x14ac:dyDescent="0.25">
      <c r="A23" s="28" t="s">
        <v>1045</v>
      </c>
      <c r="B23" s="31">
        <v>0</v>
      </c>
      <c r="C23" s="32">
        <v>0</v>
      </c>
      <c r="D23" s="17"/>
      <c r="N23" s="29" t="s">
        <v>2610</v>
      </c>
      <c r="O23" s="298">
        <v>2.5000000000000001E-4</v>
      </c>
      <c r="P23" s="299"/>
      <c r="Q23" s="299">
        <v>2.5000000000000001E-4</v>
      </c>
      <c r="R23" s="299"/>
      <c r="S23" s="92"/>
      <c r="T23" s="92"/>
      <c r="U23" s="92"/>
      <c r="V23" s="92"/>
      <c r="W23" s="92"/>
      <c r="X23" s="92"/>
      <c r="Y23" s="92"/>
      <c r="Z23" s="92"/>
      <c r="AA23" s="92"/>
      <c r="AB23" s="92"/>
      <c r="AC23" s="92"/>
      <c r="AD23" s="92"/>
      <c r="AE23" s="92"/>
      <c r="AF23" s="92"/>
      <c r="AG23" s="98"/>
    </row>
    <row r="24" spans="1:33" ht="19.5" customHeight="1" x14ac:dyDescent="0.25">
      <c r="A24" s="28" t="s">
        <v>1046</v>
      </c>
      <c r="B24" s="33">
        <v>0.04</v>
      </c>
      <c r="C24" s="32">
        <v>0.04</v>
      </c>
      <c r="D24" s="17"/>
      <c r="N24" s="29" t="s">
        <v>1045</v>
      </c>
      <c r="O24" s="295">
        <v>0</v>
      </c>
      <c r="P24" s="294"/>
      <c r="Q24" s="294">
        <v>0</v>
      </c>
      <c r="R24" s="294"/>
      <c r="S24" s="92"/>
      <c r="T24" s="92"/>
      <c r="U24" s="92"/>
      <c r="V24" s="92"/>
      <c r="W24" s="92"/>
      <c r="X24" s="92"/>
      <c r="Y24" s="92"/>
      <c r="Z24" s="92"/>
      <c r="AA24" s="92"/>
      <c r="AB24" s="92"/>
      <c r="AC24" s="92"/>
      <c r="AD24" s="92"/>
      <c r="AE24" s="92"/>
      <c r="AF24" s="92"/>
      <c r="AG24" s="98"/>
    </row>
    <row r="25" spans="1:33" ht="19.5" customHeight="1" x14ac:dyDescent="0.25">
      <c r="A25" s="28" t="s">
        <v>1052</v>
      </c>
      <c r="B25" s="31">
        <f>B6/B5</f>
        <v>0.14049877063575694</v>
      </c>
      <c r="C25" s="32"/>
      <c r="D25" s="17"/>
      <c r="N25" s="29" t="s">
        <v>1046</v>
      </c>
      <c r="O25" s="300">
        <v>0.04</v>
      </c>
      <c r="P25" s="301"/>
      <c r="Q25" s="294">
        <v>0.04</v>
      </c>
      <c r="R25" s="301"/>
      <c r="S25" s="100"/>
      <c r="T25" s="100"/>
      <c r="U25" s="100"/>
      <c r="V25" s="100"/>
      <c r="W25" s="100"/>
      <c r="X25" s="100"/>
      <c r="Y25" s="100"/>
      <c r="Z25" s="100"/>
      <c r="AA25" s="100"/>
      <c r="AB25" s="100"/>
      <c r="AC25" s="100"/>
      <c r="AD25" s="100"/>
      <c r="AE25" s="100"/>
      <c r="AF25" s="100"/>
      <c r="AG25" s="98"/>
    </row>
    <row r="26" spans="1:33" ht="19.5" customHeight="1" thickBot="1" x14ac:dyDescent="0.3">
      <c r="A26" s="30" t="s">
        <v>2242</v>
      </c>
      <c r="B26" s="34">
        <v>1.15E-2</v>
      </c>
      <c r="C26" s="35">
        <v>1.15E-2</v>
      </c>
      <c r="D26" s="17"/>
      <c r="N26" s="29" t="s">
        <v>1052</v>
      </c>
      <c r="O26" s="295">
        <v>0</v>
      </c>
      <c r="P26" s="294"/>
      <c r="Q26" s="294"/>
      <c r="R26" s="294"/>
      <c r="S26" s="98"/>
      <c r="T26" s="98"/>
      <c r="U26" s="98"/>
      <c r="V26" s="98"/>
      <c r="W26" s="98"/>
      <c r="X26" s="98"/>
      <c r="Y26" s="98"/>
      <c r="Z26" s="98"/>
      <c r="AA26" s="98"/>
      <c r="AB26" s="98"/>
      <c r="AC26" s="98"/>
      <c r="AD26" s="98"/>
      <c r="AE26" s="98"/>
      <c r="AF26" s="98"/>
      <c r="AG26" s="98"/>
    </row>
    <row r="27" spans="1:33" ht="19.5" customHeight="1" thickBot="1" x14ac:dyDescent="0.35">
      <c r="A27" s="22"/>
      <c r="B27" s="36">
        <f>SUM(B10:B26)</f>
        <v>0.72521543730242344</v>
      </c>
      <c r="C27" s="37">
        <f>SUM(C10:C26)</f>
        <v>0.54471666666666663</v>
      </c>
      <c r="D27" s="17"/>
      <c r="N27" s="30" t="s">
        <v>2242</v>
      </c>
      <c r="O27" s="302">
        <v>1.15E-2</v>
      </c>
      <c r="P27" s="303"/>
      <c r="Q27" s="303">
        <v>1.15E-2</v>
      </c>
      <c r="R27" s="303"/>
      <c r="S27" s="98"/>
      <c r="T27" s="98"/>
      <c r="U27" s="98"/>
      <c r="V27" s="98"/>
      <c r="W27" s="98"/>
      <c r="X27" s="98"/>
      <c r="Y27" s="98"/>
      <c r="Z27" s="98"/>
      <c r="AA27" s="98"/>
      <c r="AB27" s="98"/>
      <c r="AC27" s="98"/>
      <c r="AD27" s="98"/>
      <c r="AE27" s="98"/>
      <c r="AF27" s="98"/>
      <c r="AG27" s="98"/>
    </row>
    <row r="28" spans="1:33" ht="19.5" customHeight="1" thickBot="1" x14ac:dyDescent="0.35">
      <c r="A28" s="19"/>
      <c r="B28" s="17"/>
      <c r="C28" s="18"/>
      <c r="D28" s="17"/>
      <c r="N28" s="304"/>
      <c r="O28" s="36">
        <f>SUM(O10:O27)</f>
        <v>1.5846499999999999</v>
      </c>
      <c r="P28" s="305">
        <f>+SUM(P11:P27)</f>
        <v>1.1765999999999999</v>
      </c>
      <c r="Q28" s="37">
        <f>SUM(Q10:Q27)</f>
        <v>1.5446499999999999</v>
      </c>
      <c r="R28" s="305"/>
    </row>
    <row r="29" spans="1:33" ht="33" customHeight="1" thickBot="1" x14ac:dyDescent="0.25">
      <c r="A29" s="74" t="s">
        <v>1049</v>
      </c>
      <c r="B29" s="75" t="s">
        <v>1051</v>
      </c>
      <c r="C29" s="76" t="s">
        <v>65</v>
      </c>
      <c r="D29" s="76" t="s">
        <v>1053</v>
      </c>
      <c r="E29" s="77" t="s">
        <v>1054</v>
      </c>
      <c r="F29" s="314"/>
      <c r="G29" s="314"/>
      <c r="H29" s="314"/>
      <c r="I29" s="314"/>
      <c r="J29" s="314"/>
      <c r="K29" s="314"/>
      <c r="L29" s="314"/>
      <c r="M29" s="314"/>
    </row>
    <row r="30" spans="1:33" ht="19.5" customHeight="1" x14ac:dyDescent="0.25">
      <c r="A30" s="70" t="s">
        <v>1055</v>
      </c>
      <c r="B30" s="72">
        <f>B5</f>
        <v>1423500</v>
      </c>
      <c r="C30" s="71">
        <f>ROUND((B30*$B$27),0)</f>
        <v>1032344</v>
      </c>
      <c r="D30" s="72">
        <f>B30+C30</f>
        <v>2455844</v>
      </c>
      <c r="E30" s="73">
        <f>ROUND((D30/30),0)</f>
        <v>81861</v>
      </c>
      <c r="F30" s="315"/>
      <c r="G30" s="315"/>
      <c r="H30" s="315"/>
      <c r="I30" s="315"/>
      <c r="J30" s="315"/>
      <c r="K30" s="315"/>
      <c r="L30" s="315"/>
      <c r="M30" s="315"/>
      <c r="N30" s="306" t="s">
        <v>2615</v>
      </c>
      <c r="O30" s="632" t="s">
        <v>2616</v>
      </c>
      <c r="P30" s="632"/>
      <c r="Q30" s="16" t="s">
        <v>2617</v>
      </c>
    </row>
    <row r="31" spans="1:33" ht="19.5" customHeight="1" x14ac:dyDescent="0.25">
      <c r="A31" s="57" t="s">
        <v>1056</v>
      </c>
      <c r="B31" s="45">
        <f>B30*1.4</f>
        <v>1992899.9999999998</v>
      </c>
      <c r="C31" s="44">
        <f>ROUND((B31*$B$27),0)</f>
        <v>1445282</v>
      </c>
      <c r="D31" s="45">
        <f>B31+C31</f>
        <v>3438182</v>
      </c>
      <c r="E31" s="58">
        <f>ROUND((D31/30),0)</f>
        <v>114606</v>
      </c>
      <c r="F31" s="315"/>
      <c r="G31" s="315"/>
      <c r="H31" s="315"/>
      <c r="I31" s="315"/>
      <c r="J31" s="315"/>
      <c r="K31" s="315"/>
      <c r="L31" s="315"/>
      <c r="M31" s="315"/>
      <c r="N31" s="306" t="s">
        <v>2615</v>
      </c>
      <c r="O31" s="307">
        <f>+O28*O5+P28*O6</f>
        <v>1341784.1979</v>
      </c>
      <c r="Q31" s="21">
        <f>Q28*O5</f>
        <v>1206745.4552999998</v>
      </c>
    </row>
    <row r="32" spans="1:33" ht="19.5" customHeight="1" x14ac:dyDescent="0.2">
      <c r="A32" s="57" t="s">
        <v>1066</v>
      </c>
      <c r="B32" s="45">
        <f>B30*2</f>
        <v>2847000</v>
      </c>
      <c r="C32" s="44">
        <f>ROUND((B32*$B$27),0)</f>
        <v>2064688</v>
      </c>
      <c r="D32" s="45">
        <f>B32+C32</f>
        <v>4911688</v>
      </c>
      <c r="E32" s="58">
        <f>ROUND((D32/30),0)</f>
        <v>163723</v>
      </c>
      <c r="F32" s="315"/>
      <c r="G32" s="315"/>
      <c r="H32" s="315"/>
      <c r="I32" s="315"/>
      <c r="J32" s="315"/>
      <c r="K32" s="315"/>
      <c r="L32" s="315"/>
      <c r="M32" s="315"/>
    </row>
    <row r="33" spans="1:17" ht="19.5" customHeight="1" x14ac:dyDescent="0.2">
      <c r="A33" s="57" t="s">
        <v>1060</v>
      </c>
      <c r="B33" s="45">
        <f>B30*2.5</f>
        <v>3558750</v>
      </c>
      <c r="C33" s="44">
        <f>ROUND((B33*$C$27),0)</f>
        <v>1938510</v>
      </c>
      <c r="D33" s="45">
        <f>B33+C33</f>
        <v>5497260</v>
      </c>
      <c r="E33" s="58">
        <f>ROUND((D33/30),0)</f>
        <v>183242</v>
      </c>
      <c r="F33" s="315"/>
      <c r="G33" s="315"/>
      <c r="H33" s="315"/>
      <c r="I33" s="315"/>
      <c r="J33" s="315"/>
      <c r="K33" s="315"/>
      <c r="L33" s="315"/>
      <c r="M33" s="315"/>
      <c r="O33" s="308">
        <f>+O31/O5</f>
        <v>1.7175013605259317</v>
      </c>
      <c r="Q33" s="308">
        <f>+Q31/O5</f>
        <v>1.5446499999999996</v>
      </c>
    </row>
    <row r="34" spans="1:17" ht="19.5" customHeight="1" x14ac:dyDescent="0.2">
      <c r="A34" s="617" t="s">
        <v>2068</v>
      </c>
      <c r="B34" s="618"/>
      <c r="C34" s="618"/>
      <c r="D34" s="618"/>
      <c r="E34" s="58">
        <f>E32+(4*E30)</f>
        <v>491167</v>
      </c>
      <c r="F34" s="315"/>
      <c r="G34" s="315"/>
      <c r="H34" s="315"/>
      <c r="I34" s="315"/>
      <c r="J34" s="315"/>
      <c r="K34" s="315"/>
      <c r="L34" s="315"/>
      <c r="M34" s="315"/>
      <c r="O34" s="309">
        <v>0.71750000000000003</v>
      </c>
      <c r="Q34" s="309">
        <v>0.54469999999999996</v>
      </c>
    </row>
    <row r="35" spans="1:17" ht="19.5" customHeight="1" x14ac:dyDescent="0.2">
      <c r="A35" s="617" t="s">
        <v>2104</v>
      </c>
      <c r="B35" s="618"/>
      <c r="C35" s="618"/>
      <c r="D35" s="618"/>
      <c r="E35" s="58">
        <f>E33+(2*E31)</f>
        <v>412454</v>
      </c>
      <c r="F35" s="315"/>
      <c r="G35" s="315"/>
      <c r="H35" s="315"/>
      <c r="I35" s="315"/>
      <c r="J35" s="315"/>
      <c r="K35" s="315"/>
      <c r="L35" s="315"/>
      <c r="M35" s="315"/>
    </row>
    <row r="36" spans="1:17" ht="19.5" customHeight="1" x14ac:dyDescent="0.2">
      <c r="A36" s="617" t="s">
        <v>2116</v>
      </c>
      <c r="B36" s="618"/>
      <c r="C36" s="618"/>
      <c r="D36" s="618"/>
      <c r="E36" s="58">
        <f>E32+(7*E30)</f>
        <v>736750</v>
      </c>
      <c r="F36" s="315"/>
      <c r="G36" s="315"/>
      <c r="H36" s="315"/>
      <c r="I36" s="315"/>
      <c r="J36" s="315"/>
      <c r="K36" s="315"/>
      <c r="L36" s="315"/>
      <c r="M36" s="315"/>
    </row>
    <row r="37" spans="1:17" ht="19.5" customHeight="1" x14ac:dyDescent="0.2">
      <c r="A37" s="617" t="s">
        <v>2092</v>
      </c>
      <c r="B37" s="618"/>
      <c r="C37" s="618"/>
      <c r="D37" s="618"/>
      <c r="E37" s="58">
        <f>(2*E32)+(4*E30)</f>
        <v>654890</v>
      </c>
      <c r="F37" s="315"/>
      <c r="G37" s="315"/>
      <c r="H37" s="315"/>
      <c r="I37" s="315"/>
      <c r="J37" s="315"/>
      <c r="K37" s="315"/>
      <c r="L37" s="315"/>
      <c r="M37" s="315"/>
    </row>
    <row r="38" spans="1:17" ht="19.5" customHeight="1" x14ac:dyDescent="0.2">
      <c r="A38" s="617" t="s">
        <v>2160</v>
      </c>
      <c r="B38" s="618"/>
      <c r="C38" s="618"/>
      <c r="D38" s="618"/>
      <c r="E38" s="58">
        <f>E32+E30</f>
        <v>245584</v>
      </c>
      <c r="F38" s="315"/>
      <c r="G38" s="315"/>
      <c r="H38" s="315"/>
      <c r="I38" s="315"/>
      <c r="J38" s="315"/>
      <c r="K38" s="315"/>
      <c r="L38" s="315"/>
      <c r="M38" s="315"/>
    </row>
    <row r="39" spans="1:17" ht="19.5" customHeight="1" x14ac:dyDescent="0.2">
      <c r="A39" s="617" t="s">
        <v>1020</v>
      </c>
      <c r="B39" s="618"/>
      <c r="C39" s="618"/>
      <c r="D39" s="618"/>
      <c r="E39" s="58">
        <f>(6*E32)+(4*E30)</f>
        <v>1309782</v>
      </c>
      <c r="F39" s="315"/>
      <c r="G39" s="315"/>
      <c r="H39" s="315"/>
      <c r="I39" s="315"/>
      <c r="J39" s="315"/>
      <c r="K39" s="315"/>
      <c r="L39" s="315"/>
      <c r="M39" s="315"/>
    </row>
    <row r="40" spans="1:17" ht="19.5" customHeight="1" x14ac:dyDescent="0.2">
      <c r="A40" s="617" t="s">
        <v>2094</v>
      </c>
      <c r="B40" s="618"/>
      <c r="C40" s="618"/>
      <c r="D40" s="618"/>
      <c r="E40" s="59">
        <f>E32+(2*E30)</f>
        <v>327445</v>
      </c>
      <c r="F40" s="316"/>
      <c r="G40" s="316"/>
      <c r="H40" s="316"/>
      <c r="I40" s="316"/>
      <c r="J40" s="316"/>
      <c r="K40" s="316"/>
      <c r="L40" s="316"/>
      <c r="M40" s="316"/>
    </row>
    <row r="41" spans="1:17" ht="19.5" customHeight="1" x14ac:dyDescent="0.2">
      <c r="A41" s="617" t="s">
        <v>2080</v>
      </c>
      <c r="B41" s="618"/>
      <c r="C41" s="618"/>
      <c r="D41" s="618"/>
      <c r="E41" s="58">
        <f>4*E30</f>
        <v>327444</v>
      </c>
      <c r="F41" s="315"/>
      <c r="G41" s="315"/>
      <c r="H41" s="315"/>
      <c r="I41" s="315"/>
      <c r="J41" s="315"/>
      <c r="K41" s="315"/>
      <c r="L41" s="315"/>
      <c r="M41" s="315"/>
    </row>
    <row r="42" spans="1:17" ht="19.5" customHeight="1" x14ac:dyDescent="0.2">
      <c r="A42" s="617" t="s">
        <v>1365</v>
      </c>
      <c r="B42" s="618"/>
      <c r="C42" s="618"/>
      <c r="D42" s="618"/>
      <c r="E42" s="58">
        <f>E49+E51</f>
        <v>294701</v>
      </c>
      <c r="F42" s="315"/>
      <c r="G42" s="315"/>
      <c r="H42" s="315"/>
      <c r="I42" s="315"/>
      <c r="J42" s="315"/>
      <c r="K42" s="315"/>
      <c r="L42" s="315"/>
      <c r="M42" s="315"/>
    </row>
    <row r="43" spans="1:17" ht="19.5" customHeight="1" x14ac:dyDescent="0.2">
      <c r="A43" s="617" t="s">
        <v>1364</v>
      </c>
      <c r="B43" s="618"/>
      <c r="C43" s="618"/>
      <c r="D43" s="618"/>
      <c r="E43" s="58">
        <f>E49+(2*E51)</f>
        <v>425679</v>
      </c>
      <c r="F43" s="315"/>
      <c r="G43" s="315"/>
      <c r="H43" s="315"/>
      <c r="I43" s="315"/>
      <c r="J43" s="315"/>
      <c r="K43" s="315"/>
      <c r="L43" s="315"/>
      <c r="M43" s="315"/>
    </row>
    <row r="44" spans="1:17" ht="19.5" customHeight="1" x14ac:dyDescent="0.2">
      <c r="A44" s="617" t="s">
        <v>275</v>
      </c>
      <c r="B44" s="618"/>
      <c r="C44" s="618"/>
      <c r="D44" s="618"/>
      <c r="E44" s="58">
        <f>E58+E31</f>
        <v>261957</v>
      </c>
      <c r="F44" s="315"/>
      <c r="G44" s="315"/>
      <c r="H44" s="315"/>
      <c r="I44" s="315"/>
      <c r="J44" s="315"/>
      <c r="K44" s="315"/>
      <c r="L44" s="315"/>
      <c r="M44" s="315"/>
    </row>
    <row r="45" spans="1:17" ht="19.5" customHeight="1" x14ac:dyDescent="0.2">
      <c r="A45" s="617" t="s">
        <v>2250</v>
      </c>
      <c r="B45" s="618"/>
      <c r="C45" s="618"/>
      <c r="D45" s="618"/>
      <c r="E45" s="58">
        <f>E32*2+E30*8</f>
        <v>982334</v>
      </c>
      <c r="F45" s="315"/>
      <c r="G45" s="315"/>
      <c r="H45" s="315"/>
      <c r="I45" s="315"/>
      <c r="J45" s="315"/>
      <c r="K45" s="315"/>
      <c r="L45" s="315"/>
      <c r="M45" s="315"/>
    </row>
    <row r="46" spans="1:17" ht="19.5" customHeight="1" x14ac:dyDescent="0.2">
      <c r="A46" s="617" t="s">
        <v>3040</v>
      </c>
      <c r="B46" s="618"/>
      <c r="C46" s="618"/>
      <c r="D46" s="618"/>
      <c r="E46" s="58">
        <f>E52+2*E30</f>
        <v>383612</v>
      </c>
      <c r="F46" s="315"/>
      <c r="G46" s="315"/>
      <c r="H46" s="315"/>
      <c r="I46" s="315"/>
      <c r="J46" s="315"/>
      <c r="K46" s="315"/>
      <c r="L46" s="315"/>
      <c r="M46" s="315"/>
    </row>
    <row r="47" spans="1:17" ht="19.5" customHeight="1" x14ac:dyDescent="0.2">
      <c r="A47" s="617" t="s">
        <v>3147</v>
      </c>
      <c r="B47" s="618"/>
      <c r="C47" s="618"/>
      <c r="D47" s="618"/>
      <c r="E47" s="58">
        <f>E62+E53+(2*E54)+E70</f>
        <v>623679</v>
      </c>
      <c r="F47" s="315"/>
      <c r="G47" s="315"/>
      <c r="H47" s="315"/>
      <c r="I47" s="315"/>
      <c r="J47" s="315"/>
      <c r="K47" s="315"/>
      <c r="L47" s="315"/>
      <c r="M47" s="315"/>
    </row>
    <row r="48" spans="1:17" ht="19.5" customHeight="1" x14ac:dyDescent="0.2">
      <c r="A48" s="57" t="s">
        <v>1059</v>
      </c>
      <c r="B48" s="45">
        <f>$B$5*2.6</f>
        <v>3701100</v>
      </c>
      <c r="C48" s="44">
        <f>ROUND((B48*$C$27),0)</f>
        <v>2016051</v>
      </c>
      <c r="D48" s="45">
        <f t="shared" ref="D48:D70" si="0">B48+C48</f>
        <v>5717151</v>
      </c>
      <c r="E48" s="58">
        <f t="shared" ref="E48:E70" si="1">ROUND((D48/30),0)</f>
        <v>190572</v>
      </c>
      <c r="F48" s="315"/>
      <c r="G48" s="315"/>
      <c r="H48" s="315"/>
      <c r="I48" s="315"/>
      <c r="J48" s="315"/>
      <c r="K48" s="315"/>
      <c r="L48" s="315"/>
      <c r="M48" s="315"/>
    </row>
    <row r="49" spans="1:13" ht="19.5" customHeight="1" x14ac:dyDescent="0.2">
      <c r="A49" s="57" t="s">
        <v>1061</v>
      </c>
      <c r="B49" s="45">
        <f>$B$5*2</f>
        <v>2847000</v>
      </c>
      <c r="C49" s="44">
        <f>ROUND((B49*$B$27),0)</f>
        <v>2064688</v>
      </c>
      <c r="D49" s="45">
        <f t="shared" si="0"/>
        <v>4911688</v>
      </c>
      <c r="E49" s="58">
        <f t="shared" si="1"/>
        <v>163723</v>
      </c>
      <c r="F49" s="315"/>
      <c r="G49" s="315"/>
      <c r="H49" s="315"/>
      <c r="I49" s="315"/>
      <c r="J49" s="315"/>
      <c r="K49" s="315"/>
      <c r="L49" s="315"/>
      <c r="M49" s="315"/>
    </row>
    <row r="50" spans="1:13" ht="19.5" customHeight="1" x14ac:dyDescent="0.2">
      <c r="A50" s="57" t="s">
        <v>1062</v>
      </c>
      <c r="B50" s="45">
        <f>$B$5*1.6</f>
        <v>2277600</v>
      </c>
      <c r="C50" s="44">
        <f>ROUND((B50*$B$27),0)</f>
        <v>1651751</v>
      </c>
      <c r="D50" s="45">
        <f t="shared" si="0"/>
        <v>3929351</v>
      </c>
      <c r="E50" s="58">
        <f t="shared" si="1"/>
        <v>130978</v>
      </c>
      <c r="F50" s="315"/>
      <c r="G50" s="315"/>
      <c r="H50" s="315"/>
      <c r="I50" s="315"/>
      <c r="J50" s="315"/>
      <c r="K50" s="315"/>
      <c r="L50" s="315"/>
      <c r="M50" s="315"/>
    </row>
    <row r="51" spans="1:13" ht="19.5" customHeight="1" x14ac:dyDescent="0.2">
      <c r="A51" s="57" t="s">
        <v>1363</v>
      </c>
      <c r="B51" s="45">
        <f>$B$5*1.6</f>
        <v>2277600</v>
      </c>
      <c r="C51" s="44">
        <f>ROUND((B51*$B$27),0)</f>
        <v>1651751</v>
      </c>
      <c r="D51" s="45">
        <f t="shared" si="0"/>
        <v>3929351</v>
      </c>
      <c r="E51" s="58">
        <f t="shared" si="1"/>
        <v>130978</v>
      </c>
      <c r="F51" s="315"/>
      <c r="G51" s="315"/>
      <c r="H51" s="315"/>
      <c r="I51" s="315"/>
      <c r="J51" s="315"/>
      <c r="K51" s="315"/>
      <c r="L51" s="315"/>
      <c r="M51" s="315"/>
    </row>
    <row r="52" spans="1:13" ht="19.5" customHeight="1" x14ac:dyDescent="0.2">
      <c r="A52" s="57" t="s">
        <v>3041</v>
      </c>
      <c r="B52" s="45">
        <f>$B$5*3</f>
        <v>4270500</v>
      </c>
      <c r="C52" s="44">
        <f>ROUND((B52*$C$27),0)</f>
        <v>2326213</v>
      </c>
      <c r="D52" s="45">
        <f t="shared" si="0"/>
        <v>6596713</v>
      </c>
      <c r="E52" s="58">
        <f t="shared" si="1"/>
        <v>219890</v>
      </c>
      <c r="F52" s="315"/>
      <c r="G52" s="315"/>
      <c r="H52" s="315"/>
      <c r="I52" s="315"/>
      <c r="J52" s="315"/>
      <c r="K52" s="315"/>
      <c r="L52" s="315"/>
      <c r="M52" s="315"/>
    </row>
    <row r="53" spans="1:13" ht="19.5" customHeight="1" x14ac:dyDescent="0.2">
      <c r="A53" s="57" t="s">
        <v>1067</v>
      </c>
      <c r="B53" s="45">
        <f>$B$5*1.5</f>
        <v>2135250</v>
      </c>
      <c r="C53" s="44">
        <f>ROUND((B53*$B$27),0)</f>
        <v>1548516</v>
      </c>
      <c r="D53" s="45">
        <f t="shared" si="0"/>
        <v>3683766</v>
      </c>
      <c r="E53" s="58">
        <f t="shared" si="1"/>
        <v>122792</v>
      </c>
      <c r="F53" s="315"/>
      <c r="G53" s="315"/>
      <c r="H53" s="315"/>
      <c r="I53" s="315"/>
      <c r="J53" s="315"/>
      <c r="K53" s="315"/>
      <c r="L53" s="315"/>
      <c r="M53" s="315"/>
    </row>
    <row r="54" spans="1:13" ht="19.5" customHeight="1" x14ac:dyDescent="0.2">
      <c r="A54" s="57" t="s">
        <v>1068</v>
      </c>
      <c r="B54" s="45">
        <f>$B$5</f>
        <v>1423500</v>
      </c>
      <c r="C54" s="44">
        <f>ROUND((B54*$B$27),0)</f>
        <v>1032344</v>
      </c>
      <c r="D54" s="45">
        <f t="shared" si="0"/>
        <v>2455844</v>
      </c>
      <c r="E54" s="58">
        <f t="shared" si="1"/>
        <v>81861</v>
      </c>
      <c r="F54" s="315"/>
      <c r="G54" s="315"/>
      <c r="H54" s="315"/>
      <c r="I54" s="315"/>
      <c r="J54" s="315"/>
      <c r="K54" s="315"/>
      <c r="L54" s="315"/>
      <c r="M54" s="315"/>
    </row>
    <row r="55" spans="1:13" ht="19.5" customHeight="1" x14ac:dyDescent="0.2">
      <c r="A55" s="57" t="s">
        <v>1057</v>
      </c>
      <c r="B55" s="45">
        <f>$B$5*2.8</f>
        <v>3985799.9999999995</v>
      </c>
      <c r="C55" s="44">
        <f>ROUND((B55*$C$27),0)</f>
        <v>2171132</v>
      </c>
      <c r="D55" s="45">
        <f t="shared" si="0"/>
        <v>6156932</v>
      </c>
      <c r="E55" s="58">
        <f t="shared" si="1"/>
        <v>205231</v>
      </c>
      <c r="F55" s="315"/>
      <c r="G55" s="315"/>
      <c r="H55" s="315"/>
      <c r="I55" s="315"/>
      <c r="J55" s="315"/>
      <c r="K55" s="315"/>
      <c r="L55" s="315"/>
      <c r="M55" s="315"/>
    </row>
    <row r="56" spans="1:13" ht="19.5" customHeight="1" x14ac:dyDescent="0.2">
      <c r="A56" s="57" t="s">
        <v>1058</v>
      </c>
      <c r="B56" s="45">
        <f>$B$5*1.8</f>
        <v>2562300</v>
      </c>
      <c r="C56" s="44">
        <f t="shared" ref="C56:C61" si="2">ROUND((B56*$B$27),0)</f>
        <v>1858220</v>
      </c>
      <c r="D56" s="45">
        <f t="shared" si="0"/>
        <v>4420520</v>
      </c>
      <c r="E56" s="58">
        <f t="shared" si="1"/>
        <v>147351</v>
      </c>
      <c r="F56" s="315"/>
      <c r="G56" s="315"/>
      <c r="H56" s="315"/>
      <c r="I56" s="315"/>
      <c r="J56" s="315"/>
      <c r="K56" s="315"/>
      <c r="L56" s="315"/>
      <c r="M56" s="315"/>
    </row>
    <row r="57" spans="1:13" ht="19.5" customHeight="1" x14ac:dyDescent="0.2">
      <c r="A57" s="57" t="s">
        <v>1063</v>
      </c>
      <c r="B57" s="45">
        <f>$B$5*1.8</f>
        <v>2562300</v>
      </c>
      <c r="C57" s="44">
        <f t="shared" si="2"/>
        <v>1858220</v>
      </c>
      <c r="D57" s="45">
        <f t="shared" si="0"/>
        <v>4420520</v>
      </c>
      <c r="E57" s="58">
        <f t="shared" si="1"/>
        <v>147351</v>
      </c>
      <c r="F57" s="315"/>
      <c r="G57" s="315"/>
      <c r="H57" s="315"/>
      <c r="I57" s="315"/>
      <c r="J57" s="315"/>
      <c r="K57" s="315"/>
      <c r="L57" s="315"/>
      <c r="M57" s="315"/>
    </row>
    <row r="58" spans="1:13" ht="19.5" customHeight="1" x14ac:dyDescent="0.2">
      <c r="A58" s="57" t="s">
        <v>1064</v>
      </c>
      <c r="B58" s="45">
        <f>$B$5*1.8</f>
        <v>2562300</v>
      </c>
      <c r="C58" s="44">
        <f t="shared" si="2"/>
        <v>1858220</v>
      </c>
      <c r="D58" s="45">
        <f t="shared" si="0"/>
        <v>4420520</v>
      </c>
      <c r="E58" s="58">
        <f t="shared" si="1"/>
        <v>147351</v>
      </c>
      <c r="F58" s="315"/>
      <c r="G58" s="315"/>
      <c r="H58" s="315"/>
      <c r="I58" s="315"/>
      <c r="J58" s="315"/>
      <c r="K58" s="315"/>
      <c r="L58" s="315"/>
      <c r="M58" s="315"/>
    </row>
    <row r="59" spans="1:13" ht="19.5" customHeight="1" x14ac:dyDescent="0.2">
      <c r="A59" s="57" t="s">
        <v>2425</v>
      </c>
      <c r="B59" s="45">
        <f>$B$5</f>
        <v>1423500</v>
      </c>
      <c r="C59" s="44">
        <f t="shared" si="2"/>
        <v>1032344</v>
      </c>
      <c r="D59" s="45">
        <f t="shared" si="0"/>
        <v>2455844</v>
      </c>
      <c r="E59" s="58">
        <f t="shared" si="1"/>
        <v>81861</v>
      </c>
      <c r="F59" s="315"/>
      <c r="G59" s="315"/>
      <c r="H59" s="315"/>
      <c r="I59" s="315"/>
      <c r="J59" s="315"/>
      <c r="K59" s="315"/>
      <c r="L59" s="315"/>
      <c r="M59" s="315"/>
    </row>
    <row r="60" spans="1:13" ht="19.5" customHeight="1" x14ac:dyDescent="0.2">
      <c r="A60" s="57" t="s">
        <v>3304</v>
      </c>
      <c r="B60" s="45">
        <f>$B$5</f>
        <v>1423500</v>
      </c>
      <c r="C60" s="44">
        <f t="shared" si="2"/>
        <v>1032344</v>
      </c>
      <c r="D60" s="45">
        <f t="shared" ref="D60" si="3">B60+C60</f>
        <v>2455844</v>
      </c>
      <c r="E60" s="58">
        <f t="shared" ref="E60" si="4">ROUND((D60/30),0)</f>
        <v>81861</v>
      </c>
      <c r="F60" s="315"/>
      <c r="G60" s="315"/>
      <c r="H60" s="315"/>
      <c r="I60" s="315"/>
      <c r="J60" s="315"/>
      <c r="K60" s="315"/>
      <c r="L60" s="315"/>
      <c r="M60" s="315"/>
    </row>
    <row r="61" spans="1:13" ht="19.5" customHeight="1" x14ac:dyDescent="0.2">
      <c r="A61" s="57" t="s">
        <v>3313</v>
      </c>
      <c r="B61" s="45">
        <f>$B$5</f>
        <v>1423500</v>
      </c>
      <c r="C61" s="44">
        <f t="shared" si="2"/>
        <v>1032344</v>
      </c>
      <c r="D61" s="45">
        <f t="shared" ref="D61" si="5">B61+C61</f>
        <v>2455844</v>
      </c>
      <c r="E61" s="58">
        <f t="shared" ref="E61" si="6">ROUND((D61/30),0)</f>
        <v>81861</v>
      </c>
      <c r="F61" s="315"/>
      <c r="G61" s="315"/>
      <c r="H61" s="315"/>
      <c r="I61" s="315"/>
      <c r="J61" s="315"/>
      <c r="K61" s="315"/>
      <c r="L61" s="315"/>
      <c r="M61" s="315"/>
    </row>
    <row r="62" spans="1:13" ht="19.5" customHeight="1" x14ac:dyDescent="0.2">
      <c r="A62" s="57" t="s">
        <v>1065</v>
      </c>
      <c r="B62" s="45">
        <f>$B$5*2.8</f>
        <v>3985799.9999999995</v>
      </c>
      <c r="C62" s="44">
        <f t="shared" ref="C62:C69" si="7">ROUND((B62*$C$27),0)</f>
        <v>2171132</v>
      </c>
      <c r="D62" s="45">
        <f t="shared" si="0"/>
        <v>6156932</v>
      </c>
      <c r="E62" s="58">
        <f t="shared" si="1"/>
        <v>205231</v>
      </c>
      <c r="F62" s="315">
        <f>47339.93*30</f>
        <v>1420197.9</v>
      </c>
      <c r="G62" s="315"/>
      <c r="H62" s="315"/>
      <c r="I62" s="315"/>
      <c r="J62" s="315"/>
      <c r="K62" s="315"/>
      <c r="L62" s="315"/>
      <c r="M62" s="315"/>
    </row>
    <row r="63" spans="1:13" ht="19.5" customHeight="1" x14ac:dyDescent="0.2">
      <c r="A63" s="89" t="s">
        <v>2485</v>
      </c>
      <c r="B63" s="90">
        <f>$B$5*3.9</f>
        <v>5551650</v>
      </c>
      <c r="C63" s="44">
        <f t="shared" si="7"/>
        <v>3024076</v>
      </c>
      <c r="D63" s="45">
        <f t="shared" si="0"/>
        <v>8575726</v>
      </c>
      <c r="E63" s="58">
        <f t="shared" si="1"/>
        <v>285858</v>
      </c>
      <c r="F63" s="315"/>
      <c r="G63" s="315"/>
      <c r="H63" s="315"/>
      <c r="I63" s="315"/>
      <c r="J63" s="315"/>
      <c r="K63" s="315"/>
      <c r="L63" s="315"/>
      <c r="M63" s="315"/>
    </row>
    <row r="64" spans="1:13" ht="19.5" customHeight="1" x14ac:dyDescent="0.2">
      <c r="A64" s="89" t="s">
        <v>2486</v>
      </c>
      <c r="B64" s="90">
        <f>$B$5*2.8</f>
        <v>3985799.9999999995</v>
      </c>
      <c r="C64" s="44">
        <f t="shared" si="7"/>
        <v>2171132</v>
      </c>
      <c r="D64" s="45">
        <f t="shared" si="0"/>
        <v>6156932</v>
      </c>
      <c r="E64" s="58">
        <f t="shared" si="1"/>
        <v>205231</v>
      </c>
      <c r="F64" s="315"/>
      <c r="G64" s="315"/>
      <c r="H64" s="315"/>
      <c r="I64" s="315"/>
      <c r="J64" s="315"/>
      <c r="K64" s="315"/>
      <c r="L64" s="315"/>
      <c r="M64" s="315"/>
    </row>
    <row r="65" spans="1:16" ht="19.5" customHeight="1" x14ac:dyDescent="0.2">
      <c r="A65" s="89" t="s">
        <v>2487</v>
      </c>
      <c r="B65" s="90">
        <f>$B$5*2.8</f>
        <v>3985799.9999999995</v>
      </c>
      <c r="C65" s="44">
        <f t="shared" si="7"/>
        <v>2171132</v>
      </c>
      <c r="D65" s="45">
        <f t="shared" si="0"/>
        <v>6156932</v>
      </c>
      <c r="E65" s="58">
        <f t="shared" si="1"/>
        <v>205231</v>
      </c>
      <c r="F65" s="315"/>
      <c r="G65" s="315"/>
      <c r="H65" s="315"/>
      <c r="I65" s="315"/>
      <c r="J65" s="315"/>
      <c r="K65" s="315"/>
      <c r="L65" s="315"/>
      <c r="M65" s="315"/>
      <c r="P65" s="21"/>
    </row>
    <row r="66" spans="1:16" ht="19.5" customHeight="1" x14ac:dyDescent="0.2">
      <c r="A66" s="89" t="s">
        <v>2488</v>
      </c>
      <c r="B66" s="90">
        <f>$B$5*6</f>
        <v>8541000</v>
      </c>
      <c r="C66" s="44">
        <f t="shared" si="7"/>
        <v>4652425</v>
      </c>
      <c r="D66" s="45">
        <f t="shared" si="0"/>
        <v>13193425</v>
      </c>
      <c r="E66" s="58">
        <f t="shared" si="1"/>
        <v>439781</v>
      </c>
      <c r="F66" s="315"/>
      <c r="G66" s="315"/>
      <c r="H66" s="315"/>
      <c r="I66" s="315"/>
      <c r="J66" s="315"/>
      <c r="K66" s="315"/>
      <c r="L66" s="315"/>
      <c r="M66" s="315"/>
    </row>
    <row r="67" spans="1:16" ht="19.5" customHeight="1" x14ac:dyDescent="0.2">
      <c r="A67" s="89" t="s">
        <v>2490</v>
      </c>
      <c r="B67" s="90">
        <f>+B5*2.5</f>
        <v>3558750</v>
      </c>
      <c r="C67" s="44">
        <f t="shared" si="7"/>
        <v>1938510</v>
      </c>
      <c r="D67" s="45">
        <f t="shared" si="0"/>
        <v>5497260</v>
      </c>
      <c r="E67" s="58">
        <f t="shared" si="1"/>
        <v>183242</v>
      </c>
      <c r="F67" s="315"/>
      <c r="G67" s="315"/>
      <c r="H67" s="315"/>
      <c r="I67" s="315"/>
      <c r="J67" s="315"/>
      <c r="K67" s="315"/>
      <c r="L67" s="315"/>
      <c r="M67" s="315"/>
    </row>
    <row r="68" spans="1:16" ht="19.5" customHeight="1" x14ac:dyDescent="0.2">
      <c r="A68" s="89" t="s">
        <v>2489</v>
      </c>
      <c r="B68" s="90">
        <f>+B5*3.9</f>
        <v>5551650</v>
      </c>
      <c r="C68" s="44">
        <f t="shared" si="7"/>
        <v>3024076</v>
      </c>
      <c r="D68" s="45">
        <f t="shared" si="0"/>
        <v>8575726</v>
      </c>
      <c r="E68" s="58">
        <f t="shared" si="1"/>
        <v>285858</v>
      </c>
      <c r="F68" s="315"/>
      <c r="G68" s="315"/>
      <c r="H68" s="315"/>
      <c r="I68" s="315"/>
      <c r="J68" s="315"/>
      <c r="K68" s="315"/>
      <c r="L68" s="315"/>
      <c r="M68" s="315"/>
    </row>
    <row r="69" spans="1:16" ht="19.5" customHeight="1" thickBot="1" x14ac:dyDescent="0.25">
      <c r="A69" s="60" t="s">
        <v>475</v>
      </c>
      <c r="B69" s="61">
        <f>$B$5*2.8</f>
        <v>3985799.9999999995</v>
      </c>
      <c r="C69" s="62">
        <f t="shared" si="7"/>
        <v>2171132</v>
      </c>
      <c r="D69" s="61">
        <f t="shared" si="0"/>
        <v>6156932</v>
      </c>
      <c r="E69" s="63">
        <f t="shared" si="1"/>
        <v>205231</v>
      </c>
      <c r="F69" s="315"/>
      <c r="G69" s="315"/>
      <c r="H69" s="315"/>
      <c r="I69" s="315"/>
      <c r="J69" s="315"/>
      <c r="K69" s="315"/>
      <c r="L69" s="315"/>
      <c r="M69" s="315"/>
    </row>
    <row r="70" spans="1:16" ht="19.5" customHeight="1" thickBot="1" x14ac:dyDescent="0.25">
      <c r="A70" s="60" t="s">
        <v>3148</v>
      </c>
      <c r="B70" s="61">
        <f>$B$5*1.8</f>
        <v>2562300</v>
      </c>
      <c r="C70" s="62">
        <f>ROUND((B70*$C$27),0)</f>
        <v>1395728</v>
      </c>
      <c r="D70" s="61">
        <f t="shared" si="0"/>
        <v>3958028</v>
      </c>
      <c r="E70" s="63">
        <f t="shared" si="1"/>
        <v>131934</v>
      </c>
    </row>
    <row r="71" spans="1:16" ht="19.5" customHeight="1" thickBot="1" x14ac:dyDescent="0.25">
      <c r="A71" s="60" t="s">
        <v>3326</v>
      </c>
      <c r="B71" s="61">
        <v>3806786</v>
      </c>
      <c r="C71" s="62">
        <f t="shared" ref="C71:C72" si="8">ROUND((B71*$C$27),0)</f>
        <v>2073620</v>
      </c>
      <c r="D71" s="61">
        <f t="shared" ref="D71:D72" si="9">B71+C71</f>
        <v>5880406</v>
      </c>
      <c r="E71" s="63">
        <f t="shared" ref="E71:E72" si="10">ROUND((D71/30),0)</f>
        <v>196014</v>
      </c>
    </row>
    <row r="72" spans="1:16" ht="19.5" customHeight="1" thickBot="1" x14ac:dyDescent="0.25">
      <c r="A72" s="60" t="s">
        <v>3327</v>
      </c>
      <c r="B72" s="61">
        <v>2685993</v>
      </c>
      <c r="C72" s="62">
        <f t="shared" si="8"/>
        <v>1463105</v>
      </c>
      <c r="D72" s="61">
        <f t="shared" si="9"/>
        <v>4149098</v>
      </c>
      <c r="E72" s="63">
        <f t="shared" si="10"/>
        <v>138303</v>
      </c>
    </row>
    <row r="73" spans="1:16" ht="19.5" customHeight="1" thickBot="1" x14ac:dyDescent="0.25">
      <c r="H73">
        <v>1423500</v>
      </c>
    </row>
    <row r="74" spans="1:16" ht="19.5" customHeight="1" thickBot="1" x14ac:dyDescent="0.35">
      <c r="A74" s="633" t="s">
        <v>3319</v>
      </c>
      <c r="B74" s="634"/>
      <c r="C74" s="634"/>
      <c r="D74" s="97"/>
    </row>
    <row r="75" spans="1:16" ht="19.5" customHeight="1" x14ac:dyDescent="0.25">
      <c r="A75" s="101" t="s">
        <v>3320</v>
      </c>
      <c r="B75" s="92"/>
      <c r="D75" s="93"/>
    </row>
    <row r="76" spans="1:16" ht="19.5" customHeight="1" x14ac:dyDescent="0.25">
      <c r="A76" s="91" t="s">
        <v>3321</v>
      </c>
      <c r="B76" s="92"/>
      <c r="D76" s="93"/>
    </row>
    <row r="77" spans="1:16" ht="19.5" customHeight="1" thickBot="1" x14ac:dyDescent="0.25">
      <c r="A77" s="94"/>
      <c r="B77" s="95"/>
      <c r="C77" s="95"/>
      <c r="D77" s="96"/>
    </row>
    <row r="84" spans="1:4" ht="19.5" customHeight="1" x14ac:dyDescent="0.2">
      <c r="A84" s="17"/>
      <c r="B84" s="17"/>
      <c r="C84" s="18"/>
      <c r="D84" s="17"/>
    </row>
    <row r="85" spans="1:4" ht="19.5" customHeight="1" x14ac:dyDescent="0.2">
      <c r="A85" s="17"/>
      <c r="B85" s="17"/>
      <c r="C85" s="18"/>
      <c r="D85" s="17"/>
    </row>
    <row r="86" spans="1:4" ht="19.5" customHeight="1" x14ac:dyDescent="0.2">
      <c r="A86" s="17"/>
      <c r="B86" s="17"/>
      <c r="C86" s="18"/>
      <c r="D86" s="17"/>
    </row>
    <row r="87" spans="1:4" ht="19.5" customHeight="1" x14ac:dyDescent="0.2">
      <c r="A87" s="17"/>
      <c r="B87" s="17"/>
      <c r="C87" s="18"/>
      <c r="D87" s="17"/>
    </row>
    <row r="88" spans="1:4" ht="19.5" customHeight="1" x14ac:dyDescent="0.2">
      <c r="A88" s="17"/>
      <c r="B88" s="17"/>
      <c r="C88" s="18"/>
      <c r="D88" s="17"/>
    </row>
    <row r="89" spans="1:4" ht="19.5" customHeight="1" x14ac:dyDescent="0.2">
      <c r="A89" s="17"/>
      <c r="B89" s="17"/>
      <c r="C89" s="18"/>
      <c r="D89" s="17"/>
    </row>
    <row r="90" spans="1:4" ht="19.5" customHeight="1" x14ac:dyDescent="0.2">
      <c r="A90" s="17"/>
      <c r="B90" s="17"/>
      <c r="C90" s="18"/>
      <c r="D90" s="17"/>
    </row>
    <row r="91" spans="1:4" ht="19.5" customHeight="1" x14ac:dyDescent="0.2">
      <c r="A91" s="17"/>
      <c r="B91" s="17"/>
      <c r="C91" s="18"/>
      <c r="D91" s="17"/>
    </row>
    <row r="92" spans="1:4" ht="19.5" customHeight="1" x14ac:dyDescent="0.2">
      <c r="A92" s="17"/>
      <c r="B92" s="17"/>
      <c r="C92" s="18"/>
      <c r="D92" s="17"/>
    </row>
    <row r="93" spans="1:4" ht="19.5" customHeight="1" x14ac:dyDescent="0.2">
      <c r="A93" s="17"/>
      <c r="B93" s="17"/>
      <c r="C93" s="18"/>
      <c r="D93" s="17"/>
    </row>
    <row r="94" spans="1:4" ht="19.5" customHeight="1" x14ac:dyDescent="0.2">
      <c r="A94" s="17"/>
      <c r="B94" s="17"/>
      <c r="C94" s="18"/>
      <c r="D94" s="17"/>
    </row>
    <row r="95" spans="1:4" ht="19.5" customHeight="1" x14ac:dyDescent="0.2">
      <c r="A95" s="17"/>
      <c r="B95" s="17"/>
      <c r="C95" s="18"/>
      <c r="D95" s="17"/>
    </row>
    <row r="96" spans="1:4" ht="19.5" customHeight="1" x14ac:dyDescent="0.2">
      <c r="A96" s="17"/>
      <c r="B96" s="17"/>
      <c r="C96" s="18"/>
      <c r="D96" s="17"/>
    </row>
    <row r="97" spans="1:4" ht="19.5" customHeight="1" x14ac:dyDescent="0.2">
      <c r="A97" s="17"/>
      <c r="B97" s="17"/>
      <c r="C97" s="18"/>
      <c r="D97" s="17"/>
    </row>
    <row r="98" spans="1:4" ht="19.5" customHeight="1" x14ac:dyDescent="0.2">
      <c r="A98" s="17"/>
      <c r="B98" s="17"/>
      <c r="C98" s="18"/>
      <c r="D98" s="17"/>
    </row>
    <row r="99" spans="1:4" ht="19.5" customHeight="1" x14ac:dyDescent="0.2">
      <c r="A99" s="17"/>
      <c r="B99" s="17"/>
      <c r="C99" s="18"/>
      <c r="D99" s="17"/>
    </row>
    <row r="100" spans="1:4" ht="19.5" customHeight="1" x14ac:dyDescent="0.2">
      <c r="A100" s="17"/>
      <c r="B100" s="17"/>
      <c r="C100" s="18"/>
      <c r="D100" s="17"/>
    </row>
    <row r="101" spans="1:4" ht="19.5" customHeight="1" x14ac:dyDescent="0.2">
      <c r="A101" s="17"/>
      <c r="B101" s="17"/>
      <c r="C101" s="18"/>
      <c r="D101" s="17"/>
    </row>
    <row r="102" spans="1:4" ht="19.5" customHeight="1" x14ac:dyDescent="0.2">
      <c r="A102" s="17"/>
      <c r="B102" s="17"/>
      <c r="C102" s="18"/>
      <c r="D102" s="17"/>
    </row>
    <row r="103" spans="1:4" ht="19.5" customHeight="1" x14ac:dyDescent="0.2">
      <c r="A103" s="17"/>
      <c r="B103" s="17"/>
      <c r="C103" s="18"/>
      <c r="D103" s="17"/>
    </row>
    <row r="104" spans="1:4" ht="19.5" customHeight="1" x14ac:dyDescent="0.2">
      <c r="A104" s="17"/>
      <c r="B104" s="17"/>
      <c r="C104" s="18"/>
      <c r="D104" s="17"/>
    </row>
    <row r="105" spans="1:4" ht="19.5" customHeight="1" x14ac:dyDescent="0.2">
      <c r="A105" s="17"/>
      <c r="B105" s="17"/>
      <c r="C105" s="18"/>
      <c r="D105" s="17"/>
    </row>
    <row r="106" spans="1:4" ht="19.5" customHeight="1" x14ac:dyDescent="0.2">
      <c r="A106" s="17"/>
      <c r="B106" s="17"/>
      <c r="C106" s="18"/>
      <c r="D106" s="17"/>
    </row>
    <row r="107" spans="1:4" ht="19.5" customHeight="1" x14ac:dyDescent="0.2">
      <c r="A107" s="17"/>
      <c r="B107" s="17"/>
      <c r="C107" s="18"/>
      <c r="D107" s="17"/>
    </row>
    <row r="108" spans="1:4" ht="19.5" customHeight="1" x14ac:dyDescent="0.2">
      <c r="A108" s="17"/>
      <c r="B108" s="17"/>
      <c r="C108" s="18"/>
      <c r="D108" s="17"/>
    </row>
    <row r="109" spans="1:4" ht="19.5" customHeight="1" x14ac:dyDescent="0.2">
      <c r="A109" s="17"/>
      <c r="B109" s="17"/>
      <c r="C109" s="18"/>
      <c r="D109" s="17"/>
    </row>
    <row r="110" spans="1:4" ht="19.5" customHeight="1" x14ac:dyDescent="0.2">
      <c r="A110" s="17"/>
      <c r="B110" s="17"/>
      <c r="C110" s="18"/>
      <c r="D110" s="17"/>
    </row>
    <row r="111" spans="1:4" ht="19.5" customHeight="1" x14ac:dyDescent="0.2">
      <c r="A111" s="17"/>
      <c r="B111" s="17"/>
      <c r="C111" s="18"/>
      <c r="D111" s="17"/>
    </row>
    <row r="112" spans="1:4" ht="19.5" customHeight="1" x14ac:dyDescent="0.2">
      <c r="A112" s="17"/>
      <c r="B112" s="17"/>
      <c r="C112" s="18"/>
      <c r="D112" s="17"/>
    </row>
    <row r="113" spans="1:4" ht="19.5" customHeight="1" x14ac:dyDescent="0.2">
      <c r="A113" s="17"/>
      <c r="B113" s="17"/>
      <c r="C113" s="18"/>
      <c r="D113" s="17"/>
    </row>
    <row r="114" spans="1:4" ht="19.5" customHeight="1" x14ac:dyDescent="0.2">
      <c r="A114" s="17"/>
      <c r="B114" s="17"/>
      <c r="C114" s="18"/>
      <c r="D114" s="17"/>
    </row>
    <row r="115" spans="1:4" ht="19.5" customHeight="1" x14ac:dyDescent="0.2">
      <c r="A115" s="17"/>
      <c r="B115" s="17"/>
      <c r="C115" s="18"/>
      <c r="D115" s="17"/>
    </row>
    <row r="116" spans="1:4" ht="19.5" customHeight="1" x14ac:dyDescent="0.2">
      <c r="A116" s="17"/>
      <c r="B116" s="17"/>
      <c r="C116" s="18"/>
      <c r="D116" s="17"/>
    </row>
    <row r="117" spans="1:4" ht="19.5" customHeight="1" x14ac:dyDescent="0.2">
      <c r="A117" s="17"/>
      <c r="B117" s="17"/>
      <c r="C117" s="18"/>
      <c r="D117" s="17"/>
    </row>
    <row r="118" spans="1:4" ht="19.5" customHeight="1" x14ac:dyDescent="0.2">
      <c r="A118" s="17"/>
      <c r="B118" s="17"/>
      <c r="C118" s="18"/>
      <c r="D118" s="17"/>
    </row>
    <row r="119" spans="1:4" ht="19.5" customHeight="1" x14ac:dyDescent="0.2">
      <c r="A119" s="17"/>
      <c r="B119" s="17"/>
      <c r="C119" s="18"/>
      <c r="D119" s="17"/>
    </row>
    <row r="120" spans="1:4" ht="19.5" customHeight="1" x14ac:dyDescent="0.2">
      <c r="A120" s="17"/>
      <c r="B120" s="17"/>
      <c r="C120" s="18"/>
      <c r="D120" s="17"/>
    </row>
    <row r="121" spans="1:4" ht="19.5" customHeight="1" x14ac:dyDescent="0.2">
      <c r="A121" s="17"/>
      <c r="B121" s="17"/>
      <c r="C121" s="18"/>
      <c r="D121" s="17"/>
    </row>
    <row r="122" spans="1:4" ht="19.5" customHeight="1" x14ac:dyDescent="0.2">
      <c r="A122" s="17"/>
      <c r="B122" s="17"/>
      <c r="C122" s="18"/>
      <c r="D122" s="17"/>
    </row>
    <row r="123" spans="1:4" ht="19.5" customHeight="1" x14ac:dyDescent="0.2">
      <c r="A123" s="17"/>
      <c r="B123" s="17"/>
      <c r="C123" s="18"/>
      <c r="D123" s="17"/>
    </row>
    <row r="124" spans="1:4" ht="19.5" customHeight="1" x14ac:dyDescent="0.2">
      <c r="A124" s="17"/>
      <c r="B124" s="17"/>
      <c r="C124" s="18"/>
      <c r="D124" s="17"/>
    </row>
    <row r="125" spans="1:4" ht="19.5" customHeight="1" x14ac:dyDescent="0.2">
      <c r="A125" s="17"/>
      <c r="B125" s="17"/>
      <c r="C125" s="18"/>
      <c r="D125" s="17"/>
    </row>
    <row r="126" spans="1:4" ht="19.5" customHeight="1" x14ac:dyDescent="0.2">
      <c r="A126" s="17"/>
      <c r="B126" s="17"/>
      <c r="C126" s="18"/>
      <c r="D126" s="17"/>
    </row>
    <row r="127" spans="1:4" ht="19.5" customHeight="1" x14ac:dyDescent="0.2">
      <c r="A127" s="17"/>
      <c r="B127" s="17"/>
      <c r="C127" s="18"/>
      <c r="D127" s="17"/>
    </row>
    <row r="128" spans="1:4" ht="19.5" customHeight="1" x14ac:dyDescent="0.2">
      <c r="A128" s="17"/>
      <c r="B128" s="17"/>
      <c r="C128" s="18"/>
      <c r="D128" s="17"/>
    </row>
    <row r="129" spans="1:4" ht="19.5" customHeight="1" x14ac:dyDescent="0.2">
      <c r="A129" s="17"/>
      <c r="B129" s="17"/>
      <c r="C129" s="18"/>
      <c r="D129" s="17"/>
    </row>
    <row r="130" spans="1:4" ht="19.5" customHeight="1" x14ac:dyDescent="0.2">
      <c r="A130" s="17"/>
      <c r="B130" s="17"/>
      <c r="C130" s="18"/>
      <c r="D130" s="17"/>
    </row>
    <row r="131" spans="1:4" ht="19.5" customHeight="1" x14ac:dyDescent="0.2">
      <c r="A131" s="17"/>
      <c r="B131" s="17"/>
      <c r="C131" s="18"/>
      <c r="D131" s="17"/>
    </row>
    <row r="132" spans="1:4" ht="19.5" customHeight="1" x14ac:dyDescent="0.2">
      <c r="A132" s="17"/>
      <c r="B132" s="17"/>
      <c r="C132" s="18"/>
      <c r="D132" s="17"/>
    </row>
    <row r="133" spans="1:4" ht="19.5" customHeight="1" x14ac:dyDescent="0.2">
      <c r="A133" s="17"/>
      <c r="B133" s="17"/>
      <c r="C133" s="18"/>
      <c r="D133" s="17"/>
    </row>
    <row r="134" spans="1:4" ht="19.5" customHeight="1" x14ac:dyDescent="0.2">
      <c r="A134" s="17"/>
      <c r="B134" s="17"/>
      <c r="C134" s="18"/>
      <c r="D134" s="17"/>
    </row>
    <row r="135" spans="1:4" ht="19.5" customHeight="1" x14ac:dyDescent="0.2">
      <c r="A135" s="17"/>
      <c r="B135" s="17"/>
      <c r="C135" s="18"/>
      <c r="D135" s="17"/>
    </row>
    <row r="136" spans="1:4" ht="19.5" customHeight="1" x14ac:dyDescent="0.2">
      <c r="A136" s="17"/>
      <c r="B136" s="17"/>
      <c r="C136" s="18"/>
      <c r="D136" s="17"/>
    </row>
    <row r="137" spans="1:4" ht="19.5" customHeight="1" x14ac:dyDescent="0.2">
      <c r="A137" s="17"/>
      <c r="B137" s="17"/>
      <c r="C137" s="18"/>
      <c r="D137" s="17"/>
    </row>
    <row r="138" spans="1:4" ht="19.5" customHeight="1" x14ac:dyDescent="0.2">
      <c r="A138" s="17"/>
      <c r="B138" s="17"/>
      <c r="C138" s="18"/>
      <c r="D138" s="17"/>
    </row>
    <row r="139" spans="1:4" ht="19.5" customHeight="1" x14ac:dyDescent="0.2">
      <c r="A139" s="17"/>
      <c r="B139" s="17"/>
      <c r="C139" s="18"/>
      <c r="D139" s="17"/>
    </row>
    <row r="140" spans="1:4" ht="19.5" customHeight="1" x14ac:dyDescent="0.2">
      <c r="A140" s="17"/>
      <c r="B140" s="17"/>
      <c r="C140" s="18"/>
      <c r="D140" s="17"/>
    </row>
    <row r="141" spans="1:4" ht="19.5" customHeight="1" x14ac:dyDescent="0.2">
      <c r="A141" s="17"/>
      <c r="B141" s="17"/>
      <c r="C141" s="18"/>
      <c r="D141" s="17"/>
    </row>
    <row r="142" spans="1:4" ht="19.5" customHeight="1" x14ac:dyDescent="0.2">
      <c r="A142" s="17"/>
      <c r="B142" s="17"/>
      <c r="C142" s="18"/>
      <c r="D142" s="17"/>
    </row>
    <row r="143" spans="1:4" ht="19.5" customHeight="1" x14ac:dyDescent="0.2">
      <c r="A143" s="17"/>
      <c r="B143" s="17"/>
      <c r="C143" s="18"/>
      <c r="D143" s="17"/>
    </row>
    <row r="144" spans="1:4" ht="19.5" customHeight="1" x14ac:dyDescent="0.2">
      <c r="A144" s="17"/>
      <c r="B144" s="17"/>
      <c r="C144" s="18"/>
      <c r="D144" s="17"/>
    </row>
    <row r="145" spans="1:4" ht="19.5" customHeight="1" x14ac:dyDescent="0.2">
      <c r="A145" s="17"/>
      <c r="B145" s="17"/>
      <c r="C145" s="18"/>
      <c r="D145" s="17"/>
    </row>
    <row r="146" spans="1:4" ht="19.5" customHeight="1" x14ac:dyDescent="0.2">
      <c r="A146" s="17"/>
      <c r="B146" s="17"/>
      <c r="C146" s="18"/>
      <c r="D146" s="17"/>
    </row>
    <row r="147" spans="1:4" ht="19.5" customHeight="1" x14ac:dyDescent="0.2">
      <c r="A147" s="17"/>
      <c r="B147" s="17"/>
      <c r="C147" s="18"/>
      <c r="D147" s="17"/>
    </row>
    <row r="148" spans="1:4" ht="19.5" customHeight="1" x14ac:dyDescent="0.2">
      <c r="A148" s="17"/>
      <c r="B148" s="17"/>
      <c r="C148" s="18"/>
      <c r="D148" s="17"/>
    </row>
    <row r="149" spans="1:4" ht="19.5" customHeight="1" x14ac:dyDescent="0.2">
      <c r="A149" s="17"/>
      <c r="B149" s="17"/>
      <c r="C149" s="18"/>
      <c r="D149" s="17"/>
    </row>
    <row r="150" spans="1:4" ht="19.5" customHeight="1" x14ac:dyDescent="0.2">
      <c r="A150" s="17"/>
      <c r="B150" s="17"/>
      <c r="C150" s="18"/>
      <c r="D150" s="17"/>
    </row>
    <row r="151" spans="1:4" ht="19.5" customHeight="1" x14ac:dyDescent="0.2">
      <c r="A151" s="17"/>
      <c r="B151" s="17"/>
      <c r="C151" s="18"/>
      <c r="D151" s="17"/>
    </row>
    <row r="152" spans="1:4" ht="19.5" customHeight="1" x14ac:dyDescent="0.2">
      <c r="A152" s="17"/>
      <c r="B152" s="17"/>
      <c r="C152" s="18"/>
      <c r="D152" s="17"/>
    </row>
    <row r="153" spans="1:4" ht="19.5" customHeight="1" x14ac:dyDescent="0.2">
      <c r="A153" s="17"/>
      <c r="B153" s="17"/>
      <c r="C153" s="18"/>
      <c r="D153" s="17"/>
    </row>
    <row r="154" spans="1:4" ht="19.5" customHeight="1" x14ac:dyDescent="0.2">
      <c r="A154" s="17"/>
      <c r="B154" s="17"/>
      <c r="C154" s="18"/>
      <c r="D154" s="17"/>
    </row>
    <row r="155" spans="1:4" ht="19.5" customHeight="1" x14ac:dyDescent="0.2">
      <c r="A155" s="17"/>
      <c r="B155" s="17"/>
      <c r="C155" s="18"/>
      <c r="D155" s="17"/>
    </row>
    <row r="156" spans="1:4" ht="19.5" customHeight="1" x14ac:dyDescent="0.2">
      <c r="A156" s="17"/>
      <c r="B156" s="17"/>
      <c r="C156" s="18"/>
      <c r="D156" s="17"/>
    </row>
    <row r="157" spans="1:4" ht="19.5" customHeight="1" x14ac:dyDescent="0.2">
      <c r="A157" s="17"/>
      <c r="B157" s="17"/>
      <c r="C157" s="18"/>
      <c r="D157" s="17"/>
    </row>
    <row r="158" spans="1:4" ht="19.5" customHeight="1" x14ac:dyDescent="0.2">
      <c r="A158" s="17"/>
      <c r="B158" s="17"/>
      <c r="C158" s="18"/>
      <c r="D158" s="17"/>
    </row>
    <row r="159" spans="1:4" ht="19.5" customHeight="1" x14ac:dyDescent="0.2">
      <c r="A159" s="17"/>
      <c r="B159" s="17"/>
      <c r="C159" s="18"/>
      <c r="D159" s="17"/>
    </row>
    <row r="160" spans="1:4" ht="19.5" customHeight="1" x14ac:dyDescent="0.2">
      <c r="A160" s="17"/>
      <c r="B160" s="17"/>
      <c r="C160" s="18"/>
      <c r="D160" s="17"/>
    </row>
    <row r="161" spans="1:4" ht="19.5" customHeight="1" x14ac:dyDescent="0.2">
      <c r="A161" s="17"/>
      <c r="B161" s="17"/>
      <c r="C161" s="18"/>
      <c r="D161" s="17"/>
    </row>
    <row r="162" spans="1:4" ht="19.5" customHeight="1" x14ac:dyDescent="0.2">
      <c r="A162" s="17"/>
      <c r="B162" s="17"/>
      <c r="C162" s="18"/>
      <c r="D162" s="17"/>
    </row>
    <row r="163" spans="1:4" ht="19.5" customHeight="1" x14ac:dyDescent="0.2">
      <c r="A163" s="17"/>
      <c r="B163" s="17"/>
      <c r="C163" s="18"/>
      <c r="D163" s="17"/>
    </row>
    <row r="164" spans="1:4" ht="19.5" customHeight="1" x14ac:dyDescent="0.2">
      <c r="A164" s="17"/>
      <c r="B164" s="17"/>
      <c r="C164" s="18"/>
      <c r="D164" s="17"/>
    </row>
    <row r="165" spans="1:4" ht="19.5" customHeight="1" x14ac:dyDescent="0.2">
      <c r="A165" s="17"/>
      <c r="B165" s="17"/>
      <c r="C165" s="18"/>
      <c r="D165" s="17"/>
    </row>
    <row r="166" spans="1:4" ht="19.5" customHeight="1" x14ac:dyDescent="0.2">
      <c r="A166" s="17"/>
      <c r="B166" s="17"/>
      <c r="C166" s="18"/>
      <c r="D166" s="17"/>
    </row>
    <row r="167" spans="1:4" ht="19.5" customHeight="1" x14ac:dyDescent="0.2">
      <c r="A167" s="17"/>
      <c r="B167" s="17"/>
      <c r="C167" s="18"/>
      <c r="D167" s="17"/>
    </row>
    <row r="168" spans="1:4" ht="19.5" customHeight="1" x14ac:dyDescent="0.2">
      <c r="A168" s="17"/>
      <c r="B168" s="17"/>
      <c r="C168" s="18"/>
      <c r="D168" s="17"/>
    </row>
    <row r="169" spans="1:4" ht="19.5" customHeight="1" x14ac:dyDescent="0.2">
      <c r="A169" s="17"/>
      <c r="B169" s="17"/>
      <c r="C169" s="18"/>
      <c r="D169" s="17"/>
    </row>
    <row r="170" spans="1:4" ht="19.5" customHeight="1" x14ac:dyDescent="0.2">
      <c r="A170" s="17"/>
      <c r="B170" s="17"/>
      <c r="C170" s="18"/>
      <c r="D170" s="17"/>
    </row>
    <row r="171" spans="1:4" ht="19.5" customHeight="1" x14ac:dyDescent="0.2">
      <c r="A171" s="17"/>
      <c r="B171" s="17"/>
      <c r="C171" s="18"/>
      <c r="D171" s="17"/>
    </row>
    <row r="172" spans="1:4" ht="19.5" customHeight="1" x14ac:dyDescent="0.2">
      <c r="A172" s="17"/>
      <c r="B172" s="17"/>
      <c r="C172" s="18"/>
      <c r="D172" s="17"/>
    </row>
    <row r="173" spans="1:4" ht="19.5" customHeight="1" x14ac:dyDescent="0.2">
      <c r="A173" s="17"/>
      <c r="B173" s="17"/>
      <c r="C173" s="18"/>
      <c r="D173" s="17"/>
    </row>
    <row r="174" spans="1:4" ht="19.5" customHeight="1" x14ac:dyDescent="0.2">
      <c r="A174" s="17"/>
      <c r="B174" s="17"/>
      <c r="C174" s="18"/>
      <c r="D174" s="17"/>
    </row>
    <row r="175" spans="1:4" ht="19.5" customHeight="1" x14ac:dyDescent="0.2">
      <c r="A175" s="17"/>
      <c r="B175" s="17"/>
      <c r="C175" s="18"/>
      <c r="D175" s="17"/>
    </row>
    <row r="176" spans="1:4" ht="19.5" customHeight="1" x14ac:dyDescent="0.2">
      <c r="A176" s="17"/>
      <c r="B176" s="17"/>
      <c r="C176" s="18"/>
      <c r="D176" s="17"/>
    </row>
    <row r="177" spans="1:4" ht="19.5" customHeight="1" x14ac:dyDescent="0.2">
      <c r="A177" s="17"/>
      <c r="B177" s="17"/>
      <c r="C177" s="18"/>
      <c r="D177" s="17"/>
    </row>
    <row r="178" spans="1:4" ht="19.5" customHeight="1" x14ac:dyDescent="0.2">
      <c r="A178" s="17"/>
      <c r="B178" s="17"/>
      <c r="C178" s="18"/>
      <c r="D178" s="17"/>
    </row>
    <row r="179" spans="1:4" ht="19.5" customHeight="1" x14ac:dyDescent="0.2">
      <c r="A179" s="17"/>
      <c r="B179" s="17"/>
      <c r="C179" s="18"/>
      <c r="D179" s="17"/>
    </row>
    <row r="180" spans="1:4" ht="19.5" customHeight="1" x14ac:dyDescent="0.2">
      <c r="A180" s="17"/>
      <c r="B180" s="17"/>
      <c r="C180" s="18"/>
      <c r="D180" s="17"/>
    </row>
    <row r="181" spans="1:4" ht="19.5" customHeight="1" x14ac:dyDescent="0.2">
      <c r="A181" s="17"/>
      <c r="B181" s="17"/>
      <c r="C181" s="18"/>
      <c r="D181" s="17"/>
    </row>
    <row r="182" spans="1:4" ht="19.5" customHeight="1" x14ac:dyDescent="0.2">
      <c r="A182" s="17"/>
      <c r="B182" s="17"/>
      <c r="C182" s="18"/>
      <c r="D182" s="17"/>
    </row>
    <row r="183" spans="1:4" ht="19.5" customHeight="1" x14ac:dyDescent="0.2">
      <c r="A183" s="17"/>
      <c r="B183" s="17"/>
      <c r="C183" s="18"/>
      <c r="D183" s="17"/>
    </row>
    <row r="184" spans="1:4" ht="19.5" customHeight="1" x14ac:dyDescent="0.2">
      <c r="A184" s="17"/>
      <c r="B184" s="17"/>
      <c r="C184" s="18"/>
      <c r="D184" s="17"/>
    </row>
    <row r="185" spans="1:4" ht="19.5" customHeight="1" x14ac:dyDescent="0.2">
      <c r="A185" s="17"/>
      <c r="B185" s="17"/>
      <c r="C185" s="18"/>
      <c r="D185" s="17"/>
    </row>
    <row r="186" spans="1:4" ht="19.5" customHeight="1" x14ac:dyDescent="0.2">
      <c r="A186" s="17"/>
      <c r="B186" s="17"/>
      <c r="C186" s="18"/>
      <c r="D186" s="17"/>
    </row>
    <row r="187" spans="1:4" ht="19.5" customHeight="1" x14ac:dyDescent="0.2">
      <c r="A187" s="17"/>
      <c r="B187" s="17"/>
      <c r="C187" s="18"/>
      <c r="D187" s="17"/>
    </row>
    <row r="188" spans="1:4" ht="19.5" customHeight="1" x14ac:dyDescent="0.2">
      <c r="A188" s="17"/>
      <c r="B188" s="17"/>
      <c r="C188" s="18"/>
      <c r="D188" s="17"/>
    </row>
    <row r="189" spans="1:4" ht="19.5" customHeight="1" x14ac:dyDescent="0.2">
      <c r="A189" s="17"/>
      <c r="B189" s="17"/>
      <c r="C189" s="18"/>
      <c r="D189" s="17"/>
    </row>
    <row r="190" spans="1:4" ht="19.5" customHeight="1" x14ac:dyDescent="0.2">
      <c r="A190" s="17"/>
      <c r="B190" s="17"/>
      <c r="C190" s="18"/>
      <c r="D190" s="17"/>
    </row>
    <row r="191" spans="1:4" ht="19.5" customHeight="1" x14ac:dyDescent="0.2">
      <c r="A191" s="17"/>
      <c r="B191" s="17"/>
      <c r="C191" s="18"/>
      <c r="D191" s="17"/>
    </row>
    <row r="192" spans="1:4" ht="19.5" customHeight="1" x14ac:dyDescent="0.2">
      <c r="A192" s="17"/>
      <c r="B192" s="17"/>
      <c r="C192" s="18"/>
      <c r="D192" s="17"/>
    </row>
    <row r="193" spans="1:4" ht="19.5" customHeight="1" x14ac:dyDescent="0.2">
      <c r="A193" s="17"/>
      <c r="B193" s="17"/>
      <c r="C193" s="18"/>
      <c r="D193" s="17"/>
    </row>
    <row r="194" spans="1:4" ht="19.5" customHeight="1" x14ac:dyDescent="0.2">
      <c r="A194" s="17"/>
      <c r="B194" s="17"/>
      <c r="C194" s="18"/>
      <c r="D194" s="17"/>
    </row>
    <row r="195" spans="1:4" ht="19.5" customHeight="1" x14ac:dyDescent="0.2">
      <c r="A195" s="17"/>
      <c r="B195" s="17"/>
      <c r="C195" s="18"/>
      <c r="D195" s="17"/>
    </row>
    <row r="196" spans="1:4" ht="19.5" customHeight="1" x14ac:dyDescent="0.2">
      <c r="A196" s="17"/>
      <c r="B196" s="17"/>
      <c r="C196" s="18"/>
      <c r="D196" s="17"/>
    </row>
    <row r="197" spans="1:4" ht="19.5" customHeight="1" x14ac:dyDescent="0.2">
      <c r="A197" s="17"/>
      <c r="B197" s="17"/>
      <c r="C197" s="18"/>
      <c r="D197" s="17"/>
    </row>
    <row r="198" spans="1:4" ht="19.5" customHeight="1" x14ac:dyDescent="0.2">
      <c r="A198" s="17"/>
      <c r="B198" s="17"/>
      <c r="C198" s="18"/>
      <c r="D198" s="17"/>
    </row>
    <row r="199" spans="1:4" ht="19.5" customHeight="1" x14ac:dyDescent="0.2">
      <c r="A199" s="17"/>
      <c r="B199" s="17"/>
      <c r="C199" s="18"/>
      <c r="D199" s="17"/>
    </row>
    <row r="200" spans="1:4" ht="19.5" customHeight="1" x14ac:dyDescent="0.2">
      <c r="A200" s="17"/>
      <c r="B200" s="17"/>
      <c r="C200" s="18"/>
      <c r="D200" s="17"/>
    </row>
    <row r="201" spans="1:4" ht="19.5" customHeight="1" x14ac:dyDescent="0.2">
      <c r="A201" s="17"/>
      <c r="B201" s="17"/>
      <c r="C201" s="18"/>
      <c r="D201" s="17"/>
    </row>
    <row r="202" spans="1:4" ht="19.5" customHeight="1" x14ac:dyDescent="0.2">
      <c r="A202" s="17"/>
      <c r="B202" s="17"/>
      <c r="C202" s="18"/>
      <c r="D202" s="17"/>
    </row>
    <row r="203" spans="1:4" ht="19.5" customHeight="1" x14ac:dyDescent="0.2">
      <c r="A203" s="17"/>
      <c r="B203" s="17"/>
      <c r="C203" s="18"/>
      <c r="D203" s="17"/>
    </row>
    <row r="204" spans="1:4" ht="19.5" customHeight="1" x14ac:dyDescent="0.2">
      <c r="A204" s="17"/>
      <c r="B204" s="17"/>
      <c r="C204" s="18"/>
      <c r="D204" s="17"/>
    </row>
    <row r="205" spans="1:4" ht="19.5" customHeight="1" x14ac:dyDescent="0.2">
      <c r="A205" s="17"/>
      <c r="B205" s="17"/>
      <c r="C205" s="18"/>
      <c r="D205" s="17"/>
    </row>
    <row r="206" spans="1:4" ht="19.5" customHeight="1" x14ac:dyDescent="0.2">
      <c r="A206" s="17"/>
      <c r="B206" s="17"/>
      <c r="C206" s="18"/>
      <c r="D206" s="17"/>
    </row>
    <row r="207" spans="1:4" ht="19.5" customHeight="1" x14ac:dyDescent="0.2">
      <c r="A207" s="17"/>
      <c r="B207" s="17"/>
      <c r="C207" s="18"/>
      <c r="D207" s="17"/>
    </row>
    <row r="208" spans="1:4" ht="19.5" customHeight="1" x14ac:dyDescent="0.2">
      <c r="A208" s="17"/>
      <c r="B208" s="17"/>
      <c r="C208" s="18"/>
      <c r="D208" s="17"/>
    </row>
    <row r="209" spans="1:4" ht="19.5" customHeight="1" x14ac:dyDescent="0.2">
      <c r="A209" s="17"/>
      <c r="B209" s="17"/>
      <c r="C209" s="18"/>
      <c r="D209" s="17"/>
    </row>
    <row r="210" spans="1:4" ht="19.5" customHeight="1" x14ac:dyDescent="0.2">
      <c r="A210" s="17"/>
      <c r="B210" s="17"/>
      <c r="C210" s="18"/>
      <c r="D210" s="17"/>
    </row>
    <row r="211" spans="1:4" ht="19.5" customHeight="1" x14ac:dyDescent="0.2">
      <c r="A211" s="17"/>
      <c r="B211" s="17"/>
      <c r="C211" s="18"/>
      <c r="D211" s="17"/>
    </row>
    <row r="212" spans="1:4" ht="19.5" customHeight="1" x14ac:dyDescent="0.2">
      <c r="A212" s="17"/>
      <c r="B212" s="17"/>
      <c r="C212" s="18"/>
      <c r="D212" s="17"/>
    </row>
    <row r="213" spans="1:4" ht="19.5" customHeight="1" x14ac:dyDescent="0.2">
      <c r="A213" s="17"/>
      <c r="B213" s="17"/>
      <c r="C213" s="18"/>
      <c r="D213" s="17"/>
    </row>
    <row r="214" spans="1:4" ht="19.5" customHeight="1" x14ac:dyDescent="0.2">
      <c r="A214" s="17"/>
      <c r="B214" s="17"/>
      <c r="C214" s="18"/>
      <c r="D214" s="17"/>
    </row>
    <row r="215" spans="1:4" ht="19.5" customHeight="1" x14ac:dyDescent="0.2">
      <c r="A215" s="17"/>
      <c r="B215" s="17"/>
      <c r="C215" s="18"/>
      <c r="D215" s="17"/>
    </row>
    <row r="216" spans="1:4" ht="19.5" customHeight="1" x14ac:dyDescent="0.2">
      <c r="A216" s="17"/>
      <c r="B216" s="17"/>
      <c r="C216" s="18"/>
      <c r="D216" s="17"/>
    </row>
    <row r="217" spans="1:4" ht="19.5" customHeight="1" x14ac:dyDescent="0.2">
      <c r="A217" s="17"/>
      <c r="B217" s="17"/>
      <c r="C217" s="18"/>
      <c r="D217" s="17"/>
    </row>
    <row r="218" spans="1:4" ht="19.5" customHeight="1" x14ac:dyDescent="0.2">
      <c r="A218" s="17"/>
      <c r="B218" s="17"/>
      <c r="C218" s="18"/>
      <c r="D218" s="17"/>
    </row>
    <row r="219" spans="1:4" ht="19.5" customHeight="1" x14ac:dyDescent="0.2">
      <c r="A219" s="17"/>
      <c r="B219" s="17"/>
      <c r="C219" s="18"/>
      <c r="D219" s="17"/>
    </row>
    <row r="220" spans="1:4" ht="19.5" customHeight="1" x14ac:dyDescent="0.2">
      <c r="A220" s="17"/>
      <c r="B220" s="17"/>
      <c r="C220" s="18"/>
      <c r="D220" s="17"/>
    </row>
    <row r="221" spans="1:4" ht="19.5" customHeight="1" x14ac:dyDescent="0.2">
      <c r="A221" s="17"/>
      <c r="B221" s="17"/>
      <c r="C221" s="18"/>
      <c r="D221" s="17"/>
    </row>
    <row r="222" spans="1:4" ht="19.5" customHeight="1" x14ac:dyDescent="0.2">
      <c r="A222" s="17"/>
      <c r="B222" s="17"/>
      <c r="C222" s="18"/>
      <c r="D222" s="17"/>
    </row>
    <row r="223" spans="1:4" ht="19.5" customHeight="1" x14ac:dyDescent="0.2">
      <c r="A223" s="17"/>
      <c r="B223" s="17"/>
      <c r="C223" s="18"/>
      <c r="D223" s="17"/>
    </row>
    <row r="224" spans="1:4" ht="19.5" customHeight="1" x14ac:dyDescent="0.2">
      <c r="A224" s="17"/>
      <c r="B224" s="17"/>
      <c r="C224" s="18"/>
      <c r="D224" s="17"/>
    </row>
    <row r="225" spans="1:4" ht="19.5" customHeight="1" x14ac:dyDescent="0.2">
      <c r="A225" s="17"/>
      <c r="B225" s="17"/>
      <c r="C225" s="18"/>
      <c r="D225" s="17"/>
    </row>
    <row r="226" spans="1:4" ht="19.5" customHeight="1" x14ac:dyDescent="0.2">
      <c r="A226" s="17"/>
      <c r="B226" s="17"/>
      <c r="C226" s="18"/>
      <c r="D226" s="17"/>
    </row>
    <row r="227" spans="1:4" ht="19.5" customHeight="1" x14ac:dyDescent="0.2">
      <c r="A227" s="17"/>
      <c r="B227" s="17"/>
      <c r="C227" s="18"/>
      <c r="D227" s="17"/>
    </row>
    <row r="228" spans="1:4" ht="19.5" customHeight="1" x14ac:dyDescent="0.2">
      <c r="A228" s="17"/>
      <c r="B228" s="17"/>
      <c r="C228" s="18"/>
      <c r="D228" s="17"/>
    </row>
    <row r="229" spans="1:4" ht="19.5" customHeight="1" x14ac:dyDescent="0.2">
      <c r="A229" s="17"/>
      <c r="B229" s="17"/>
      <c r="C229" s="18"/>
      <c r="D229" s="17"/>
    </row>
    <row r="230" spans="1:4" ht="19.5" customHeight="1" x14ac:dyDescent="0.2">
      <c r="A230" s="17"/>
      <c r="B230" s="17"/>
      <c r="C230" s="18"/>
      <c r="D230" s="17"/>
    </row>
    <row r="231" spans="1:4" ht="19.5" customHeight="1" x14ac:dyDescent="0.2">
      <c r="A231" s="17"/>
      <c r="B231" s="17"/>
      <c r="C231" s="18"/>
      <c r="D231" s="17"/>
    </row>
    <row r="232" spans="1:4" ht="19.5" customHeight="1" x14ac:dyDescent="0.2">
      <c r="A232" s="17"/>
      <c r="B232" s="17"/>
      <c r="C232" s="18"/>
      <c r="D232" s="17"/>
    </row>
    <row r="233" spans="1:4" ht="19.5" customHeight="1" x14ac:dyDescent="0.2">
      <c r="A233" s="17"/>
      <c r="B233" s="17"/>
      <c r="C233" s="18"/>
      <c r="D233" s="17"/>
    </row>
    <row r="234" spans="1:4" ht="19.5" customHeight="1" x14ac:dyDescent="0.2">
      <c r="A234" s="17"/>
      <c r="B234" s="17"/>
      <c r="C234" s="18"/>
      <c r="D234" s="17"/>
    </row>
    <row r="235" spans="1:4" ht="19.5" customHeight="1" x14ac:dyDescent="0.2">
      <c r="A235" s="17"/>
      <c r="B235" s="17"/>
      <c r="C235" s="18"/>
      <c r="D235" s="17"/>
    </row>
    <row r="236" spans="1:4" ht="19.5" customHeight="1" x14ac:dyDescent="0.2">
      <c r="A236" s="17"/>
      <c r="B236" s="17"/>
      <c r="C236" s="18"/>
      <c r="D236" s="17"/>
    </row>
    <row r="237" spans="1:4" ht="19.5" customHeight="1" x14ac:dyDescent="0.2">
      <c r="A237" s="17"/>
      <c r="B237" s="17"/>
      <c r="C237" s="18"/>
      <c r="D237" s="17"/>
    </row>
    <row r="238" spans="1:4" ht="19.5" customHeight="1" x14ac:dyDescent="0.2">
      <c r="A238" s="17"/>
      <c r="B238" s="17"/>
      <c r="C238" s="18"/>
      <c r="D238" s="17"/>
    </row>
    <row r="239" spans="1:4" ht="19.5" customHeight="1" x14ac:dyDescent="0.2">
      <c r="A239" s="17"/>
      <c r="B239" s="17"/>
      <c r="C239" s="18"/>
      <c r="D239" s="17"/>
    </row>
    <row r="240" spans="1:4" ht="19.5" customHeight="1" x14ac:dyDescent="0.2">
      <c r="A240" s="17"/>
      <c r="B240" s="17"/>
      <c r="C240" s="18"/>
      <c r="D240" s="17"/>
    </row>
    <row r="241" spans="1:4" ht="19.5" customHeight="1" x14ac:dyDescent="0.2">
      <c r="A241" s="17"/>
      <c r="B241" s="17"/>
      <c r="C241" s="18"/>
      <c r="D241" s="17"/>
    </row>
    <row r="242" spans="1:4" ht="19.5" customHeight="1" x14ac:dyDescent="0.2">
      <c r="A242" s="17"/>
      <c r="B242" s="17"/>
      <c r="C242" s="18"/>
      <c r="D242" s="17"/>
    </row>
    <row r="243" spans="1:4" ht="19.5" customHeight="1" x14ac:dyDescent="0.2">
      <c r="A243" s="17"/>
      <c r="B243" s="17"/>
      <c r="C243" s="18"/>
      <c r="D243" s="17"/>
    </row>
    <row r="244" spans="1:4" ht="19.5" customHeight="1" x14ac:dyDescent="0.2">
      <c r="A244" s="17"/>
      <c r="B244" s="17"/>
      <c r="C244" s="18"/>
      <c r="D244" s="17"/>
    </row>
    <row r="245" spans="1:4" ht="19.5" customHeight="1" x14ac:dyDescent="0.2">
      <c r="A245" s="17"/>
      <c r="B245" s="17"/>
      <c r="C245" s="18"/>
      <c r="D245" s="17"/>
    </row>
    <row r="246" spans="1:4" ht="19.5" customHeight="1" x14ac:dyDescent="0.2">
      <c r="A246" s="17"/>
      <c r="B246" s="17"/>
      <c r="C246" s="18"/>
      <c r="D246" s="17"/>
    </row>
    <row r="247" spans="1:4" ht="19.5" customHeight="1" x14ac:dyDescent="0.2">
      <c r="A247" s="17"/>
      <c r="B247" s="17"/>
      <c r="C247" s="18"/>
      <c r="D247" s="17"/>
    </row>
    <row r="248" spans="1:4" ht="19.5" customHeight="1" x14ac:dyDescent="0.2">
      <c r="A248" s="17"/>
      <c r="B248" s="17"/>
      <c r="C248" s="18"/>
      <c r="D248" s="17"/>
    </row>
    <row r="249" spans="1:4" ht="19.5" customHeight="1" x14ac:dyDescent="0.2">
      <c r="A249" s="17"/>
      <c r="B249" s="17"/>
      <c r="C249" s="18"/>
      <c r="D249" s="17"/>
    </row>
    <row r="250" spans="1:4" ht="19.5" customHeight="1" x14ac:dyDescent="0.2">
      <c r="A250" s="17"/>
      <c r="B250" s="17"/>
      <c r="C250" s="18"/>
      <c r="D250" s="17"/>
    </row>
    <row r="251" spans="1:4" ht="19.5" customHeight="1" x14ac:dyDescent="0.2">
      <c r="A251" s="17"/>
      <c r="B251" s="17"/>
      <c r="C251" s="18"/>
      <c r="D251" s="17"/>
    </row>
    <row r="252" spans="1:4" ht="19.5" customHeight="1" x14ac:dyDescent="0.2">
      <c r="A252" s="17"/>
      <c r="B252" s="17"/>
      <c r="C252" s="18"/>
      <c r="D252" s="17"/>
    </row>
    <row r="253" spans="1:4" ht="19.5" customHeight="1" x14ac:dyDescent="0.2">
      <c r="A253" s="17"/>
      <c r="B253" s="17"/>
      <c r="C253" s="18"/>
      <c r="D253" s="17"/>
    </row>
    <row r="254" spans="1:4" ht="19.5" customHeight="1" x14ac:dyDescent="0.2">
      <c r="A254" s="17"/>
      <c r="B254" s="17"/>
      <c r="C254" s="18"/>
      <c r="D254" s="17"/>
    </row>
    <row r="255" spans="1:4" ht="19.5" customHeight="1" x14ac:dyDescent="0.2">
      <c r="A255" s="17"/>
      <c r="B255" s="17"/>
      <c r="C255" s="18"/>
      <c r="D255" s="17"/>
    </row>
    <row r="256" spans="1:4" ht="19.5" customHeight="1" x14ac:dyDescent="0.2">
      <c r="A256" s="17"/>
      <c r="B256" s="17"/>
      <c r="C256" s="18"/>
      <c r="D256" s="17"/>
    </row>
    <row r="257" spans="1:4" ht="19.5" customHeight="1" x14ac:dyDescent="0.2">
      <c r="A257" s="17"/>
      <c r="B257" s="17"/>
      <c r="C257" s="18"/>
      <c r="D257" s="17"/>
    </row>
    <row r="258" spans="1:4" ht="19.5" customHeight="1" x14ac:dyDescent="0.2">
      <c r="A258" s="17"/>
      <c r="B258" s="17"/>
      <c r="C258" s="18"/>
      <c r="D258" s="17"/>
    </row>
    <row r="259" spans="1:4" ht="19.5" customHeight="1" x14ac:dyDescent="0.2">
      <c r="A259" s="17"/>
      <c r="B259" s="17"/>
      <c r="C259" s="18"/>
      <c r="D259" s="17"/>
    </row>
    <row r="260" spans="1:4" ht="19.5" customHeight="1" x14ac:dyDescent="0.2">
      <c r="A260" s="17"/>
      <c r="B260" s="17"/>
      <c r="C260" s="18"/>
      <c r="D260" s="17"/>
    </row>
    <row r="261" spans="1:4" ht="19.5" customHeight="1" x14ac:dyDescent="0.2">
      <c r="A261" s="17"/>
      <c r="B261" s="17"/>
      <c r="C261" s="18"/>
      <c r="D261" s="17"/>
    </row>
    <row r="262" spans="1:4" ht="19.5" customHeight="1" x14ac:dyDescent="0.2">
      <c r="A262" s="17"/>
      <c r="B262" s="17"/>
      <c r="C262" s="18"/>
      <c r="D262" s="17"/>
    </row>
    <row r="263" spans="1:4" ht="19.5" customHeight="1" x14ac:dyDescent="0.2">
      <c r="A263" s="17"/>
      <c r="B263" s="17"/>
      <c r="C263" s="18"/>
      <c r="D263" s="17"/>
    </row>
    <row r="264" spans="1:4" ht="19.5" customHeight="1" x14ac:dyDescent="0.2">
      <c r="A264" s="17"/>
      <c r="B264" s="17"/>
      <c r="C264" s="18"/>
      <c r="D264" s="17"/>
    </row>
    <row r="265" spans="1:4" ht="19.5" customHeight="1" x14ac:dyDescent="0.2">
      <c r="A265" s="17"/>
      <c r="B265" s="17"/>
      <c r="C265" s="18"/>
      <c r="D265" s="17"/>
    </row>
    <row r="266" spans="1:4" ht="19.5" customHeight="1" x14ac:dyDescent="0.2">
      <c r="A266" s="17"/>
      <c r="B266" s="17"/>
      <c r="C266" s="18"/>
      <c r="D266" s="17"/>
    </row>
    <row r="267" spans="1:4" ht="19.5" customHeight="1" x14ac:dyDescent="0.2">
      <c r="A267" s="17"/>
      <c r="B267" s="17"/>
      <c r="C267" s="18"/>
      <c r="D267" s="17"/>
    </row>
    <row r="268" spans="1:4" ht="19.5" customHeight="1" x14ac:dyDescent="0.2">
      <c r="A268" s="17"/>
      <c r="B268" s="17"/>
      <c r="C268" s="18"/>
      <c r="D268" s="17"/>
    </row>
    <row r="269" spans="1:4" ht="19.5" customHeight="1" x14ac:dyDescent="0.2">
      <c r="A269" s="17"/>
      <c r="B269" s="17"/>
      <c r="C269" s="18"/>
      <c r="D269" s="17"/>
    </row>
    <row r="270" spans="1:4" ht="19.5" customHeight="1" x14ac:dyDescent="0.2">
      <c r="A270" s="17"/>
      <c r="B270" s="17"/>
      <c r="C270" s="18"/>
      <c r="D270" s="17"/>
    </row>
    <row r="271" spans="1:4" ht="19.5" customHeight="1" x14ac:dyDescent="0.2">
      <c r="A271" s="17"/>
      <c r="B271" s="17"/>
      <c r="C271" s="18"/>
      <c r="D271" s="17"/>
    </row>
    <row r="272" spans="1:4" ht="19.5" customHeight="1" x14ac:dyDescent="0.2">
      <c r="A272" s="17"/>
      <c r="B272" s="17"/>
      <c r="C272" s="18"/>
      <c r="D272" s="17"/>
    </row>
    <row r="273" spans="1:4" ht="19.5" customHeight="1" x14ac:dyDescent="0.2">
      <c r="A273" s="17"/>
      <c r="B273" s="17"/>
      <c r="C273" s="18"/>
      <c r="D273" s="17"/>
    </row>
    <row r="274" spans="1:4" ht="19.5" customHeight="1" x14ac:dyDescent="0.2">
      <c r="A274" s="17"/>
      <c r="B274" s="17"/>
      <c r="C274" s="18"/>
      <c r="D274" s="17"/>
    </row>
    <row r="275" spans="1:4" ht="19.5" customHeight="1" x14ac:dyDescent="0.2">
      <c r="A275" s="17"/>
      <c r="B275" s="17"/>
      <c r="C275" s="18"/>
      <c r="D275" s="17"/>
    </row>
    <row r="276" spans="1:4" ht="19.5" customHeight="1" x14ac:dyDescent="0.2">
      <c r="A276" s="17"/>
      <c r="B276" s="17"/>
      <c r="C276" s="18"/>
      <c r="D276" s="17"/>
    </row>
    <row r="277" spans="1:4" ht="19.5" customHeight="1" x14ac:dyDescent="0.2">
      <c r="A277" s="17"/>
      <c r="B277" s="17"/>
      <c r="C277" s="18"/>
      <c r="D277" s="17"/>
    </row>
    <row r="278" spans="1:4" ht="19.5" customHeight="1" x14ac:dyDescent="0.2">
      <c r="A278" s="17"/>
      <c r="B278" s="17"/>
      <c r="C278" s="18"/>
      <c r="D278" s="17"/>
    </row>
    <row r="279" spans="1:4" ht="19.5" customHeight="1" x14ac:dyDescent="0.2">
      <c r="A279" s="17"/>
      <c r="B279" s="17"/>
      <c r="C279" s="18"/>
      <c r="D279" s="17"/>
    </row>
    <row r="280" spans="1:4" ht="19.5" customHeight="1" x14ac:dyDescent="0.2">
      <c r="A280" s="17"/>
      <c r="B280" s="17"/>
      <c r="C280" s="18"/>
      <c r="D280" s="17"/>
    </row>
    <row r="281" spans="1:4" ht="19.5" customHeight="1" x14ac:dyDescent="0.2">
      <c r="A281" s="17"/>
      <c r="B281" s="17"/>
      <c r="C281" s="18"/>
      <c r="D281" s="17"/>
    </row>
    <row r="282" spans="1:4" ht="19.5" customHeight="1" x14ac:dyDescent="0.2">
      <c r="A282" s="17"/>
      <c r="B282" s="17"/>
      <c r="C282" s="18"/>
      <c r="D282" s="17"/>
    </row>
    <row r="283" spans="1:4" ht="19.5" customHeight="1" x14ac:dyDescent="0.2">
      <c r="A283" s="17"/>
      <c r="B283" s="17"/>
      <c r="C283" s="18"/>
      <c r="D283" s="17"/>
    </row>
    <row r="284" spans="1:4" ht="19.5" customHeight="1" x14ac:dyDescent="0.2">
      <c r="A284" s="17"/>
      <c r="B284" s="17"/>
      <c r="C284" s="18"/>
      <c r="D284" s="17"/>
    </row>
    <row r="285" spans="1:4" ht="19.5" customHeight="1" x14ac:dyDescent="0.2">
      <c r="A285" s="17"/>
      <c r="B285" s="17"/>
      <c r="C285" s="18"/>
      <c r="D285" s="17"/>
    </row>
    <row r="286" spans="1:4" ht="19.5" customHeight="1" x14ac:dyDescent="0.2">
      <c r="A286" s="17"/>
      <c r="B286" s="17"/>
      <c r="C286" s="18"/>
      <c r="D286" s="17"/>
    </row>
    <row r="287" spans="1:4" ht="19.5" customHeight="1" x14ac:dyDescent="0.2">
      <c r="A287" s="17"/>
      <c r="B287" s="17"/>
      <c r="C287" s="18"/>
      <c r="D287" s="17"/>
    </row>
    <row r="288" spans="1:4" ht="19.5" customHeight="1" x14ac:dyDescent="0.2">
      <c r="A288" s="17"/>
      <c r="B288" s="17"/>
      <c r="C288" s="18"/>
      <c r="D288" s="17"/>
    </row>
    <row r="289" spans="1:4" ht="19.5" customHeight="1" x14ac:dyDescent="0.2">
      <c r="A289" s="17"/>
      <c r="B289" s="17"/>
      <c r="C289" s="18"/>
      <c r="D289" s="17"/>
    </row>
    <row r="290" spans="1:4" ht="19.5" customHeight="1" x14ac:dyDescent="0.2">
      <c r="A290" s="17"/>
      <c r="B290" s="17"/>
      <c r="C290" s="18"/>
      <c r="D290" s="17"/>
    </row>
    <row r="291" spans="1:4" ht="19.5" customHeight="1" x14ac:dyDescent="0.2">
      <c r="A291" s="17"/>
      <c r="B291" s="17"/>
      <c r="C291" s="18"/>
      <c r="D291" s="17"/>
    </row>
    <row r="292" spans="1:4" ht="19.5" customHeight="1" x14ac:dyDescent="0.2">
      <c r="A292" s="17"/>
      <c r="B292" s="17"/>
      <c r="C292" s="18"/>
      <c r="D292" s="17"/>
    </row>
    <row r="293" spans="1:4" ht="19.5" customHeight="1" x14ac:dyDescent="0.2">
      <c r="A293" s="17"/>
      <c r="B293" s="17"/>
      <c r="C293" s="18"/>
      <c r="D293" s="17"/>
    </row>
    <row r="294" spans="1:4" ht="19.5" customHeight="1" x14ac:dyDescent="0.2">
      <c r="A294" s="17"/>
      <c r="B294" s="17"/>
      <c r="C294" s="18"/>
      <c r="D294" s="17"/>
    </row>
    <row r="295" spans="1:4" ht="19.5" customHeight="1" x14ac:dyDescent="0.2">
      <c r="A295" s="17"/>
      <c r="B295" s="17"/>
      <c r="C295" s="18"/>
      <c r="D295" s="17"/>
    </row>
    <row r="296" spans="1:4" ht="19.5" customHeight="1" x14ac:dyDescent="0.2">
      <c r="A296" s="17"/>
      <c r="B296" s="17"/>
      <c r="C296" s="18"/>
      <c r="D296" s="17"/>
    </row>
    <row r="297" spans="1:4" ht="19.5" customHeight="1" x14ac:dyDescent="0.2">
      <c r="A297" s="17"/>
      <c r="B297" s="17"/>
      <c r="C297" s="18"/>
      <c r="D297" s="17"/>
    </row>
    <row r="298" spans="1:4" ht="19.5" customHeight="1" x14ac:dyDescent="0.2">
      <c r="A298" s="17"/>
      <c r="B298" s="17"/>
      <c r="C298" s="18"/>
      <c r="D298" s="17"/>
    </row>
    <row r="299" spans="1:4" ht="19.5" customHeight="1" x14ac:dyDescent="0.2">
      <c r="A299" s="17"/>
      <c r="B299" s="17"/>
      <c r="C299" s="18"/>
      <c r="D299" s="17"/>
    </row>
    <row r="300" spans="1:4" ht="19.5" customHeight="1" x14ac:dyDescent="0.2">
      <c r="A300" s="17"/>
      <c r="B300" s="17"/>
      <c r="C300" s="18"/>
      <c r="D300" s="17"/>
    </row>
    <row r="301" spans="1:4" ht="19.5" customHeight="1" x14ac:dyDescent="0.2">
      <c r="A301" s="17"/>
      <c r="B301" s="17"/>
      <c r="C301" s="18"/>
      <c r="D301" s="17"/>
    </row>
    <row r="302" spans="1:4" ht="19.5" customHeight="1" x14ac:dyDescent="0.2">
      <c r="A302" s="17"/>
      <c r="B302" s="17"/>
      <c r="C302" s="18"/>
      <c r="D302" s="17"/>
    </row>
    <row r="303" spans="1:4" ht="19.5" customHeight="1" x14ac:dyDescent="0.2">
      <c r="A303" s="17"/>
      <c r="B303" s="17"/>
      <c r="C303" s="18"/>
      <c r="D303" s="17"/>
    </row>
    <row r="304" spans="1:4" ht="19.5" customHeight="1" x14ac:dyDescent="0.2">
      <c r="A304" s="17"/>
      <c r="B304" s="17"/>
      <c r="C304" s="18"/>
      <c r="D304" s="17"/>
    </row>
    <row r="305" spans="1:4" ht="19.5" customHeight="1" x14ac:dyDescent="0.2">
      <c r="A305" s="17"/>
      <c r="B305" s="17"/>
      <c r="C305" s="18"/>
      <c r="D305" s="17"/>
    </row>
    <row r="306" spans="1:4" ht="19.5" customHeight="1" x14ac:dyDescent="0.2">
      <c r="A306" s="17"/>
      <c r="B306" s="17"/>
      <c r="C306" s="18"/>
      <c r="D306" s="17"/>
    </row>
    <row r="307" spans="1:4" ht="19.5" customHeight="1" x14ac:dyDescent="0.2">
      <c r="A307" s="17"/>
      <c r="B307" s="17"/>
      <c r="C307" s="18"/>
      <c r="D307" s="17"/>
    </row>
    <row r="308" spans="1:4" ht="19.5" customHeight="1" x14ac:dyDescent="0.2">
      <c r="A308" s="17"/>
      <c r="B308" s="17"/>
      <c r="C308" s="18"/>
      <c r="D308" s="17"/>
    </row>
    <row r="309" spans="1:4" ht="19.5" customHeight="1" x14ac:dyDescent="0.2">
      <c r="A309" s="17"/>
      <c r="B309" s="17"/>
      <c r="C309" s="18"/>
      <c r="D309" s="17"/>
    </row>
    <row r="310" spans="1:4" ht="19.5" customHeight="1" x14ac:dyDescent="0.2">
      <c r="A310" s="17"/>
      <c r="B310" s="17"/>
      <c r="C310" s="18"/>
      <c r="D310" s="17"/>
    </row>
    <row r="311" spans="1:4" ht="19.5" customHeight="1" x14ac:dyDescent="0.2">
      <c r="A311" s="17"/>
      <c r="B311" s="17"/>
      <c r="C311" s="18"/>
      <c r="D311" s="17"/>
    </row>
    <row r="312" spans="1:4" ht="19.5" customHeight="1" x14ac:dyDescent="0.2">
      <c r="A312" s="17"/>
      <c r="B312" s="17"/>
      <c r="C312" s="18"/>
      <c r="D312" s="17"/>
    </row>
    <row r="313" spans="1:4" ht="19.5" customHeight="1" x14ac:dyDescent="0.2">
      <c r="A313" s="17"/>
      <c r="B313" s="17"/>
      <c r="C313" s="18"/>
      <c r="D313" s="17"/>
    </row>
    <row r="314" spans="1:4" ht="19.5" customHeight="1" x14ac:dyDescent="0.2">
      <c r="A314" s="17"/>
      <c r="B314" s="17"/>
      <c r="C314" s="18"/>
      <c r="D314" s="17"/>
    </row>
    <row r="315" spans="1:4" ht="19.5" customHeight="1" x14ac:dyDescent="0.2">
      <c r="A315" s="17"/>
      <c r="B315" s="17"/>
      <c r="C315" s="18"/>
      <c r="D315" s="17"/>
    </row>
    <row r="316" spans="1:4" ht="19.5" customHeight="1" x14ac:dyDescent="0.2">
      <c r="A316" s="17"/>
      <c r="B316" s="17"/>
      <c r="C316" s="18"/>
      <c r="D316" s="17"/>
    </row>
    <row r="317" spans="1:4" ht="19.5" customHeight="1" x14ac:dyDescent="0.2">
      <c r="A317" s="17"/>
      <c r="B317" s="17"/>
      <c r="C317" s="18"/>
      <c r="D317" s="17"/>
    </row>
    <row r="318" spans="1:4" ht="19.5" customHeight="1" x14ac:dyDescent="0.2">
      <c r="A318" s="17"/>
      <c r="B318" s="17"/>
      <c r="C318" s="18"/>
      <c r="D318" s="17"/>
    </row>
    <row r="319" spans="1:4" ht="19.5" customHeight="1" x14ac:dyDescent="0.2">
      <c r="A319" s="17"/>
      <c r="B319" s="17"/>
      <c r="C319" s="18"/>
      <c r="D319" s="17"/>
    </row>
    <row r="320" spans="1:4" ht="19.5" customHeight="1" x14ac:dyDescent="0.2">
      <c r="A320" s="17"/>
      <c r="B320" s="17"/>
      <c r="C320" s="18"/>
      <c r="D320" s="17"/>
    </row>
    <row r="321" spans="1:4" ht="19.5" customHeight="1" x14ac:dyDescent="0.2">
      <c r="A321" s="17"/>
      <c r="B321" s="17"/>
      <c r="C321" s="18"/>
      <c r="D321" s="17"/>
    </row>
    <row r="322" spans="1:4" ht="19.5" customHeight="1" x14ac:dyDescent="0.2">
      <c r="A322" s="17"/>
      <c r="B322" s="17"/>
      <c r="C322" s="18"/>
      <c r="D322" s="17"/>
    </row>
    <row r="323" spans="1:4" ht="19.5" customHeight="1" x14ac:dyDescent="0.2">
      <c r="A323" s="17"/>
      <c r="B323" s="17"/>
      <c r="C323" s="18"/>
      <c r="D323" s="17"/>
    </row>
    <row r="324" spans="1:4" ht="19.5" customHeight="1" x14ac:dyDescent="0.2">
      <c r="A324" s="17"/>
      <c r="B324" s="17"/>
      <c r="C324" s="18"/>
      <c r="D324" s="17"/>
    </row>
    <row r="325" spans="1:4" ht="19.5" customHeight="1" x14ac:dyDescent="0.2">
      <c r="A325" s="17"/>
      <c r="B325" s="17"/>
      <c r="C325" s="18"/>
      <c r="D325" s="17"/>
    </row>
    <row r="326" spans="1:4" ht="19.5" customHeight="1" x14ac:dyDescent="0.2">
      <c r="A326" s="17"/>
      <c r="B326" s="17"/>
      <c r="C326" s="18"/>
      <c r="D326" s="17"/>
    </row>
    <row r="327" spans="1:4" ht="19.5" customHeight="1" x14ac:dyDescent="0.2">
      <c r="A327" s="17"/>
      <c r="B327" s="17"/>
      <c r="C327" s="18"/>
      <c r="D327" s="17"/>
    </row>
    <row r="328" spans="1:4" ht="19.5" customHeight="1" x14ac:dyDescent="0.2">
      <c r="A328" s="17"/>
      <c r="B328" s="17"/>
      <c r="C328" s="18"/>
      <c r="D328" s="17"/>
    </row>
    <row r="329" spans="1:4" ht="19.5" customHeight="1" x14ac:dyDescent="0.2">
      <c r="A329" s="17"/>
      <c r="B329" s="17"/>
      <c r="C329" s="18"/>
      <c r="D329" s="17"/>
    </row>
    <row r="330" spans="1:4" ht="19.5" customHeight="1" x14ac:dyDescent="0.2">
      <c r="A330" s="17"/>
      <c r="B330" s="17"/>
      <c r="C330" s="18"/>
      <c r="D330" s="17"/>
    </row>
    <row r="331" spans="1:4" ht="19.5" customHeight="1" x14ac:dyDescent="0.2">
      <c r="A331" s="17"/>
      <c r="B331" s="17"/>
      <c r="C331" s="18"/>
      <c r="D331" s="17"/>
    </row>
    <row r="332" spans="1:4" ht="19.5" customHeight="1" x14ac:dyDescent="0.2">
      <c r="A332" s="17"/>
      <c r="B332" s="17"/>
      <c r="C332" s="18"/>
      <c r="D332" s="17"/>
    </row>
    <row r="333" spans="1:4" ht="19.5" customHeight="1" x14ac:dyDescent="0.2">
      <c r="A333" s="17"/>
      <c r="B333" s="17"/>
      <c r="C333" s="18"/>
      <c r="D333" s="17"/>
    </row>
    <row r="334" spans="1:4" ht="19.5" customHeight="1" x14ac:dyDescent="0.2">
      <c r="A334" s="17"/>
      <c r="B334" s="17"/>
      <c r="C334" s="18"/>
      <c r="D334" s="17"/>
    </row>
    <row r="335" spans="1:4" ht="19.5" customHeight="1" x14ac:dyDescent="0.2">
      <c r="A335" s="17"/>
      <c r="B335" s="17"/>
      <c r="C335" s="18"/>
      <c r="D335" s="17"/>
    </row>
    <row r="336" spans="1:4" ht="19.5" customHeight="1" x14ac:dyDescent="0.2">
      <c r="A336" s="17"/>
      <c r="B336" s="17"/>
      <c r="C336" s="18"/>
      <c r="D336" s="17"/>
    </row>
    <row r="337" spans="1:4" ht="19.5" customHeight="1" x14ac:dyDescent="0.2">
      <c r="A337" s="17"/>
      <c r="B337" s="17"/>
      <c r="C337" s="18"/>
      <c r="D337" s="17"/>
    </row>
    <row r="338" spans="1:4" ht="19.5" customHeight="1" x14ac:dyDescent="0.2">
      <c r="A338" s="17"/>
      <c r="B338" s="17"/>
      <c r="C338" s="18"/>
      <c r="D338" s="17"/>
    </row>
    <row r="339" spans="1:4" ht="19.5" customHeight="1" x14ac:dyDescent="0.2">
      <c r="A339" s="17"/>
      <c r="B339" s="17"/>
      <c r="C339" s="18"/>
      <c r="D339" s="17"/>
    </row>
    <row r="340" spans="1:4" ht="19.5" customHeight="1" x14ac:dyDescent="0.2">
      <c r="A340" s="17"/>
      <c r="B340" s="17"/>
      <c r="C340" s="18"/>
      <c r="D340" s="17"/>
    </row>
    <row r="341" spans="1:4" ht="19.5" customHeight="1" x14ac:dyDescent="0.2">
      <c r="A341" s="17"/>
      <c r="B341" s="17"/>
      <c r="C341" s="18"/>
      <c r="D341" s="17"/>
    </row>
    <row r="342" spans="1:4" ht="19.5" customHeight="1" x14ac:dyDescent="0.2">
      <c r="A342" s="17"/>
      <c r="B342" s="17"/>
      <c r="C342" s="18"/>
      <c r="D342" s="17"/>
    </row>
    <row r="343" spans="1:4" ht="19.5" customHeight="1" x14ac:dyDescent="0.2">
      <c r="A343" s="17"/>
      <c r="B343" s="17"/>
      <c r="C343" s="18"/>
      <c r="D343" s="17"/>
    </row>
    <row r="344" spans="1:4" ht="19.5" customHeight="1" x14ac:dyDescent="0.2">
      <c r="A344" s="17"/>
      <c r="B344" s="17"/>
      <c r="C344" s="18"/>
      <c r="D344" s="17"/>
    </row>
    <row r="345" spans="1:4" ht="19.5" customHeight="1" x14ac:dyDescent="0.2">
      <c r="A345" s="17"/>
      <c r="B345" s="17"/>
      <c r="C345" s="18"/>
      <c r="D345" s="17"/>
    </row>
    <row r="346" spans="1:4" ht="19.5" customHeight="1" x14ac:dyDescent="0.2">
      <c r="A346" s="17"/>
      <c r="B346" s="17"/>
      <c r="C346" s="18"/>
      <c r="D346" s="17"/>
    </row>
    <row r="347" spans="1:4" ht="19.5" customHeight="1" x14ac:dyDescent="0.2">
      <c r="A347" s="17"/>
      <c r="B347" s="17"/>
      <c r="C347" s="18"/>
      <c r="D347" s="17"/>
    </row>
    <row r="348" spans="1:4" ht="19.5" customHeight="1" x14ac:dyDescent="0.2">
      <c r="A348" s="17"/>
      <c r="B348" s="17"/>
      <c r="C348" s="18"/>
      <c r="D348" s="17"/>
    </row>
    <row r="349" spans="1:4" ht="19.5" customHeight="1" x14ac:dyDescent="0.2">
      <c r="A349" s="17"/>
      <c r="B349" s="17"/>
      <c r="C349" s="18"/>
      <c r="D349" s="17"/>
    </row>
    <row r="350" spans="1:4" ht="19.5" customHeight="1" x14ac:dyDescent="0.2">
      <c r="A350" s="17"/>
      <c r="B350" s="17"/>
      <c r="C350" s="18"/>
      <c r="D350" s="17"/>
    </row>
    <row r="351" spans="1:4" ht="19.5" customHeight="1" x14ac:dyDescent="0.2">
      <c r="A351" s="17"/>
      <c r="B351" s="17"/>
      <c r="C351" s="18"/>
      <c r="D351" s="17"/>
    </row>
    <row r="352" spans="1:4" ht="19.5" customHeight="1" x14ac:dyDescent="0.2">
      <c r="A352" s="17"/>
      <c r="B352" s="17"/>
      <c r="C352" s="18"/>
      <c r="D352" s="17"/>
    </row>
    <row r="353" spans="1:4" ht="19.5" customHeight="1" x14ac:dyDescent="0.2">
      <c r="A353" s="17"/>
      <c r="B353" s="17"/>
      <c r="C353" s="18"/>
      <c r="D353" s="17"/>
    </row>
    <row r="354" spans="1:4" ht="19.5" customHeight="1" x14ac:dyDescent="0.2">
      <c r="A354" s="17"/>
      <c r="B354" s="17"/>
      <c r="C354" s="18"/>
      <c r="D354" s="17"/>
    </row>
    <row r="355" spans="1:4" ht="19.5" customHeight="1" x14ac:dyDescent="0.2">
      <c r="A355" s="17"/>
      <c r="B355" s="17"/>
      <c r="C355" s="18"/>
      <c r="D355" s="17"/>
    </row>
    <row r="356" spans="1:4" ht="19.5" customHeight="1" x14ac:dyDescent="0.2">
      <c r="A356" s="17"/>
      <c r="B356" s="17"/>
      <c r="C356" s="18"/>
      <c r="D356" s="17"/>
    </row>
    <row r="357" spans="1:4" ht="19.5" customHeight="1" x14ac:dyDescent="0.2">
      <c r="A357" s="17"/>
      <c r="B357" s="17"/>
      <c r="C357" s="18"/>
      <c r="D357" s="17"/>
    </row>
    <row r="358" spans="1:4" ht="19.5" customHeight="1" x14ac:dyDescent="0.2">
      <c r="A358" s="17"/>
      <c r="B358" s="17"/>
      <c r="C358" s="18"/>
      <c r="D358" s="17"/>
    </row>
    <row r="359" spans="1:4" ht="19.5" customHeight="1" x14ac:dyDescent="0.2">
      <c r="A359" s="17"/>
      <c r="B359" s="17"/>
      <c r="C359" s="18"/>
      <c r="D359" s="17"/>
    </row>
    <row r="360" spans="1:4" ht="19.5" customHeight="1" x14ac:dyDescent="0.2">
      <c r="A360" s="17"/>
      <c r="B360" s="17"/>
      <c r="C360" s="18"/>
      <c r="D360" s="17"/>
    </row>
    <row r="361" spans="1:4" ht="19.5" customHeight="1" x14ac:dyDescent="0.2">
      <c r="A361" s="17"/>
      <c r="B361" s="17"/>
      <c r="C361" s="18"/>
      <c r="D361" s="17"/>
    </row>
    <row r="362" spans="1:4" ht="19.5" customHeight="1" x14ac:dyDescent="0.2">
      <c r="A362" s="17"/>
      <c r="B362" s="17"/>
      <c r="C362" s="18"/>
      <c r="D362" s="17"/>
    </row>
    <row r="363" spans="1:4" ht="19.5" customHeight="1" x14ac:dyDescent="0.2">
      <c r="A363" s="17"/>
      <c r="B363" s="17"/>
      <c r="C363" s="18"/>
      <c r="D363" s="17"/>
    </row>
    <row r="364" spans="1:4" ht="19.5" customHeight="1" x14ac:dyDescent="0.2">
      <c r="A364" s="17"/>
      <c r="B364" s="17"/>
      <c r="C364" s="18"/>
      <c r="D364" s="17"/>
    </row>
    <row r="365" spans="1:4" ht="19.5" customHeight="1" x14ac:dyDescent="0.2">
      <c r="A365" s="17"/>
      <c r="B365" s="17"/>
      <c r="C365" s="18"/>
      <c r="D365" s="17"/>
    </row>
    <row r="366" spans="1:4" ht="19.5" customHeight="1" x14ac:dyDescent="0.2">
      <c r="A366" s="17"/>
      <c r="B366" s="17"/>
      <c r="C366" s="18"/>
      <c r="D366" s="17"/>
    </row>
    <row r="367" spans="1:4" ht="19.5" customHeight="1" x14ac:dyDescent="0.2">
      <c r="A367" s="17"/>
      <c r="B367" s="17"/>
      <c r="C367" s="18"/>
      <c r="D367" s="17"/>
    </row>
    <row r="368" spans="1:4" ht="19.5" customHeight="1" x14ac:dyDescent="0.2">
      <c r="A368" s="17"/>
      <c r="B368" s="17"/>
      <c r="C368" s="18"/>
      <c r="D368" s="17"/>
    </row>
    <row r="369" spans="1:4" ht="19.5" customHeight="1" x14ac:dyDescent="0.2">
      <c r="A369" s="17"/>
      <c r="B369" s="17"/>
      <c r="C369" s="18"/>
      <c r="D369" s="17"/>
    </row>
    <row r="370" spans="1:4" ht="19.5" customHeight="1" x14ac:dyDescent="0.2">
      <c r="A370" s="17"/>
      <c r="B370" s="17"/>
      <c r="C370" s="18"/>
      <c r="D370" s="17"/>
    </row>
    <row r="371" spans="1:4" ht="19.5" customHeight="1" x14ac:dyDescent="0.2">
      <c r="A371" s="17"/>
      <c r="B371" s="17"/>
      <c r="C371" s="18"/>
      <c r="D371" s="17"/>
    </row>
    <row r="372" spans="1:4" ht="19.5" customHeight="1" x14ac:dyDescent="0.2">
      <c r="A372" s="17"/>
      <c r="B372" s="17"/>
      <c r="C372" s="18"/>
      <c r="D372" s="17"/>
    </row>
    <row r="373" spans="1:4" ht="19.5" customHeight="1" x14ac:dyDescent="0.2">
      <c r="A373" s="17"/>
      <c r="B373" s="17"/>
      <c r="C373" s="18"/>
      <c r="D373" s="17"/>
    </row>
    <row r="374" spans="1:4" ht="19.5" customHeight="1" x14ac:dyDescent="0.2">
      <c r="A374" s="17"/>
      <c r="B374" s="17"/>
      <c r="C374" s="18"/>
      <c r="D374" s="17"/>
    </row>
    <row r="375" spans="1:4" ht="19.5" customHeight="1" x14ac:dyDescent="0.2">
      <c r="A375" s="17"/>
      <c r="B375" s="17"/>
      <c r="C375" s="18"/>
      <c r="D375" s="17"/>
    </row>
    <row r="376" spans="1:4" ht="19.5" customHeight="1" x14ac:dyDescent="0.2">
      <c r="A376" s="17"/>
      <c r="B376" s="17"/>
      <c r="C376" s="18"/>
      <c r="D376" s="17"/>
    </row>
    <row r="377" spans="1:4" ht="19.5" customHeight="1" x14ac:dyDescent="0.2">
      <c r="A377" s="17"/>
      <c r="B377" s="17"/>
      <c r="C377" s="18"/>
      <c r="D377" s="17"/>
    </row>
    <row r="378" spans="1:4" ht="19.5" customHeight="1" x14ac:dyDescent="0.2">
      <c r="A378" s="17"/>
      <c r="B378" s="17"/>
      <c r="C378" s="18"/>
      <c r="D378" s="17"/>
    </row>
    <row r="379" spans="1:4" ht="19.5" customHeight="1" x14ac:dyDescent="0.2">
      <c r="A379" s="17"/>
      <c r="B379" s="17"/>
      <c r="C379" s="18"/>
      <c r="D379" s="17"/>
    </row>
    <row r="380" spans="1:4" ht="19.5" customHeight="1" x14ac:dyDescent="0.2">
      <c r="A380" s="17"/>
      <c r="B380" s="17"/>
      <c r="C380" s="18"/>
      <c r="D380" s="17"/>
    </row>
    <row r="381" spans="1:4" ht="19.5" customHeight="1" x14ac:dyDescent="0.2">
      <c r="A381" s="17"/>
      <c r="B381" s="17"/>
      <c r="C381" s="18"/>
      <c r="D381" s="17"/>
    </row>
    <row r="382" spans="1:4" ht="19.5" customHeight="1" x14ac:dyDescent="0.2">
      <c r="A382" s="17"/>
      <c r="B382" s="17"/>
      <c r="C382" s="18"/>
      <c r="D382" s="17"/>
    </row>
    <row r="383" spans="1:4" ht="19.5" customHeight="1" x14ac:dyDescent="0.2">
      <c r="A383" s="17"/>
      <c r="B383" s="17"/>
      <c r="C383" s="18"/>
      <c r="D383" s="17"/>
    </row>
    <row r="384" spans="1:4" ht="19.5" customHeight="1" x14ac:dyDescent="0.2">
      <c r="A384" s="17"/>
      <c r="B384" s="17"/>
      <c r="C384" s="18"/>
      <c r="D384" s="17"/>
    </row>
    <row r="385" spans="1:4" ht="19.5" customHeight="1" x14ac:dyDescent="0.2">
      <c r="A385" s="17"/>
      <c r="B385" s="17"/>
      <c r="C385" s="18"/>
      <c r="D385" s="17"/>
    </row>
    <row r="386" spans="1:4" ht="19.5" customHeight="1" x14ac:dyDescent="0.2">
      <c r="A386" s="17"/>
      <c r="B386" s="17"/>
      <c r="C386" s="18"/>
      <c r="D386" s="17"/>
    </row>
    <row r="387" spans="1:4" ht="19.5" customHeight="1" x14ac:dyDescent="0.2">
      <c r="A387" s="17"/>
      <c r="B387" s="17"/>
      <c r="C387" s="18"/>
      <c r="D387" s="17"/>
    </row>
    <row r="388" spans="1:4" ht="19.5" customHeight="1" x14ac:dyDescent="0.2">
      <c r="A388" s="17"/>
      <c r="B388" s="17"/>
      <c r="C388" s="18"/>
      <c r="D388" s="17"/>
    </row>
    <row r="389" spans="1:4" ht="19.5" customHeight="1" x14ac:dyDescent="0.2">
      <c r="A389" s="17"/>
      <c r="B389" s="17"/>
      <c r="C389" s="18"/>
      <c r="D389" s="17"/>
    </row>
    <row r="390" spans="1:4" ht="19.5" customHeight="1" x14ac:dyDescent="0.2">
      <c r="A390" s="17"/>
      <c r="B390" s="17"/>
      <c r="C390" s="18"/>
      <c r="D390" s="17"/>
    </row>
    <row r="391" spans="1:4" ht="19.5" customHeight="1" x14ac:dyDescent="0.2">
      <c r="A391" s="17"/>
      <c r="B391" s="17"/>
      <c r="C391" s="18"/>
      <c r="D391" s="17"/>
    </row>
    <row r="392" spans="1:4" ht="19.5" customHeight="1" x14ac:dyDescent="0.2">
      <c r="A392" s="17"/>
      <c r="B392" s="17"/>
      <c r="C392" s="18"/>
      <c r="D392" s="17"/>
    </row>
    <row r="393" spans="1:4" ht="19.5" customHeight="1" x14ac:dyDescent="0.2">
      <c r="A393" s="17"/>
      <c r="B393" s="17"/>
      <c r="C393" s="18"/>
      <c r="D393" s="17"/>
    </row>
    <row r="394" spans="1:4" ht="19.5" customHeight="1" x14ac:dyDescent="0.2">
      <c r="A394" s="17"/>
      <c r="B394" s="17"/>
      <c r="C394" s="18"/>
      <c r="D394" s="17"/>
    </row>
    <row r="395" spans="1:4" ht="19.5" customHeight="1" x14ac:dyDescent="0.2">
      <c r="A395" s="17"/>
      <c r="B395" s="17"/>
      <c r="C395" s="18"/>
      <c r="D395" s="17"/>
    </row>
    <row r="396" spans="1:4" ht="19.5" customHeight="1" x14ac:dyDescent="0.2">
      <c r="A396" s="17"/>
      <c r="B396" s="17"/>
      <c r="C396" s="18"/>
      <c r="D396" s="17"/>
    </row>
    <row r="397" spans="1:4" ht="19.5" customHeight="1" x14ac:dyDescent="0.2">
      <c r="A397" s="17"/>
      <c r="B397" s="17"/>
      <c r="C397" s="18"/>
      <c r="D397" s="17"/>
    </row>
    <row r="398" spans="1:4" ht="19.5" customHeight="1" x14ac:dyDescent="0.2">
      <c r="A398" s="17"/>
      <c r="B398" s="17"/>
      <c r="C398" s="18"/>
      <c r="D398" s="17"/>
    </row>
    <row r="399" spans="1:4" ht="19.5" customHeight="1" x14ac:dyDescent="0.2">
      <c r="A399" s="17"/>
      <c r="B399" s="17"/>
      <c r="C399" s="18"/>
      <c r="D399" s="17"/>
    </row>
    <row r="400" spans="1:4" ht="19.5" customHeight="1" x14ac:dyDescent="0.2">
      <c r="A400" s="17"/>
      <c r="B400" s="17"/>
      <c r="C400" s="18"/>
      <c r="D400" s="17"/>
    </row>
    <row r="401" spans="1:4" ht="19.5" customHeight="1" x14ac:dyDescent="0.2">
      <c r="A401" s="17"/>
      <c r="B401" s="17"/>
      <c r="C401" s="18"/>
      <c r="D401" s="17"/>
    </row>
    <row r="402" spans="1:4" ht="19.5" customHeight="1" x14ac:dyDescent="0.2">
      <c r="A402" s="17"/>
      <c r="B402" s="17"/>
      <c r="C402" s="18"/>
      <c r="D402" s="17"/>
    </row>
    <row r="403" spans="1:4" ht="19.5" customHeight="1" x14ac:dyDescent="0.2">
      <c r="A403" s="17"/>
      <c r="B403" s="17"/>
      <c r="C403" s="18"/>
      <c r="D403" s="17"/>
    </row>
    <row r="404" spans="1:4" ht="19.5" customHeight="1" x14ac:dyDescent="0.2">
      <c r="A404" s="17"/>
      <c r="B404" s="17"/>
      <c r="C404" s="18"/>
      <c r="D404" s="17"/>
    </row>
    <row r="405" spans="1:4" ht="19.5" customHeight="1" x14ac:dyDescent="0.2">
      <c r="A405" s="17"/>
      <c r="B405" s="17"/>
      <c r="C405" s="18"/>
      <c r="D405" s="17"/>
    </row>
    <row r="406" spans="1:4" ht="19.5" customHeight="1" x14ac:dyDescent="0.2">
      <c r="A406" s="17"/>
      <c r="B406" s="17"/>
      <c r="C406" s="18"/>
      <c r="D406" s="17"/>
    </row>
    <row r="407" spans="1:4" ht="19.5" customHeight="1" x14ac:dyDescent="0.2">
      <c r="A407" s="17"/>
      <c r="B407" s="17"/>
      <c r="C407" s="18"/>
      <c r="D407" s="17"/>
    </row>
    <row r="408" spans="1:4" ht="19.5" customHeight="1" x14ac:dyDescent="0.2">
      <c r="A408" s="17"/>
      <c r="B408" s="17"/>
      <c r="C408" s="18"/>
      <c r="D408" s="17"/>
    </row>
    <row r="409" spans="1:4" ht="19.5" customHeight="1" x14ac:dyDescent="0.2">
      <c r="A409" s="17"/>
      <c r="B409" s="17"/>
      <c r="C409" s="18"/>
      <c r="D409" s="17"/>
    </row>
    <row r="410" spans="1:4" ht="19.5" customHeight="1" x14ac:dyDescent="0.2">
      <c r="A410" s="17"/>
      <c r="B410" s="17"/>
      <c r="C410" s="18"/>
      <c r="D410" s="17"/>
    </row>
    <row r="411" spans="1:4" ht="19.5" customHeight="1" x14ac:dyDescent="0.2">
      <c r="A411" s="17"/>
      <c r="B411" s="17"/>
      <c r="C411" s="18"/>
      <c r="D411" s="17"/>
    </row>
    <row r="412" spans="1:4" ht="19.5" customHeight="1" x14ac:dyDescent="0.2">
      <c r="A412" s="17"/>
      <c r="B412" s="17"/>
      <c r="C412" s="18"/>
      <c r="D412" s="17"/>
    </row>
    <row r="413" spans="1:4" ht="19.5" customHeight="1" x14ac:dyDescent="0.2">
      <c r="A413" s="17"/>
      <c r="B413" s="17"/>
      <c r="C413" s="18"/>
      <c r="D413" s="17"/>
    </row>
    <row r="414" spans="1:4" ht="19.5" customHeight="1" x14ac:dyDescent="0.2">
      <c r="A414" s="17"/>
      <c r="B414" s="17"/>
      <c r="C414" s="18"/>
      <c r="D414" s="17"/>
    </row>
    <row r="415" spans="1:4" ht="19.5" customHeight="1" x14ac:dyDescent="0.2">
      <c r="A415" s="17"/>
      <c r="B415" s="17"/>
      <c r="C415" s="18"/>
      <c r="D415" s="17"/>
    </row>
    <row r="416" spans="1:4" ht="19.5" customHeight="1" x14ac:dyDescent="0.2">
      <c r="A416" s="17"/>
      <c r="B416" s="17"/>
      <c r="C416" s="18"/>
      <c r="D416" s="17"/>
    </row>
    <row r="417" spans="1:4" ht="19.5" customHeight="1" x14ac:dyDescent="0.2">
      <c r="A417" s="17"/>
      <c r="B417" s="17"/>
      <c r="C417" s="18"/>
      <c r="D417" s="17"/>
    </row>
    <row r="418" spans="1:4" ht="19.5" customHeight="1" x14ac:dyDescent="0.2">
      <c r="A418" s="17"/>
      <c r="B418" s="17"/>
      <c r="C418" s="18"/>
      <c r="D418" s="17"/>
    </row>
    <row r="419" spans="1:4" ht="19.5" customHeight="1" x14ac:dyDescent="0.2">
      <c r="A419" s="17"/>
      <c r="B419" s="17"/>
      <c r="C419" s="18"/>
      <c r="D419" s="17"/>
    </row>
    <row r="420" spans="1:4" ht="19.5" customHeight="1" x14ac:dyDescent="0.2">
      <c r="A420" s="17"/>
      <c r="B420" s="17"/>
      <c r="C420" s="18"/>
      <c r="D420" s="17"/>
    </row>
    <row r="421" spans="1:4" ht="19.5" customHeight="1" x14ac:dyDescent="0.2">
      <c r="A421" s="17"/>
      <c r="B421" s="17"/>
      <c r="C421" s="18"/>
      <c r="D421" s="17"/>
    </row>
    <row r="422" spans="1:4" ht="19.5" customHeight="1" x14ac:dyDescent="0.2">
      <c r="A422" s="17"/>
      <c r="B422" s="17"/>
      <c r="C422" s="18"/>
      <c r="D422" s="17"/>
    </row>
    <row r="423" spans="1:4" ht="19.5" customHeight="1" x14ac:dyDescent="0.2">
      <c r="A423" s="17"/>
      <c r="B423" s="17"/>
      <c r="C423" s="18"/>
      <c r="D423" s="17"/>
    </row>
    <row r="424" spans="1:4" ht="19.5" customHeight="1" x14ac:dyDescent="0.2">
      <c r="A424" s="17"/>
      <c r="B424" s="17"/>
      <c r="C424" s="18"/>
      <c r="D424" s="17"/>
    </row>
    <row r="425" spans="1:4" ht="19.5" customHeight="1" x14ac:dyDescent="0.2">
      <c r="A425" s="17"/>
      <c r="B425" s="17"/>
      <c r="C425" s="18"/>
      <c r="D425" s="17"/>
    </row>
    <row r="426" spans="1:4" ht="19.5" customHeight="1" x14ac:dyDescent="0.2">
      <c r="A426" s="17"/>
      <c r="B426" s="17"/>
      <c r="C426" s="18"/>
      <c r="D426" s="17"/>
    </row>
    <row r="427" spans="1:4" ht="19.5" customHeight="1" x14ac:dyDescent="0.2">
      <c r="A427" s="17"/>
      <c r="B427" s="17"/>
      <c r="C427" s="18"/>
      <c r="D427" s="17"/>
    </row>
    <row r="428" spans="1:4" ht="19.5" customHeight="1" x14ac:dyDescent="0.2">
      <c r="A428" s="17"/>
      <c r="B428" s="17"/>
      <c r="C428" s="18"/>
      <c r="D428" s="17"/>
    </row>
    <row r="429" spans="1:4" ht="19.5" customHeight="1" x14ac:dyDescent="0.2">
      <c r="A429" s="17"/>
      <c r="B429" s="17"/>
      <c r="C429" s="18"/>
      <c r="D429" s="17"/>
    </row>
    <row r="430" spans="1:4" ht="19.5" customHeight="1" x14ac:dyDescent="0.2">
      <c r="A430" s="17"/>
      <c r="B430" s="17"/>
      <c r="C430" s="18"/>
      <c r="D430" s="17"/>
    </row>
    <row r="431" spans="1:4" ht="19.5" customHeight="1" x14ac:dyDescent="0.2">
      <c r="A431" s="17"/>
      <c r="B431" s="17"/>
      <c r="C431" s="18"/>
      <c r="D431" s="17"/>
    </row>
    <row r="432" spans="1:4" ht="19.5" customHeight="1" x14ac:dyDescent="0.2">
      <c r="A432" s="17"/>
      <c r="B432" s="17"/>
      <c r="C432" s="18"/>
      <c r="D432" s="17"/>
    </row>
    <row r="433" spans="1:4" ht="19.5" customHeight="1" x14ac:dyDescent="0.2">
      <c r="A433" s="17"/>
      <c r="B433" s="17"/>
      <c r="C433" s="18"/>
      <c r="D433" s="17"/>
    </row>
    <row r="434" spans="1:4" ht="19.5" customHeight="1" x14ac:dyDescent="0.2">
      <c r="A434" s="17"/>
      <c r="B434" s="17"/>
      <c r="C434" s="18"/>
      <c r="D434" s="17"/>
    </row>
    <row r="435" spans="1:4" ht="19.5" customHeight="1" x14ac:dyDescent="0.2">
      <c r="A435" s="17"/>
      <c r="B435" s="17"/>
      <c r="C435" s="18"/>
      <c r="D435" s="17"/>
    </row>
    <row r="436" spans="1:4" ht="19.5" customHeight="1" x14ac:dyDescent="0.2">
      <c r="A436" s="17"/>
      <c r="B436" s="17"/>
      <c r="C436" s="18"/>
      <c r="D436" s="17"/>
    </row>
    <row r="437" spans="1:4" ht="19.5" customHeight="1" x14ac:dyDescent="0.2">
      <c r="A437" s="17"/>
      <c r="B437" s="17"/>
      <c r="C437" s="18"/>
      <c r="D437" s="17"/>
    </row>
    <row r="438" spans="1:4" ht="19.5" customHeight="1" x14ac:dyDescent="0.2">
      <c r="A438" s="17"/>
      <c r="B438" s="17"/>
      <c r="C438" s="18"/>
      <c r="D438" s="17"/>
    </row>
    <row r="439" spans="1:4" ht="19.5" customHeight="1" x14ac:dyDescent="0.2">
      <c r="A439" s="17"/>
      <c r="B439" s="17"/>
      <c r="C439" s="18"/>
      <c r="D439" s="17"/>
    </row>
    <row r="440" spans="1:4" ht="19.5" customHeight="1" x14ac:dyDescent="0.2">
      <c r="A440" s="17"/>
      <c r="B440" s="17"/>
      <c r="C440" s="18"/>
      <c r="D440" s="17"/>
    </row>
    <row r="441" spans="1:4" ht="19.5" customHeight="1" x14ac:dyDescent="0.2">
      <c r="A441" s="17"/>
      <c r="B441" s="17"/>
      <c r="C441" s="18"/>
      <c r="D441" s="17"/>
    </row>
    <row r="442" spans="1:4" ht="19.5" customHeight="1" x14ac:dyDescent="0.2">
      <c r="A442" s="17"/>
      <c r="B442" s="17"/>
      <c r="C442" s="18"/>
      <c r="D442" s="17"/>
    </row>
    <row r="443" spans="1:4" ht="19.5" customHeight="1" x14ac:dyDescent="0.2">
      <c r="A443" s="17"/>
      <c r="B443" s="17"/>
      <c r="C443" s="18"/>
      <c r="D443" s="17"/>
    </row>
    <row r="444" spans="1:4" ht="19.5" customHeight="1" x14ac:dyDescent="0.2">
      <c r="A444" s="17"/>
      <c r="B444" s="17"/>
      <c r="C444" s="18"/>
      <c r="D444" s="17"/>
    </row>
    <row r="445" spans="1:4" ht="19.5" customHeight="1" x14ac:dyDescent="0.2">
      <c r="A445" s="17"/>
      <c r="B445" s="17"/>
      <c r="C445" s="18"/>
      <c r="D445" s="17"/>
    </row>
    <row r="446" spans="1:4" ht="19.5" customHeight="1" x14ac:dyDescent="0.2">
      <c r="A446" s="17"/>
      <c r="B446" s="17"/>
      <c r="C446" s="18"/>
      <c r="D446" s="17"/>
    </row>
    <row r="447" spans="1:4" ht="19.5" customHeight="1" x14ac:dyDescent="0.2">
      <c r="A447" s="17"/>
      <c r="B447" s="17"/>
      <c r="C447" s="18"/>
      <c r="D447" s="17"/>
    </row>
    <row r="448" spans="1:4" ht="19.5" customHeight="1" x14ac:dyDescent="0.2">
      <c r="A448" s="17"/>
      <c r="B448" s="17"/>
      <c r="C448" s="18"/>
      <c r="D448" s="17"/>
    </row>
    <row r="449" spans="1:4" ht="19.5" customHeight="1" x14ac:dyDescent="0.2">
      <c r="A449" s="17"/>
      <c r="B449" s="17"/>
      <c r="C449" s="18"/>
      <c r="D449" s="17"/>
    </row>
    <row r="450" spans="1:4" ht="19.5" customHeight="1" x14ac:dyDescent="0.2">
      <c r="A450" s="17"/>
      <c r="B450" s="17"/>
      <c r="C450" s="18"/>
      <c r="D450" s="17"/>
    </row>
    <row r="451" spans="1:4" ht="19.5" customHeight="1" x14ac:dyDescent="0.2">
      <c r="A451" s="17"/>
      <c r="B451" s="17"/>
      <c r="C451" s="18"/>
      <c r="D451" s="17"/>
    </row>
    <row r="452" spans="1:4" ht="19.5" customHeight="1" x14ac:dyDescent="0.2">
      <c r="A452" s="17"/>
      <c r="B452" s="17"/>
      <c r="C452" s="18"/>
      <c r="D452" s="17"/>
    </row>
    <row r="453" spans="1:4" ht="19.5" customHeight="1" x14ac:dyDescent="0.2">
      <c r="A453" s="17"/>
      <c r="B453" s="17"/>
      <c r="C453" s="18"/>
      <c r="D453" s="17"/>
    </row>
    <row r="454" spans="1:4" ht="19.5" customHeight="1" x14ac:dyDescent="0.2">
      <c r="A454" s="17"/>
      <c r="B454" s="17"/>
      <c r="C454" s="18"/>
      <c r="D454" s="17"/>
    </row>
    <row r="455" spans="1:4" ht="19.5" customHeight="1" x14ac:dyDescent="0.2">
      <c r="A455" s="17"/>
      <c r="B455" s="17"/>
      <c r="C455" s="18"/>
      <c r="D455" s="17"/>
    </row>
    <row r="456" spans="1:4" ht="19.5" customHeight="1" x14ac:dyDescent="0.2">
      <c r="A456" s="17"/>
      <c r="B456" s="17"/>
      <c r="C456" s="18"/>
      <c r="D456" s="17"/>
    </row>
    <row r="457" spans="1:4" ht="19.5" customHeight="1" x14ac:dyDescent="0.2">
      <c r="A457" s="17"/>
      <c r="B457" s="17"/>
      <c r="C457" s="18"/>
      <c r="D457" s="17"/>
    </row>
    <row r="458" spans="1:4" ht="19.5" customHeight="1" x14ac:dyDescent="0.2">
      <c r="A458" s="17"/>
      <c r="B458" s="17"/>
      <c r="C458" s="18"/>
      <c r="D458" s="17"/>
    </row>
    <row r="459" spans="1:4" ht="19.5" customHeight="1" x14ac:dyDescent="0.2">
      <c r="A459" s="17"/>
      <c r="B459" s="17"/>
      <c r="C459" s="18"/>
      <c r="D459" s="17"/>
    </row>
    <row r="460" spans="1:4" ht="19.5" customHeight="1" x14ac:dyDescent="0.2">
      <c r="A460" s="17"/>
      <c r="B460" s="17"/>
      <c r="C460" s="18"/>
      <c r="D460" s="17"/>
    </row>
    <row r="461" spans="1:4" ht="19.5" customHeight="1" x14ac:dyDescent="0.2">
      <c r="A461" s="17"/>
      <c r="B461" s="17"/>
      <c r="C461" s="18"/>
      <c r="D461" s="17"/>
    </row>
    <row r="462" spans="1:4" ht="19.5" customHeight="1" x14ac:dyDescent="0.2">
      <c r="A462" s="17"/>
      <c r="B462" s="17"/>
      <c r="C462" s="18"/>
      <c r="D462" s="17"/>
    </row>
    <row r="463" spans="1:4" ht="19.5" customHeight="1" x14ac:dyDescent="0.2">
      <c r="A463" s="17"/>
      <c r="B463" s="17"/>
      <c r="C463" s="18"/>
      <c r="D463" s="17"/>
    </row>
    <row r="464" spans="1:4" ht="19.5" customHeight="1" x14ac:dyDescent="0.2">
      <c r="A464" s="17"/>
      <c r="B464" s="17"/>
      <c r="C464" s="18"/>
      <c r="D464" s="17"/>
    </row>
    <row r="465" spans="1:4" ht="19.5" customHeight="1" x14ac:dyDescent="0.2">
      <c r="A465" s="17"/>
      <c r="B465" s="17"/>
      <c r="C465" s="18"/>
      <c r="D465" s="17"/>
    </row>
    <row r="466" spans="1:4" ht="19.5" customHeight="1" x14ac:dyDescent="0.2">
      <c r="A466" s="17"/>
      <c r="B466" s="17"/>
      <c r="C466" s="18"/>
      <c r="D466" s="17"/>
    </row>
    <row r="467" spans="1:4" ht="19.5" customHeight="1" x14ac:dyDescent="0.2">
      <c r="A467" s="17"/>
      <c r="B467" s="17"/>
      <c r="C467" s="18"/>
      <c r="D467" s="17"/>
    </row>
    <row r="468" spans="1:4" ht="19.5" customHeight="1" x14ac:dyDescent="0.2">
      <c r="A468" s="17"/>
      <c r="B468" s="17"/>
      <c r="C468" s="18"/>
      <c r="D468" s="17"/>
    </row>
    <row r="469" spans="1:4" ht="19.5" customHeight="1" x14ac:dyDescent="0.2">
      <c r="A469" s="17"/>
      <c r="B469" s="17"/>
      <c r="C469" s="18"/>
      <c r="D469" s="17"/>
    </row>
    <row r="470" spans="1:4" ht="19.5" customHeight="1" x14ac:dyDescent="0.2">
      <c r="A470" s="17"/>
      <c r="B470" s="17"/>
      <c r="C470" s="18"/>
      <c r="D470" s="17"/>
    </row>
    <row r="471" spans="1:4" ht="19.5" customHeight="1" x14ac:dyDescent="0.2">
      <c r="A471" s="17"/>
      <c r="B471" s="17"/>
      <c r="C471" s="18"/>
      <c r="D471" s="17"/>
    </row>
    <row r="472" spans="1:4" ht="19.5" customHeight="1" x14ac:dyDescent="0.2">
      <c r="A472" s="17"/>
      <c r="B472" s="17"/>
      <c r="C472" s="18"/>
      <c r="D472" s="17"/>
    </row>
    <row r="473" spans="1:4" ht="19.5" customHeight="1" x14ac:dyDescent="0.2">
      <c r="A473" s="17"/>
      <c r="B473" s="17"/>
      <c r="C473" s="18"/>
      <c r="D473" s="17"/>
    </row>
    <row r="474" spans="1:4" ht="19.5" customHeight="1" x14ac:dyDescent="0.2">
      <c r="A474" s="17"/>
      <c r="B474" s="17"/>
      <c r="C474" s="18"/>
      <c r="D474" s="17"/>
    </row>
    <row r="475" spans="1:4" ht="19.5" customHeight="1" x14ac:dyDescent="0.2">
      <c r="A475" s="17"/>
      <c r="B475" s="17"/>
      <c r="C475" s="18"/>
      <c r="D475" s="17"/>
    </row>
    <row r="476" spans="1:4" ht="19.5" customHeight="1" x14ac:dyDescent="0.2">
      <c r="A476" s="17"/>
      <c r="B476" s="17"/>
      <c r="C476" s="18"/>
      <c r="D476" s="17"/>
    </row>
    <row r="477" spans="1:4" ht="19.5" customHeight="1" x14ac:dyDescent="0.2">
      <c r="A477" s="17"/>
      <c r="B477" s="17"/>
      <c r="C477" s="18"/>
      <c r="D477" s="17"/>
    </row>
    <row r="478" spans="1:4" ht="19.5" customHeight="1" x14ac:dyDescent="0.2">
      <c r="A478" s="17"/>
      <c r="B478" s="17"/>
      <c r="C478" s="18"/>
      <c r="D478" s="17"/>
    </row>
    <row r="479" spans="1:4" ht="19.5" customHeight="1" x14ac:dyDescent="0.2">
      <c r="A479" s="17"/>
      <c r="B479" s="17"/>
      <c r="C479" s="18"/>
      <c r="D479" s="17"/>
    </row>
    <row r="480" spans="1:4" ht="19.5" customHeight="1" x14ac:dyDescent="0.2">
      <c r="A480" s="17"/>
      <c r="B480" s="17"/>
      <c r="C480" s="18"/>
      <c r="D480" s="17"/>
    </row>
    <row r="481" spans="1:4" ht="19.5" customHeight="1" x14ac:dyDescent="0.2">
      <c r="A481" s="17"/>
      <c r="B481" s="17"/>
      <c r="C481" s="18"/>
      <c r="D481" s="17"/>
    </row>
    <row r="482" spans="1:4" ht="19.5" customHeight="1" x14ac:dyDescent="0.2">
      <c r="A482" s="17"/>
      <c r="B482" s="17"/>
      <c r="C482" s="18"/>
      <c r="D482" s="17"/>
    </row>
    <row r="483" spans="1:4" ht="19.5" customHeight="1" x14ac:dyDescent="0.2">
      <c r="A483" s="17"/>
      <c r="B483" s="17"/>
      <c r="C483" s="18"/>
      <c r="D483" s="17"/>
    </row>
    <row r="484" spans="1:4" ht="19.5" customHeight="1" x14ac:dyDescent="0.2">
      <c r="A484" s="17"/>
      <c r="B484" s="17"/>
      <c r="C484" s="18"/>
      <c r="D484" s="17"/>
    </row>
    <row r="485" spans="1:4" ht="19.5" customHeight="1" x14ac:dyDescent="0.2">
      <c r="A485" s="17"/>
      <c r="B485" s="17"/>
      <c r="C485" s="18"/>
      <c r="D485" s="17"/>
    </row>
    <row r="486" spans="1:4" ht="19.5" customHeight="1" x14ac:dyDescent="0.2">
      <c r="A486" s="17"/>
      <c r="B486" s="17"/>
      <c r="C486" s="18"/>
      <c r="D486" s="17"/>
    </row>
    <row r="487" spans="1:4" ht="19.5" customHeight="1" x14ac:dyDescent="0.2">
      <c r="A487" s="17"/>
      <c r="B487" s="17"/>
      <c r="C487" s="18"/>
      <c r="D487" s="17"/>
    </row>
    <row r="488" spans="1:4" ht="19.5" customHeight="1" x14ac:dyDescent="0.2">
      <c r="A488" s="17"/>
      <c r="B488" s="17"/>
      <c r="C488" s="18"/>
      <c r="D488" s="17"/>
    </row>
    <row r="489" spans="1:4" ht="19.5" customHeight="1" x14ac:dyDescent="0.2">
      <c r="A489" s="17"/>
      <c r="B489" s="17"/>
      <c r="C489" s="18"/>
      <c r="D489" s="17"/>
    </row>
    <row r="490" spans="1:4" ht="19.5" customHeight="1" x14ac:dyDescent="0.2">
      <c r="A490" s="17"/>
      <c r="B490" s="17"/>
      <c r="C490" s="18"/>
      <c r="D490" s="17"/>
    </row>
    <row r="491" spans="1:4" ht="19.5" customHeight="1" x14ac:dyDescent="0.2">
      <c r="A491" s="17"/>
      <c r="B491" s="17"/>
      <c r="C491" s="18"/>
      <c r="D491" s="17"/>
    </row>
    <row r="492" spans="1:4" ht="19.5" customHeight="1" x14ac:dyDescent="0.2">
      <c r="A492" s="17"/>
      <c r="B492" s="17"/>
      <c r="C492" s="18"/>
      <c r="D492" s="17"/>
    </row>
    <row r="493" spans="1:4" ht="19.5" customHeight="1" x14ac:dyDescent="0.2">
      <c r="A493" s="17"/>
      <c r="B493" s="17"/>
      <c r="C493" s="18"/>
      <c r="D493" s="17"/>
    </row>
    <row r="494" spans="1:4" ht="19.5" customHeight="1" x14ac:dyDescent="0.2">
      <c r="A494" s="17"/>
      <c r="B494" s="17"/>
      <c r="C494" s="18"/>
      <c r="D494" s="17"/>
    </row>
    <row r="495" spans="1:4" ht="19.5" customHeight="1" x14ac:dyDescent="0.2">
      <c r="A495" s="17"/>
      <c r="B495" s="17"/>
      <c r="C495" s="18"/>
      <c r="D495" s="17"/>
    </row>
    <row r="496" spans="1:4" ht="19.5" customHeight="1" x14ac:dyDescent="0.2">
      <c r="A496" s="17"/>
      <c r="B496" s="17"/>
      <c r="C496" s="18"/>
      <c r="D496" s="17"/>
    </row>
    <row r="497" spans="1:4" ht="19.5" customHeight="1" x14ac:dyDescent="0.2">
      <c r="A497" s="17"/>
      <c r="B497" s="17"/>
      <c r="C497" s="18"/>
      <c r="D497" s="17"/>
    </row>
    <row r="498" spans="1:4" ht="19.5" customHeight="1" x14ac:dyDescent="0.2">
      <c r="A498" s="17"/>
      <c r="B498" s="17"/>
      <c r="C498" s="18"/>
      <c r="D498" s="17"/>
    </row>
    <row r="499" spans="1:4" ht="19.5" customHeight="1" x14ac:dyDescent="0.2">
      <c r="A499" s="17"/>
      <c r="B499" s="17"/>
      <c r="C499" s="18"/>
      <c r="D499" s="17"/>
    </row>
    <row r="500" spans="1:4" ht="19.5" customHeight="1" x14ac:dyDescent="0.2">
      <c r="A500" s="17"/>
      <c r="B500" s="17"/>
      <c r="C500" s="18"/>
      <c r="D500" s="17"/>
    </row>
    <row r="501" spans="1:4" ht="19.5" customHeight="1" x14ac:dyDescent="0.2">
      <c r="A501" s="17"/>
      <c r="B501" s="17"/>
      <c r="C501" s="18"/>
      <c r="D501" s="17"/>
    </row>
    <row r="502" spans="1:4" ht="19.5" customHeight="1" x14ac:dyDescent="0.2">
      <c r="A502" s="17"/>
      <c r="B502" s="17"/>
      <c r="C502" s="18"/>
      <c r="D502" s="17"/>
    </row>
    <row r="503" spans="1:4" ht="19.5" customHeight="1" x14ac:dyDescent="0.2">
      <c r="A503" s="17"/>
      <c r="B503" s="17"/>
      <c r="C503" s="18"/>
      <c r="D503" s="17"/>
    </row>
    <row r="504" spans="1:4" ht="19.5" customHeight="1" x14ac:dyDescent="0.2">
      <c r="A504" s="17"/>
      <c r="B504" s="17"/>
      <c r="C504" s="18"/>
      <c r="D504" s="17"/>
    </row>
    <row r="505" spans="1:4" ht="19.5" customHeight="1" x14ac:dyDescent="0.2">
      <c r="A505" s="17"/>
      <c r="B505" s="17"/>
      <c r="C505" s="18"/>
      <c r="D505" s="17"/>
    </row>
    <row r="506" spans="1:4" ht="19.5" customHeight="1" x14ac:dyDescent="0.2">
      <c r="A506" s="17"/>
      <c r="B506" s="17"/>
      <c r="C506" s="18"/>
      <c r="D506" s="17"/>
    </row>
    <row r="507" spans="1:4" ht="19.5" customHeight="1" x14ac:dyDescent="0.2">
      <c r="A507" s="17"/>
      <c r="B507" s="17"/>
      <c r="C507" s="18"/>
      <c r="D507" s="17"/>
    </row>
    <row r="508" spans="1:4" ht="19.5" customHeight="1" x14ac:dyDescent="0.2">
      <c r="A508" s="17"/>
      <c r="B508" s="17"/>
      <c r="C508" s="18"/>
      <c r="D508" s="17"/>
    </row>
    <row r="509" spans="1:4" ht="19.5" customHeight="1" x14ac:dyDescent="0.2">
      <c r="A509" s="17"/>
      <c r="B509" s="17"/>
      <c r="C509" s="18"/>
      <c r="D509" s="17"/>
    </row>
    <row r="510" spans="1:4" ht="19.5" customHeight="1" x14ac:dyDescent="0.2">
      <c r="A510" s="17"/>
      <c r="B510" s="17"/>
      <c r="C510" s="18"/>
      <c r="D510" s="17"/>
    </row>
    <row r="511" spans="1:4" ht="19.5" customHeight="1" x14ac:dyDescent="0.2">
      <c r="A511" s="17"/>
      <c r="B511" s="17"/>
      <c r="C511" s="18"/>
      <c r="D511" s="17"/>
    </row>
    <row r="512" spans="1:4" ht="19.5" customHeight="1" x14ac:dyDescent="0.2">
      <c r="A512" s="17"/>
      <c r="B512" s="17"/>
      <c r="C512" s="18"/>
      <c r="D512" s="17"/>
    </row>
    <row r="513" spans="1:4" ht="19.5" customHeight="1" x14ac:dyDescent="0.2">
      <c r="A513" s="17"/>
      <c r="B513" s="17"/>
      <c r="C513" s="18"/>
      <c r="D513" s="17"/>
    </row>
    <row r="514" spans="1:4" ht="19.5" customHeight="1" x14ac:dyDescent="0.2">
      <c r="A514" s="17"/>
      <c r="B514" s="17"/>
      <c r="C514" s="18"/>
      <c r="D514" s="17"/>
    </row>
    <row r="515" spans="1:4" ht="19.5" customHeight="1" x14ac:dyDescent="0.2">
      <c r="A515" s="17"/>
      <c r="B515" s="17"/>
      <c r="C515" s="18"/>
      <c r="D515" s="17"/>
    </row>
    <row r="516" spans="1:4" ht="19.5" customHeight="1" x14ac:dyDescent="0.2">
      <c r="A516" s="17"/>
      <c r="B516" s="17"/>
      <c r="C516" s="18"/>
      <c r="D516" s="17"/>
    </row>
    <row r="517" spans="1:4" ht="19.5" customHeight="1" x14ac:dyDescent="0.2">
      <c r="A517" s="17"/>
      <c r="B517" s="17"/>
      <c r="C517" s="18"/>
      <c r="D517" s="17"/>
    </row>
    <row r="518" spans="1:4" ht="19.5" customHeight="1" x14ac:dyDescent="0.2">
      <c r="A518" s="17"/>
      <c r="B518" s="17"/>
      <c r="C518" s="18"/>
      <c r="D518" s="17"/>
    </row>
    <row r="519" spans="1:4" ht="19.5" customHeight="1" x14ac:dyDescent="0.2">
      <c r="A519" s="17"/>
      <c r="B519" s="17"/>
      <c r="C519" s="18"/>
      <c r="D519" s="17"/>
    </row>
    <row r="520" spans="1:4" ht="19.5" customHeight="1" x14ac:dyDescent="0.2">
      <c r="A520" s="17"/>
      <c r="B520" s="17"/>
      <c r="C520" s="18"/>
      <c r="D520" s="17"/>
    </row>
    <row r="521" spans="1:4" ht="19.5" customHeight="1" x14ac:dyDescent="0.2">
      <c r="A521" s="17"/>
      <c r="B521" s="17"/>
      <c r="C521" s="18"/>
      <c r="D521" s="17"/>
    </row>
    <row r="522" spans="1:4" ht="19.5" customHeight="1" x14ac:dyDescent="0.2">
      <c r="A522" s="17"/>
      <c r="B522" s="17"/>
      <c r="C522" s="18"/>
      <c r="D522" s="17"/>
    </row>
    <row r="523" spans="1:4" ht="19.5" customHeight="1" x14ac:dyDescent="0.2">
      <c r="A523" s="17"/>
      <c r="B523" s="17"/>
      <c r="C523" s="18"/>
      <c r="D523" s="17"/>
    </row>
    <row r="524" spans="1:4" ht="19.5" customHeight="1" x14ac:dyDescent="0.2">
      <c r="A524" s="17"/>
      <c r="B524" s="17"/>
      <c r="C524" s="18"/>
      <c r="D524" s="17"/>
    </row>
    <row r="525" spans="1:4" ht="19.5" customHeight="1" x14ac:dyDescent="0.2">
      <c r="A525" s="17"/>
      <c r="B525" s="17"/>
      <c r="C525" s="18"/>
      <c r="D525" s="17"/>
    </row>
    <row r="526" spans="1:4" ht="19.5" customHeight="1" x14ac:dyDescent="0.2">
      <c r="A526" s="17"/>
      <c r="B526" s="17"/>
      <c r="C526" s="18"/>
      <c r="D526" s="17"/>
    </row>
    <row r="527" spans="1:4" ht="19.5" customHeight="1" x14ac:dyDescent="0.2">
      <c r="A527" s="17"/>
      <c r="B527" s="17"/>
      <c r="C527" s="18"/>
      <c r="D527" s="17"/>
    </row>
    <row r="528" spans="1:4" ht="19.5" customHeight="1" x14ac:dyDescent="0.2">
      <c r="A528" s="17"/>
      <c r="B528" s="17"/>
      <c r="C528" s="18"/>
      <c r="D528" s="17"/>
    </row>
    <row r="529" spans="1:4" ht="19.5" customHeight="1" x14ac:dyDescent="0.2">
      <c r="A529" s="17"/>
      <c r="B529" s="17"/>
      <c r="C529" s="18"/>
      <c r="D529" s="17"/>
    </row>
    <row r="530" spans="1:4" ht="19.5" customHeight="1" x14ac:dyDescent="0.2">
      <c r="A530" s="17"/>
      <c r="B530" s="17"/>
      <c r="C530" s="18"/>
      <c r="D530" s="17"/>
    </row>
    <row r="531" spans="1:4" ht="19.5" customHeight="1" x14ac:dyDescent="0.2">
      <c r="A531" s="17"/>
      <c r="B531" s="17"/>
      <c r="C531" s="18"/>
      <c r="D531" s="17"/>
    </row>
    <row r="532" spans="1:4" ht="19.5" customHeight="1" x14ac:dyDescent="0.2">
      <c r="A532" s="17"/>
      <c r="B532" s="17"/>
      <c r="C532" s="18"/>
      <c r="D532" s="17"/>
    </row>
    <row r="533" spans="1:4" ht="19.5" customHeight="1" x14ac:dyDescent="0.2">
      <c r="A533" s="17"/>
      <c r="B533" s="17"/>
      <c r="C533" s="18"/>
      <c r="D533" s="17"/>
    </row>
    <row r="534" spans="1:4" ht="19.5" customHeight="1" x14ac:dyDescent="0.2">
      <c r="A534" s="17"/>
      <c r="B534" s="17"/>
      <c r="C534" s="18"/>
      <c r="D534" s="17"/>
    </row>
    <row r="535" spans="1:4" ht="19.5" customHeight="1" x14ac:dyDescent="0.2">
      <c r="A535" s="17"/>
      <c r="B535" s="17"/>
      <c r="C535" s="18"/>
      <c r="D535" s="17"/>
    </row>
    <row r="536" spans="1:4" ht="19.5" customHeight="1" x14ac:dyDescent="0.2">
      <c r="A536" s="17"/>
      <c r="B536" s="17"/>
      <c r="C536" s="18"/>
      <c r="D536" s="17"/>
    </row>
    <row r="537" spans="1:4" ht="19.5" customHeight="1" x14ac:dyDescent="0.2">
      <c r="A537" s="17"/>
      <c r="B537" s="17"/>
      <c r="C537" s="18"/>
      <c r="D537" s="17"/>
    </row>
    <row r="538" spans="1:4" ht="19.5" customHeight="1" x14ac:dyDescent="0.2">
      <c r="A538" s="17"/>
      <c r="B538" s="17"/>
      <c r="C538" s="18"/>
      <c r="D538" s="17"/>
    </row>
    <row r="539" spans="1:4" ht="19.5" customHeight="1" x14ac:dyDescent="0.2">
      <c r="A539" s="17"/>
      <c r="B539" s="17"/>
      <c r="C539" s="18"/>
      <c r="D539" s="17"/>
    </row>
    <row r="540" spans="1:4" ht="19.5" customHeight="1" x14ac:dyDescent="0.2">
      <c r="A540" s="17"/>
      <c r="B540" s="17"/>
      <c r="C540" s="18"/>
      <c r="D540" s="17"/>
    </row>
    <row r="541" spans="1:4" ht="19.5" customHeight="1" x14ac:dyDescent="0.2">
      <c r="A541" s="17"/>
      <c r="B541" s="17"/>
      <c r="C541" s="18"/>
      <c r="D541" s="17"/>
    </row>
    <row r="542" spans="1:4" ht="19.5" customHeight="1" x14ac:dyDescent="0.2">
      <c r="A542" s="17"/>
      <c r="B542" s="17"/>
      <c r="C542" s="18"/>
      <c r="D542" s="17"/>
    </row>
    <row r="543" spans="1:4" ht="19.5" customHeight="1" x14ac:dyDescent="0.2">
      <c r="A543" s="17"/>
      <c r="B543" s="17"/>
      <c r="C543" s="18"/>
      <c r="D543" s="17"/>
    </row>
    <row r="544" spans="1:4" ht="19.5" customHeight="1" x14ac:dyDescent="0.2">
      <c r="A544" s="17"/>
      <c r="B544" s="17"/>
      <c r="C544" s="18"/>
      <c r="D544" s="17"/>
    </row>
    <row r="545" spans="1:4" ht="19.5" customHeight="1" x14ac:dyDescent="0.2">
      <c r="A545" s="17"/>
      <c r="B545" s="17"/>
      <c r="C545" s="18"/>
      <c r="D545" s="17"/>
    </row>
    <row r="546" spans="1:4" ht="19.5" customHeight="1" x14ac:dyDescent="0.2">
      <c r="A546" s="17"/>
      <c r="B546" s="17"/>
      <c r="C546" s="18"/>
      <c r="D546" s="17"/>
    </row>
    <row r="547" spans="1:4" ht="19.5" customHeight="1" x14ac:dyDescent="0.2">
      <c r="A547" s="17"/>
      <c r="B547" s="17"/>
      <c r="C547" s="18"/>
      <c r="D547" s="17"/>
    </row>
    <row r="548" spans="1:4" ht="19.5" customHeight="1" x14ac:dyDescent="0.2">
      <c r="A548" s="17"/>
      <c r="B548" s="17"/>
      <c r="C548" s="18"/>
      <c r="D548" s="17"/>
    </row>
    <row r="549" spans="1:4" ht="19.5" customHeight="1" x14ac:dyDescent="0.2">
      <c r="A549" s="17"/>
      <c r="B549" s="17"/>
      <c r="C549" s="18"/>
      <c r="D549" s="17"/>
    </row>
    <row r="550" spans="1:4" ht="19.5" customHeight="1" x14ac:dyDescent="0.2">
      <c r="A550" s="17"/>
      <c r="B550" s="17"/>
      <c r="C550" s="18"/>
      <c r="D550" s="17"/>
    </row>
    <row r="551" spans="1:4" ht="19.5" customHeight="1" x14ac:dyDescent="0.2">
      <c r="A551" s="17"/>
      <c r="B551" s="17"/>
      <c r="C551" s="18"/>
      <c r="D551" s="17"/>
    </row>
    <row r="552" spans="1:4" ht="19.5" customHeight="1" x14ac:dyDescent="0.2">
      <c r="A552" s="17"/>
      <c r="B552" s="17"/>
      <c r="C552" s="18"/>
      <c r="D552" s="17"/>
    </row>
    <row r="553" spans="1:4" ht="19.5" customHeight="1" x14ac:dyDescent="0.2">
      <c r="A553" s="17"/>
      <c r="B553" s="17"/>
      <c r="C553" s="18"/>
      <c r="D553" s="17"/>
    </row>
    <row r="554" spans="1:4" ht="19.5" customHeight="1" x14ac:dyDescent="0.2">
      <c r="A554" s="17"/>
      <c r="B554" s="17"/>
      <c r="C554" s="18"/>
      <c r="D554" s="17"/>
    </row>
    <row r="555" spans="1:4" ht="19.5" customHeight="1" x14ac:dyDescent="0.2">
      <c r="A555" s="17"/>
      <c r="B555" s="17"/>
      <c r="C555" s="18"/>
      <c r="D555" s="17"/>
    </row>
    <row r="556" spans="1:4" ht="19.5" customHeight="1" x14ac:dyDescent="0.2">
      <c r="A556" s="17"/>
      <c r="B556" s="17"/>
      <c r="C556" s="18"/>
      <c r="D556" s="17"/>
    </row>
    <row r="557" spans="1:4" ht="19.5" customHeight="1" x14ac:dyDescent="0.2">
      <c r="A557" s="17"/>
      <c r="B557" s="17"/>
      <c r="C557" s="18"/>
      <c r="D557" s="17"/>
    </row>
    <row r="558" spans="1:4" ht="19.5" customHeight="1" x14ac:dyDescent="0.2">
      <c r="A558" s="17"/>
      <c r="B558" s="17"/>
      <c r="C558" s="18"/>
      <c r="D558" s="17"/>
    </row>
    <row r="559" spans="1:4" ht="19.5" customHeight="1" x14ac:dyDescent="0.2">
      <c r="A559" s="17"/>
      <c r="B559" s="17"/>
      <c r="C559" s="18"/>
      <c r="D559" s="17"/>
    </row>
    <row r="560" spans="1:4" ht="19.5" customHeight="1" x14ac:dyDescent="0.2">
      <c r="A560" s="17"/>
      <c r="B560" s="17"/>
      <c r="C560" s="18"/>
      <c r="D560" s="17"/>
    </row>
    <row r="561" spans="1:4" ht="19.5" customHeight="1" x14ac:dyDescent="0.2">
      <c r="A561" s="17"/>
      <c r="B561" s="17"/>
      <c r="C561" s="18"/>
      <c r="D561" s="17"/>
    </row>
    <row r="562" spans="1:4" ht="19.5" customHeight="1" x14ac:dyDescent="0.2">
      <c r="A562" s="17"/>
      <c r="B562" s="17"/>
      <c r="C562" s="18"/>
      <c r="D562" s="17"/>
    </row>
    <row r="563" spans="1:4" ht="19.5" customHeight="1" x14ac:dyDescent="0.2">
      <c r="A563" s="17"/>
      <c r="B563" s="17"/>
      <c r="C563" s="18"/>
      <c r="D563" s="17"/>
    </row>
    <row r="564" spans="1:4" ht="19.5" customHeight="1" x14ac:dyDescent="0.2">
      <c r="A564" s="17"/>
      <c r="B564" s="17"/>
      <c r="C564" s="18"/>
      <c r="D564" s="17"/>
    </row>
    <row r="565" spans="1:4" ht="19.5" customHeight="1" x14ac:dyDescent="0.2">
      <c r="A565" s="17"/>
      <c r="B565" s="17"/>
      <c r="C565" s="18"/>
      <c r="D565" s="17"/>
    </row>
    <row r="566" spans="1:4" ht="19.5" customHeight="1" x14ac:dyDescent="0.2">
      <c r="A566" s="17"/>
      <c r="B566" s="17"/>
      <c r="C566" s="18"/>
      <c r="D566" s="17"/>
    </row>
    <row r="567" spans="1:4" ht="19.5" customHeight="1" x14ac:dyDescent="0.2">
      <c r="A567" s="17"/>
      <c r="B567" s="17"/>
      <c r="C567" s="18"/>
      <c r="D567" s="17"/>
    </row>
    <row r="568" spans="1:4" ht="19.5" customHeight="1" x14ac:dyDescent="0.2">
      <c r="A568" s="17"/>
      <c r="B568" s="17"/>
      <c r="C568" s="18"/>
      <c r="D568" s="17"/>
    </row>
    <row r="569" spans="1:4" ht="19.5" customHeight="1" x14ac:dyDescent="0.2">
      <c r="A569" s="17"/>
      <c r="B569" s="17"/>
      <c r="C569" s="18"/>
      <c r="D569" s="17"/>
    </row>
    <row r="570" spans="1:4" ht="19.5" customHeight="1" x14ac:dyDescent="0.2">
      <c r="A570" s="17"/>
      <c r="B570" s="17"/>
      <c r="C570" s="18"/>
      <c r="D570" s="17"/>
    </row>
    <row r="571" spans="1:4" ht="19.5" customHeight="1" x14ac:dyDescent="0.2">
      <c r="A571" s="17"/>
      <c r="B571" s="17"/>
      <c r="C571" s="18"/>
      <c r="D571" s="17"/>
    </row>
    <row r="572" spans="1:4" ht="19.5" customHeight="1" x14ac:dyDescent="0.2">
      <c r="A572" s="17"/>
      <c r="B572" s="17"/>
      <c r="C572" s="18"/>
      <c r="D572" s="17"/>
    </row>
    <row r="573" spans="1:4" ht="19.5" customHeight="1" x14ac:dyDescent="0.2">
      <c r="A573" s="17"/>
      <c r="B573" s="17"/>
      <c r="C573" s="18"/>
      <c r="D573" s="17"/>
    </row>
    <row r="574" spans="1:4" ht="19.5" customHeight="1" x14ac:dyDescent="0.2">
      <c r="A574" s="17"/>
      <c r="B574" s="17"/>
      <c r="C574" s="18"/>
      <c r="D574" s="17"/>
    </row>
    <row r="575" spans="1:4" ht="19.5" customHeight="1" x14ac:dyDescent="0.2">
      <c r="A575" s="17"/>
      <c r="B575" s="17"/>
      <c r="C575" s="18"/>
      <c r="D575" s="17"/>
    </row>
    <row r="576" spans="1:4" ht="19.5" customHeight="1" x14ac:dyDescent="0.2">
      <c r="A576" s="17"/>
      <c r="B576" s="17"/>
      <c r="C576" s="18"/>
      <c r="D576" s="17"/>
    </row>
    <row r="577" spans="1:4" ht="19.5" customHeight="1" x14ac:dyDescent="0.2">
      <c r="A577" s="17"/>
      <c r="B577" s="17"/>
      <c r="C577" s="18"/>
      <c r="D577" s="17"/>
    </row>
    <row r="578" spans="1:4" ht="19.5" customHeight="1" x14ac:dyDescent="0.2">
      <c r="A578" s="17"/>
      <c r="B578" s="17"/>
      <c r="C578" s="18"/>
      <c r="D578" s="17"/>
    </row>
    <row r="579" spans="1:4" ht="19.5" customHeight="1" x14ac:dyDescent="0.2">
      <c r="A579" s="17"/>
      <c r="B579" s="17"/>
      <c r="C579" s="18"/>
      <c r="D579" s="17"/>
    </row>
    <row r="580" spans="1:4" ht="19.5" customHeight="1" x14ac:dyDescent="0.2">
      <c r="A580" s="17"/>
      <c r="B580" s="17"/>
      <c r="C580" s="18"/>
      <c r="D580" s="17"/>
    </row>
    <row r="581" spans="1:4" ht="19.5" customHeight="1" x14ac:dyDescent="0.2">
      <c r="A581" s="17"/>
      <c r="B581" s="17"/>
      <c r="C581" s="18"/>
      <c r="D581" s="17"/>
    </row>
    <row r="582" spans="1:4" ht="19.5" customHeight="1" x14ac:dyDescent="0.2">
      <c r="A582" s="17"/>
      <c r="B582" s="17"/>
      <c r="C582" s="18"/>
      <c r="D582" s="17"/>
    </row>
    <row r="583" spans="1:4" ht="19.5" customHeight="1" x14ac:dyDescent="0.2">
      <c r="A583" s="17"/>
      <c r="B583" s="17"/>
      <c r="C583" s="18"/>
      <c r="D583" s="17"/>
    </row>
    <row r="584" spans="1:4" ht="19.5" customHeight="1" x14ac:dyDescent="0.2">
      <c r="A584" s="17"/>
      <c r="B584" s="17"/>
      <c r="C584" s="18"/>
      <c r="D584" s="17"/>
    </row>
    <row r="585" spans="1:4" ht="19.5" customHeight="1" x14ac:dyDescent="0.2">
      <c r="A585" s="17"/>
      <c r="B585" s="17"/>
      <c r="C585" s="18"/>
      <c r="D585" s="17"/>
    </row>
    <row r="586" spans="1:4" ht="19.5" customHeight="1" x14ac:dyDescent="0.2">
      <c r="A586" s="17"/>
      <c r="B586" s="17"/>
      <c r="C586" s="18"/>
      <c r="D586" s="17"/>
    </row>
    <row r="587" spans="1:4" ht="19.5" customHeight="1" x14ac:dyDescent="0.2">
      <c r="A587" s="17"/>
      <c r="B587" s="17"/>
      <c r="C587" s="18"/>
      <c r="D587" s="17"/>
    </row>
    <row r="588" spans="1:4" ht="19.5" customHeight="1" x14ac:dyDescent="0.2">
      <c r="A588" s="17"/>
      <c r="B588" s="17"/>
      <c r="C588" s="18"/>
      <c r="D588" s="17"/>
    </row>
    <row r="589" spans="1:4" ht="19.5" customHeight="1" x14ac:dyDescent="0.2">
      <c r="A589" s="17"/>
      <c r="B589" s="17"/>
      <c r="C589" s="18"/>
      <c r="D589" s="17"/>
    </row>
    <row r="590" spans="1:4" ht="19.5" customHeight="1" x14ac:dyDescent="0.2">
      <c r="A590" s="17"/>
      <c r="B590" s="17"/>
      <c r="C590" s="18"/>
      <c r="D590" s="17"/>
    </row>
    <row r="591" spans="1:4" ht="19.5" customHeight="1" x14ac:dyDescent="0.2">
      <c r="A591" s="17"/>
      <c r="B591" s="17"/>
      <c r="C591" s="18"/>
      <c r="D591" s="17"/>
    </row>
    <row r="592" spans="1:4" ht="19.5" customHeight="1" x14ac:dyDescent="0.2">
      <c r="A592" s="17"/>
      <c r="B592" s="17"/>
      <c r="C592" s="18"/>
      <c r="D592" s="17"/>
    </row>
    <row r="593" spans="1:4" ht="19.5" customHeight="1" x14ac:dyDescent="0.2">
      <c r="A593" s="17"/>
      <c r="B593" s="17"/>
      <c r="C593" s="18"/>
      <c r="D593" s="17"/>
    </row>
    <row r="594" spans="1:4" ht="19.5" customHeight="1" x14ac:dyDescent="0.2">
      <c r="A594" s="17"/>
      <c r="B594" s="17"/>
      <c r="C594" s="18"/>
      <c r="D594" s="17"/>
    </row>
    <row r="595" spans="1:4" ht="19.5" customHeight="1" x14ac:dyDescent="0.2">
      <c r="A595" s="17"/>
      <c r="B595" s="17"/>
      <c r="C595" s="18"/>
      <c r="D595" s="17"/>
    </row>
    <row r="596" spans="1:4" ht="19.5" customHeight="1" x14ac:dyDescent="0.2">
      <c r="A596" s="17"/>
      <c r="B596" s="17"/>
      <c r="C596" s="18"/>
      <c r="D596" s="17"/>
    </row>
    <row r="597" spans="1:4" ht="19.5" customHeight="1" x14ac:dyDescent="0.2">
      <c r="A597" s="17"/>
      <c r="B597" s="17"/>
      <c r="C597" s="18"/>
      <c r="D597" s="17"/>
    </row>
    <row r="598" spans="1:4" ht="19.5" customHeight="1" x14ac:dyDescent="0.2">
      <c r="A598" s="17"/>
      <c r="B598" s="17"/>
      <c r="C598" s="18"/>
      <c r="D598" s="17"/>
    </row>
    <row r="599" spans="1:4" ht="19.5" customHeight="1" x14ac:dyDescent="0.2">
      <c r="A599" s="17"/>
      <c r="B599" s="17"/>
      <c r="C599" s="18"/>
      <c r="D599" s="17"/>
    </row>
    <row r="600" spans="1:4" ht="19.5" customHeight="1" x14ac:dyDescent="0.2">
      <c r="A600" s="17"/>
      <c r="B600" s="17"/>
      <c r="C600" s="18"/>
      <c r="D600" s="17"/>
    </row>
    <row r="601" spans="1:4" ht="19.5" customHeight="1" x14ac:dyDescent="0.2">
      <c r="A601" s="17"/>
      <c r="B601" s="17"/>
      <c r="C601" s="18"/>
      <c r="D601" s="17"/>
    </row>
    <row r="602" spans="1:4" ht="19.5" customHeight="1" x14ac:dyDescent="0.2">
      <c r="A602" s="17"/>
      <c r="B602" s="17"/>
      <c r="C602" s="18"/>
      <c r="D602" s="17"/>
    </row>
    <row r="603" spans="1:4" ht="19.5" customHeight="1" x14ac:dyDescent="0.2">
      <c r="A603" s="17"/>
      <c r="B603" s="17"/>
      <c r="C603" s="18"/>
      <c r="D603" s="17"/>
    </row>
    <row r="604" spans="1:4" ht="19.5" customHeight="1" x14ac:dyDescent="0.2">
      <c r="A604" s="17"/>
      <c r="B604" s="17"/>
      <c r="C604" s="18"/>
      <c r="D604" s="17"/>
    </row>
    <row r="605" spans="1:4" ht="19.5" customHeight="1" x14ac:dyDescent="0.2">
      <c r="A605" s="17"/>
      <c r="B605" s="17"/>
      <c r="C605" s="18"/>
      <c r="D605" s="17"/>
    </row>
    <row r="606" spans="1:4" ht="19.5" customHeight="1" x14ac:dyDescent="0.2">
      <c r="A606" s="17"/>
      <c r="B606" s="17"/>
      <c r="C606" s="18"/>
      <c r="D606" s="17"/>
    </row>
    <row r="607" spans="1:4" ht="19.5" customHeight="1" x14ac:dyDescent="0.2">
      <c r="A607" s="17"/>
      <c r="B607" s="17"/>
      <c r="C607" s="18"/>
      <c r="D607" s="17"/>
    </row>
    <row r="608" spans="1:4" ht="19.5" customHeight="1" x14ac:dyDescent="0.2">
      <c r="A608" s="17"/>
      <c r="B608" s="17"/>
      <c r="C608" s="18"/>
      <c r="D608" s="17"/>
    </row>
    <row r="609" spans="1:4" ht="19.5" customHeight="1" x14ac:dyDescent="0.2">
      <c r="A609" s="17"/>
      <c r="B609" s="17"/>
      <c r="C609" s="18"/>
      <c r="D609" s="17"/>
    </row>
    <row r="610" spans="1:4" ht="19.5" customHeight="1" x14ac:dyDescent="0.2">
      <c r="A610" s="17"/>
      <c r="B610" s="17"/>
      <c r="C610" s="18"/>
      <c r="D610" s="17"/>
    </row>
    <row r="611" spans="1:4" ht="19.5" customHeight="1" x14ac:dyDescent="0.2">
      <c r="A611" s="17"/>
      <c r="B611" s="17"/>
      <c r="C611" s="18"/>
      <c r="D611" s="17"/>
    </row>
    <row r="612" spans="1:4" ht="19.5" customHeight="1" x14ac:dyDescent="0.2">
      <c r="A612" s="17"/>
      <c r="B612" s="17"/>
      <c r="C612" s="18"/>
      <c r="D612" s="17"/>
    </row>
    <row r="613" spans="1:4" ht="19.5" customHeight="1" x14ac:dyDescent="0.2">
      <c r="A613" s="17"/>
      <c r="B613" s="17"/>
      <c r="C613" s="18"/>
      <c r="D613" s="17"/>
    </row>
    <row r="614" spans="1:4" ht="19.5" customHeight="1" x14ac:dyDescent="0.2">
      <c r="A614" s="17"/>
      <c r="B614" s="17"/>
      <c r="C614" s="18"/>
      <c r="D614" s="17"/>
    </row>
    <row r="615" spans="1:4" ht="19.5" customHeight="1" x14ac:dyDescent="0.2">
      <c r="A615" s="17"/>
      <c r="B615" s="17"/>
      <c r="C615" s="18"/>
      <c r="D615" s="17"/>
    </row>
    <row r="616" spans="1:4" ht="19.5" customHeight="1" x14ac:dyDescent="0.2">
      <c r="A616" s="17"/>
      <c r="B616" s="17"/>
      <c r="C616" s="18"/>
      <c r="D616" s="17"/>
    </row>
    <row r="617" spans="1:4" ht="19.5" customHeight="1" x14ac:dyDescent="0.2">
      <c r="A617" s="17"/>
      <c r="B617" s="17"/>
      <c r="C617" s="18"/>
      <c r="D617" s="17"/>
    </row>
    <row r="618" spans="1:4" ht="19.5" customHeight="1" x14ac:dyDescent="0.2">
      <c r="A618" s="17"/>
      <c r="B618" s="17"/>
      <c r="C618" s="18"/>
      <c r="D618" s="17"/>
    </row>
    <row r="619" spans="1:4" ht="19.5" customHeight="1" x14ac:dyDescent="0.2">
      <c r="A619" s="17"/>
      <c r="B619" s="17"/>
      <c r="C619" s="18"/>
      <c r="D619" s="17"/>
    </row>
    <row r="620" spans="1:4" ht="19.5" customHeight="1" x14ac:dyDescent="0.2">
      <c r="A620" s="17"/>
      <c r="B620" s="17"/>
      <c r="C620" s="18"/>
      <c r="D620" s="17"/>
    </row>
    <row r="621" spans="1:4" ht="19.5" customHeight="1" x14ac:dyDescent="0.2">
      <c r="A621" s="17"/>
      <c r="B621" s="17"/>
      <c r="C621" s="18"/>
      <c r="D621" s="17"/>
    </row>
    <row r="622" spans="1:4" ht="19.5" customHeight="1" x14ac:dyDescent="0.2">
      <c r="A622" s="17"/>
      <c r="B622" s="17"/>
      <c r="C622" s="18"/>
      <c r="D622" s="17"/>
    </row>
    <row r="623" spans="1:4" ht="19.5" customHeight="1" x14ac:dyDescent="0.2">
      <c r="A623" s="17"/>
      <c r="B623" s="17"/>
      <c r="C623" s="18"/>
      <c r="D623" s="17"/>
    </row>
    <row r="624" spans="1:4" ht="19.5" customHeight="1" x14ac:dyDescent="0.2">
      <c r="A624" s="17"/>
      <c r="B624" s="17"/>
      <c r="C624" s="18"/>
      <c r="D624" s="17"/>
    </row>
    <row r="625" spans="1:4" ht="19.5" customHeight="1" x14ac:dyDescent="0.2">
      <c r="A625" s="17"/>
      <c r="B625" s="17"/>
      <c r="C625" s="18"/>
      <c r="D625" s="17"/>
    </row>
    <row r="626" spans="1:4" ht="19.5" customHeight="1" x14ac:dyDescent="0.2">
      <c r="A626" s="17"/>
      <c r="B626" s="17"/>
      <c r="C626" s="18"/>
      <c r="D626" s="17"/>
    </row>
    <row r="627" spans="1:4" ht="19.5" customHeight="1" x14ac:dyDescent="0.2">
      <c r="A627" s="17"/>
      <c r="B627" s="17"/>
      <c r="C627" s="18"/>
      <c r="D627" s="17"/>
    </row>
    <row r="628" spans="1:4" ht="19.5" customHeight="1" x14ac:dyDescent="0.2">
      <c r="A628" s="17"/>
      <c r="B628" s="17"/>
      <c r="C628" s="18"/>
      <c r="D628" s="17"/>
    </row>
    <row r="629" spans="1:4" ht="19.5" customHeight="1" x14ac:dyDescent="0.2">
      <c r="A629" s="17"/>
      <c r="B629" s="17"/>
      <c r="C629" s="18"/>
      <c r="D629" s="17"/>
    </row>
    <row r="630" spans="1:4" ht="19.5" customHeight="1" x14ac:dyDescent="0.2">
      <c r="A630" s="17"/>
      <c r="B630" s="17"/>
      <c r="C630" s="18"/>
      <c r="D630" s="17"/>
    </row>
    <row r="631" spans="1:4" ht="19.5" customHeight="1" x14ac:dyDescent="0.2">
      <c r="A631" s="17"/>
      <c r="B631" s="17"/>
      <c r="C631" s="18"/>
      <c r="D631" s="17"/>
    </row>
    <row r="632" spans="1:4" ht="19.5" customHeight="1" x14ac:dyDescent="0.2">
      <c r="A632" s="17"/>
      <c r="B632" s="17"/>
      <c r="C632" s="18"/>
      <c r="D632" s="17"/>
    </row>
    <row r="633" spans="1:4" ht="19.5" customHeight="1" x14ac:dyDescent="0.2">
      <c r="A633" s="17"/>
      <c r="B633" s="17"/>
      <c r="C633" s="18"/>
      <c r="D633" s="17"/>
    </row>
    <row r="634" spans="1:4" ht="19.5" customHeight="1" x14ac:dyDescent="0.2">
      <c r="A634" s="17"/>
      <c r="B634" s="17"/>
      <c r="C634" s="18"/>
      <c r="D634" s="17"/>
    </row>
    <row r="635" spans="1:4" ht="19.5" customHeight="1" x14ac:dyDescent="0.2">
      <c r="A635" s="17"/>
      <c r="B635" s="17"/>
      <c r="C635" s="18"/>
      <c r="D635" s="17"/>
    </row>
    <row r="636" spans="1:4" ht="19.5" customHeight="1" x14ac:dyDescent="0.2">
      <c r="A636" s="17"/>
      <c r="B636" s="17"/>
      <c r="C636" s="18"/>
      <c r="D636" s="17"/>
    </row>
    <row r="637" spans="1:4" ht="19.5" customHeight="1" x14ac:dyDescent="0.2">
      <c r="A637" s="17"/>
      <c r="B637" s="17"/>
      <c r="C637" s="18"/>
      <c r="D637" s="17"/>
    </row>
    <row r="638" spans="1:4" ht="19.5" customHeight="1" x14ac:dyDescent="0.2">
      <c r="A638" s="17"/>
      <c r="B638" s="17"/>
      <c r="C638" s="18"/>
      <c r="D638" s="17"/>
    </row>
    <row r="639" spans="1:4" ht="19.5" customHeight="1" x14ac:dyDescent="0.2">
      <c r="A639" s="17"/>
      <c r="B639" s="17"/>
      <c r="C639" s="18"/>
      <c r="D639" s="17"/>
    </row>
    <row r="640" spans="1:4" ht="19.5" customHeight="1" x14ac:dyDescent="0.2">
      <c r="A640" s="17"/>
      <c r="B640" s="17"/>
      <c r="C640" s="18"/>
      <c r="D640" s="17"/>
    </row>
    <row r="641" spans="1:4" ht="19.5" customHeight="1" x14ac:dyDescent="0.2">
      <c r="A641" s="17"/>
      <c r="B641" s="17"/>
      <c r="C641" s="18"/>
      <c r="D641" s="17"/>
    </row>
    <row r="642" spans="1:4" ht="19.5" customHeight="1" x14ac:dyDescent="0.2">
      <c r="A642" s="17"/>
      <c r="B642" s="17"/>
      <c r="C642" s="18"/>
      <c r="D642" s="17"/>
    </row>
    <row r="643" spans="1:4" ht="19.5" customHeight="1" x14ac:dyDescent="0.2">
      <c r="A643" s="17"/>
      <c r="B643" s="17"/>
      <c r="C643" s="18"/>
      <c r="D643" s="17"/>
    </row>
    <row r="644" spans="1:4" ht="19.5" customHeight="1" x14ac:dyDescent="0.2">
      <c r="A644" s="17"/>
      <c r="B644" s="17"/>
      <c r="C644" s="18"/>
      <c r="D644" s="17"/>
    </row>
    <row r="645" spans="1:4" ht="19.5" customHeight="1" x14ac:dyDescent="0.2">
      <c r="A645" s="17"/>
      <c r="B645" s="17"/>
      <c r="C645" s="18"/>
      <c r="D645" s="17"/>
    </row>
    <row r="646" spans="1:4" ht="19.5" customHeight="1" x14ac:dyDescent="0.2">
      <c r="A646" s="17"/>
      <c r="B646" s="17"/>
      <c r="C646" s="18"/>
      <c r="D646" s="17"/>
    </row>
    <row r="647" spans="1:4" ht="19.5" customHeight="1" x14ac:dyDescent="0.2">
      <c r="A647" s="17"/>
      <c r="B647" s="17"/>
      <c r="C647" s="18"/>
      <c r="D647" s="17"/>
    </row>
    <row r="648" spans="1:4" ht="19.5" customHeight="1" x14ac:dyDescent="0.2">
      <c r="A648" s="17"/>
      <c r="B648" s="17"/>
      <c r="C648" s="18"/>
      <c r="D648" s="17"/>
    </row>
    <row r="649" spans="1:4" ht="19.5" customHeight="1" x14ac:dyDescent="0.2">
      <c r="A649" s="17"/>
      <c r="B649" s="17"/>
      <c r="C649" s="18"/>
      <c r="D649" s="17"/>
    </row>
    <row r="650" spans="1:4" ht="19.5" customHeight="1" x14ac:dyDescent="0.2">
      <c r="A650" s="17"/>
      <c r="B650" s="17"/>
      <c r="C650" s="18"/>
      <c r="D650" s="17"/>
    </row>
    <row r="651" spans="1:4" ht="19.5" customHeight="1" x14ac:dyDescent="0.2">
      <c r="A651" s="17"/>
      <c r="B651" s="17"/>
      <c r="C651" s="18"/>
      <c r="D651" s="17"/>
    </row>
    <row r="652" spans="1:4" ht="19.5" customHeight="1" x14ac:dyDescent="0.2">
      <c r="A652" s="17"/>
      <c r="B652" s="17"/>
      <c r="C652" s="18"/>
      <c r="D652" s="17"/>
    </row>
    <row r="653" spans="1:4" ht="19.5" customHeight="1" x14ac:dyDescent="0.2">
      <c r="A653" s="17"/>
      <c r="B653" s="17"/>
      <c r="C653" s="18"/>
      <c r="D653" s="17"/>
    </row>
    <row r="654" spans="1:4" ht="19.5" customHeight="1" x14ac:dyDescent="0.2">
      <c r="A654" s="17"/>
      <c r="B654" s="17"/>
      <c r="C654" s="18"/>
      <c r="D654" s="17"/>
    </row>
    <row r="655" spans="1:4" ht="19.5" customHeight="1" x14ac:dyDescent="0.2">
      <c r="A655" s="17"/>
      <c r="B655" s="17"/>
      <c r="C655" s="18"/>
      <c r="D655" s="17"/>
    </row>
    <row r="656" spans="1:4" ht="19.5" customHeight="1" x14ac:dyDescent="0.2">
      <c r="A656" s="17"/>
      <c r="B656" s="17"/>
      <c r="C656" s="18"/>
      <c r="D656" s="17"/>
    </row>
    <row r="657" spans="1:4" ht="19.5" customHeight="1" x14ac:dyDescent="0.2">
      <c r="A657" s="17"/>
      <c r="B657" s="17"/>
      <c r="C657" s="18"/>
      <c r="D657" s="17"/>
    </row>
    <row r="658" spans="1:4" ht="19.5" customHeight="1" x14ac:dyDescent="0.2">
      <c r="A658" s="17"/>
      <c r="B658" s="17"/>
      <c r="C658" s="18"/>
      <c r="D658" s="17"/>
    </row>
    <row r="659" spans="1:4" ht="19.5" customHeight="1" x14ac:dyDescent="0.2">
      <c r="A659" s="17"/>
      <c r="B659" s="17"/>
      <c r="C659" s="18"/>
      <c r="D659" s="17"/>
    </row>
    <row r="660" spans="1:4" ht="19.5" customHeight="1" x14ac:dyDescent="0.2">
      <c r="A660" s="17"/>
      <c r="B660" s="17"/>
      <c r="C660" s="18"/>
      <c r="D660" s="17"/>
    </row>
    <row r="661" spans="1:4" ht="19.5" customHeight="1" x14ac:dyDescent="0.2">
      <c r="A661" s="17"/>
      <c r="B661" s="17"/>
      <c r="C661" s="18"/>
      <c r="D661" s="17"/>
    </row>
    <row r="662" spans="1:4" ht="19.5" customHeight="1" x14ac:dyDescent="0.2">
      <c r="A662" s="17"/>
      <c r="B662" s="17"/>
      <c r="C662" s="18"/>
      <c r="D662" s="17"/>
    </row>
    <row r="663" spans="1:4" ht="19.5" customHeight="1" x14ac:dyDescent="0.2">
      <c r="A663" s="17"/>
      <c r="B663" s="17"/>
      <c r="C663" s="18"/>
      <c r="D663" s="17"/>
    </row>
    <row r="664" spans="1:4" ht="19.5" customHeight="1" x14ac:dyDescent="0.2">
      <c r="A664" s="17"/>
      <c r="B664" s="17"/>
      <c r="C664" s="18"/>
      <c r="D664" s="17"/>
    </row>
    <row r="665" spans="1:4" ht="19.5" customHeight="1" x14ac:dyDescent="0.2">
      <c r="A665" s="17"/>
      <c r="B665" s="17"/>
      <c r="C665" s="18"/>
      <c r="D665" s="17"/>
    </row>
    <row r="666" spans="1:4" ht="19.5" customHeight="1" x14ac:dyDescent="0.2">
      <c r="A666" s="17"/>
      <c r="B666" s="17"/>
      <c r="C666" s="18"/>
      <c r="D666" s="17"/>
    </row>
    <row r="667" spans="1:4" ht="19.5" customHeight="1" x14ac:dyDescent="0.2">
      <c r="A667" s="17"/>
      <c r="B667" s="17"/>
      <c r="C667" s="18"/>
      <c r="D667" s="17"/>
    </row>
    <row r="668" spans="1:4" ht="19.5" customHeight="1" x14ac:dyDescent="0.2">
      <c r="A668" s="17"/>
      <c r="B668" s="17"/>
      <c r="C668" s="18"/>
      <c r="D668" s="17"/>
    </row>
    <row r="669" spans="1:4" ht="19.5" customHeight="1" x14ac:dyDescent="0.2">
      <c r="A669" s="17"/>
      <c r="B669" s="17"/>
      <c r="C669" s="18"/>
      <c r="D669" s="17"/>
    </row>
    <row r="670" spans="1:4" ht="19.5" customHeight="1" x14ac:dyDescent="0.2">
      <c r="A670" s="17"/>
      <c r="B670" s="17"/>
      <c r="C670" s="18"/>
      <c r="D670" s="17"/>
    </row>
    <row r="671" spans="1:4" ht="19.5" customHeight="1" x14ac:dyDescent="0.2">
      <c r="A671" s="17"/>
      <c r="B671" s="17"/>
      <c r="C671" s="18"/>
      <c r="D671" s="17"/>
    </row>
    <row r="672" spans="1:4" ht="19.5" customHeight="1" x14ac:dyDescent="0.2">
      <c r="A672" s="17"/>
      <c r="B672" s="17"/>
      <c r="C672" s="18"/>
      <c r="D672" s="17"/>
    </row>
    <row r="673" spans="1:4" ht="19.5" customHeight="1" x14ac:dyDescent="0.2">
      <c r="A673" s="17"/>
      <c r="B673" s="17"/>
      <c r="C673" s="18"/>
      <c r="D673" s="17"/>
    </row>
    <row r="674" spans="1:4" ht="19.5" customHeight="1" x14ac:dyDescent="0.2">
      <c r="A674" s="17"/>
      <c r="B674" s="17"/>
      <c r="C674" s="18"/>
      <c r="D674" s="17"/>
    </row>
    <row r="675" spans="1:4" ht="19.5" customHeight="1" x14ac:dyDescent="0.2">
      <c r="A675" s="17"/>
      <c r="B675" s="17"/>
      <c r="C675" s="18"/>
      <c r="D675" s="17"/>
    </row>
    <row r="676" spans="1:4" ht="19.5" customHeight="1" x14ac:dyDescent="0.2">
      <c r="A676" s="17"/>
      <c r="B676" s="17"/>
      <c r="C676" s="18"/>
      <c r="D676" s="17"/>
    </row>
    <row r="677" spans="1:4" ht="19.5" customHeight="1" x14ac:dyDescent="0.2">
      <c r="A677" s="17"/>
      <c r="B677" s="17"/>
      <c r="C677" s="18"/>
      <c r="D677" s="17"/>
    </row>
    <row r="678" spans="1:4" ht="19.5" customHeight="1" x14ac:dyDescent="0.2">
      <c r="A678" s="17"/>
      <c r="B678" s="17"/>
      <c r="C678" s="18"/>
      <c r="D678" s="17"/>
    </row>
    <row r="679" spans="1:4" ht="19.5" customHeight="1" x14ac:dyDescent="0.2">
      <c r="A679" s="17"/>
      <c r="B679" s="17"/>
      <c r="C679" s="18"/>
      <c r="D679" s="17"/>
    </row>
    <row r="680" spans="1:4" ht="19.5" customHeight="1" x14ac:dyDescent="0.2">
      <c r="A680" s="17"/>
      <c r="B680" s="17"/>
      <c r="C680" s="18"/>
      <c r="D680" s="17"/>
    </row>
    <row r="681" spans="1:4" ht="19.5" customHeight="1" x14ac:dyDescent="0.2">
      <c r="A681" s="17"/>
      <c r="B681" s="17"/>
      <c r="C681" s="18"/>
      <c r="D681" s="17"/>
    </row>
    <row r="682" spans="1:4" ht="19.5" customHeight="1" x14ac:dyDescent="0.2">
      <c r="A682" s="17"/>
      <c r="B682" s="17"/>
      <c r="C682" s="18"/>
      <c r="D682" s="17"/>
    </row>
    <row r="683" spans="1:4" ht="19.5" customHeight="1" x14ac:dyDescent="0.2">
      <c r="A683" s="17"/>
      <c r="B683" s="17"/>
      <c r="C683" s="18"/>
      <c r="D683" s="17"/>
    </row>
    <row r="684" spans="1:4" ht="19.5" customHeight="1" x14ac:dyDescent="0.2">
      <c r="A684" s="17"/>
      <c r="B684" s="17"/>
      <c r="C684" s="18"/>
      <c r="D684" s="17"/>
    </row>
    <row r="685" spans="1:4" ht="19.5" customHeight="1" x14ac:dyDescent="0.2">
      <c r="A685" s="17"/>
      <c r="B685" s="17"/>
      <c r="C685" s="18"/>
      <c r="D685" s="17"/>
    </row>
    <row r="686" spans="1:4" ht="19.5" customHeight="1" x14ac:dyDescent="0.2">
      <c r="A686" s="17"/>
      <c r="B686" s="17"/>
      <c r="C686" s="18"/>
      <c r="D686" s="17"/>
    </row>
    <row r="687" spans="1:4" ht="19.5" customHeight="1" x14ac:dyDescent="0.2">
      <c r="A687" s="17"/>
      <c r="B687" s="17"/>
      <c r="C687" s="18"/>
      <c r="D687" s="17"/>
    </row>
    <row r="688" spans="1:4" ht="19.5" customHeight="1" x14ac:dyDescent="0.2">
      <c r="A688" s="17"/>
      <c r="B688" s="17"/>
      <c r="C688" s="18"/>
      <c r="D688" s="17"/>
    </row>
    <row r="689" spans="1:4" ht="19.5" customHeight="1" x14ac:dyDescent="0.2">
      <c r="A689" s="17"/>
      <c r="B689" s="17"/>
      <c r="C689" s="18"/>
      <c r="D689" s="17"/>
    </row>
    <row r="690" spans="1:4" ht="19.5" customHeight="1" x14ac:dyDescent="0.2">
      <c r="A690" s="17"/>
      <c r="B690" s="17"/>
      <c r="C690" s="18"/>
      <c r="D690" s="17"/>
    </row>
    <row r="691" spans="1:4" ht="19.5" customHeight="1" x14ac:dyDescent="0.2">
      <c r="A691" s="17"/>
      <c r="B691" s="17"/>
      <c r="C691" s="18"/>
      <c r="D691" s="17"/>
    </row>
    <row r="692" spans="1:4" ht="19.5" customHeight="1" x14ac:dyDescent="0.2">
      <c r="A692" s="17"/>
      <c r="B692" s="17"/>
      <c r="C692" s="18"/>
      <c r="D692" s="17"/>
    </row>
    <row r="693" spans="1:4" ht="19.5" customHeight="1" x14ac:dyDescent="0.2">
      <c r="A693" s="17"/>
      <c r="B693" s="17"/>
      <c r="C693" s="18"/>
      <c r="D693" s="17"/>
    </row>
    <row r="694" spans="1:4" ht="19.5" customHeight="1" x14ac:dyDescent="0.2">
      <c r="A694" s="17"/>
      <c r="B694" s="17"/>
      <c r="C694" s="18"/>
      <c r="D694" s="17"/>
    </row>
    <row r="695" spans="1:4" ht="19.5" customHeight="1" x14ac:dyDescent="0.2">
      <c r="A695" s="17"/>
      <c r="B695" s="17"/>
      <c r="C695" s="18"/>
      <c r="D695" s="17"/>
    </row>
    <row r="696" spans="1:4" ht="19.5" customHeight="1" x14ac:dyDescent="0.2">
      <c r="A696" s="17"/>
      <c r="B696" s="17"/>
      <c r="C696" s="18"/>
      <c r="D696" s="17"/>
    </row>
    <row r="697" spans="1:4" ht="19.5" customHeight="1" x14ac:dyDescent="0.2">
      <c r="A697" s="17"/>
      <c r="B697" s="17"/>
      <c r="C697" s="18"/>
      <c r="D697" s="17"/>
    </row>
    <row r="698" spans="1:4" ht="19.5" customHeight="1" x14ac:dyDescent="0.2">
      <c r="A698" s="17"/>
      <c r="B698" s="17"/>
      <c r="C698" s="18"/>
      <c r="D698" s="17"/>
    </row>
    <row r="699" spans="1:4" ht="19.5" customHeight="1" x14ac:dyDescent="0.2">
      <c r="A699" s="17"/>
      <c r="B699" s="17"/>
      <c r="C699" s="18"/>
      <c r="D699" s="17"/>
    </row>
    <row r="700" spans="1:4" ht="19.5" customHeight="1" x14ac:dyDescent="0.2">
      <c r="A700" s="17"/>
      <c r="B700" s="17"/>
      <c r="C700" s="18"/>
      <c r="D700" s="17"/>
    </row>
    <row r="701" spans="1:4" ht="19.5" customHeight="1" x14ac:dyDescent="0.2">
      <c r="A701" s="17"/>
      <c r="B701" s="17"/>
      <c r="C701" s="18"/>
      <c r="D701" s="17"/>
    </row>
    <row r="702" spans="1:4" ht="19.5" customHeight="1" x14ac:dyDescent="0.2">
      <c r="A702" s="17"/>
      <c r="B702" s="17"/>
      <c r="C702" s="18"/>
      <c r="D702" s="17"/>
    </row>
    <row r="703" spans="1:4" ht="19.5" customHeight="1" x14ac:dyDescent="0.2">
      <c r="A703" s="17"/>
      <c r="B703" s="17"/>
      <c r="C703" s="18"/>
      <c r="D703" s="17"/>
    </row>
    <row r="704" spans="1:4" ht="19.5" customHeight="1" x14ac:dyDescent="0.2">
      <c r="A704" s="17"/>
      <c r="B704" s="17"/>
      <c r="C704" s="18"/>
      <c r="D704" s="17"/>
    </row>
    <row r="705" spans="1:4" ht="19.5" customHeight="1" x14ac:dyDescent="0.2">
      <c r="A705" s="17"/>
      <c r="B705" s="17"/>
      <c r="C705" s="18"/>
      <c r="D705" s="17"/>
    </row>
    <row r="706" spans="1:4" ht="19.5" customHeight="1" x14ac:dyDescent="0.2">
      <c r="A706" s="17"/>
      <c r="B706" s="17"/>
      <c r="C706" s="18"/>
      <c r="D706" s="17"/>
    </row>
    <row r="707" spans="1:4" ht="19.5" customHeight="1" x14ac:dyDescent="0.2">
      <c r="A707" s="17"/>
      <c r="B707" s="17"/>
      <c r="C707" s="18"/>
      <c r="D707" s="17"/>
    </row>
    <row r="708" spans="1:4" ht="19.5" customHeight="1" x14ac:dyDescent="0.2">
      <c r="A708" s="17"/>
      <c r="B708" s="17"/>
      <c r="C708" s="18"/>
      <c r="D708" s="17"/>
    </row>
    <row r="709" spans="1:4" ht="19.5" customHeight="1" x14ac:dyDescent="0.2">
      <c r="A709" s="17"/>
      <c r="B709" s="17"/>
      <c r="C709" s="18"/>
      <c r="D709" s="17"/>
    </row>
    <row r="710" spans="1:4" ht="19.5" customHeight="1" x14ac:dyDescent="0.2">
      <c r="A710" s="17"/>
      <c r="B710" s="17"/>
      <c r="C710" s="16"/>
      <c r="D710" s="17"/>
    </row>
    <row r="711" spans="1:4" ht="19.5" customHeight="1" x14ac:dyDescent="0.2">
      <c r="C711" s="16"/>
    </row>
    <row r="712" spans="1:4" ht="19.5" customHeight="1" x14ac:dyDescent="0.2">
      <c r="C712" s="16"/>
    </row>
    <row r="713" spans="1:4" ht="19.5" customHeight="1" x14ac:dyDescent="0.2">
      <c r="C713" s="16"/>
    </row>
    <row r="714" spans="1:4" ht="19.5" customHeight="1" x14ac:dyDescent="0.2">
      <c r="C714" s="16"/>
    </row>
    <row r="715" spans="1:4" ht="19.5" customHeight="1" x14ac:dyDescent="0.2">
      <c r="C715" s="16"/>
    </row>
    <row r="716" spans="1:4" ht="19.5" customHeight="1" x14ac:dyDescent="0.2">
      <c r="C716" s="16"/>
    </row>
    <row r="717" spans="1:4" ht="19.5" customHeight="1" x14ac:dyDescent="0.2">
      <c r="C717" s="16"/>
    </row>
    <row r="718" spans="1:4" ht="19.5" customHeight="1" x14ac:dyDescent="0.2">
      <c r="C718" s="16"/>
    </row>
    <row r="719" spans="1:4" ht="19.5" customHeight="1" x14ac:dyDescent="0.2">
      <c r="C719" s="16"/>
    </row>
    <row r="720" spans="1:4" ht="19.5" customHeight="1" x14ac:dyDescent="0.2">
      <c r="C720" s="16"/>
    </row>
    <row r="721" spans="3:3" ht="19.5" customHeight="1" x14ac:dyDescent="0.2">
      <c r="C721" s="16"/>
    </row>
    <row r="722" spans="3:3" ht="19.5" customHeight="1" x14ac:dyDescent="0.2">
      <c r="C722" s="16"/>
    </row>
    <row r="723" spans="3:3" ht="19.5" customHeight="1" x14ac:dyDescent="0.2">
      <c r="C723" s="16"/>
    </row>
    <row r="724" spans="3:3" ht="19.5" customHeight="1" x14ac:dyDescent="0.2">
      <c r="C724" s="16"/>
    </row>
    <row r="725" spans="3:3" ht="19.5" customHeight="1" x14ac:dyDescent="0.2">
      <c r="C725" s="16"/>
    </row>
    <row r="726" spans="3:3" ht="19.5" customHeight="1" x14ac:dyDescent="0.2">
      <c r="C726" s="16"/>
    </row>
    <row r="727" spans="3:3" ht="19.5" customHeight="1" x14ac:dyDescent="0.2">
      <c r="C727" s="16"/>
    </row>
    <row r="728" spans="3:3" ht="19.5" customHeight="1" x14ac:dyDescent="0.2">
      <c r="C728" s="16"/>
    </row>
    <row r="729" spans="3:3" ht="19.5" customHeight="1" x14ac:dyDescent="0.2">
      <c r="C729" s="16"/>
    </row>
    <row r="730" spans="3:3" ht="19.5" customHeight="1" x14ac:dyDescent="0.2">
      <c r="C730" s="16"/>
    </row>
    <row r="731" spans="3:3" ht="19.5" customHeight="1" x14ac:dyDescent="0.2">
      <c r="C731" s="16"/>
    </row>
    <row r="732" spans="3:3" ht="19.5" customHeight="1" x14ac:dyDescent="0.2">
      <c r="C732" s="16"/>
    </row>
    <row r="733" spans="3:3" ht="19.5" customHeight="1" x14ac:dyDescent="0.2">
      <c r="C733" s="16"/>
    </row>
    <row r="734" spans="3:3" ht="19.5" customHeight="1" x14ac:dyDescent="0.2">
      <c r="C734" s="16"/>
    </row>
    <row r="735" spans="3:3" ht="19.5" customHeight="1" x14ac:dyDescent="0.2">
      <c r="C735" s="16"/>
    </row>
  </sheetData>
  <mergeCells count="27">
    <mergeCell ref="A74:C74"/>
    <mergeCell ref="A1:C1"/>
    <mergeCell ref="A3:C3"/>
    <mergeCell ref="A34:D34"/>
    <mergeCell ref="A35:D35"/>
    <mergeCell ref="A47:D47"/>
    <mergeCell ref="A8:A9"/>
    <mergeCell ref="D2:E2"/>
    <mergeCell ref="A2:B2"/>
    <mergeCell ref="A43:D43"/>
    <mergeCell ref="A44:D44"/>
    <mergeCell ref="A45:D45"/>
    <mergeCell ref="A36:D36"/>
    <mergeCell ref="A46:D46"/>
    <mergeCell ref="A37:D37"/>
    <mergeCell ref="A39:D39"/>
    <mergeCell ref="A42:D42"/>
    <mergeCell ref="A38:D38"/>
    <mergeCell ref="A40:D40"/>
    <mergeCell ref="A41:D41"/>
    <mergeCell ref="N1:Q1"/>
    <mergeCell ref="N2:O2"/>
    <mergeCell ref="N3:Q3"/>
    <mergeCell ref="N8:N9"/>
    <mergeCell ref="O8:P8"/>
    <mergeCell ref="Q8:R8"/>
    <mergeCell ref="O30:P30"/>
  </mergeCells>
  <phoneticPr fontId="20" type="noConversion"/>
  <pageMargins left="0.51181102362204722" right="0.51181102362204722" top="0.51181102362204722" bottom="0.51181102362204722" header="0" footer="0"/>
  <pageSetup paperSize="119" scale="40" fitToWidth="2" fitToHeight="0" orientation="portrait" r:id="rId1"/>
  <headerFooter differentOddEven="1">
    <oddHeader>&amp;RANALISIS DE PRECIOS UNITARIOS CARDER 2018</oddHeader>
    <oddFooter>Página &amp;P&amp;R&amp;A</oddFooter>
  </headerFooter>
  <ignoredErrors>
    <ignoredError sqref="C55 B66 B63"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D4B2F"/>
    <pageSetUpPr autoPageBreaks="0"/>
  </sheetPr>
  <dimension ref="A1:AT5536"/>
  <sheetViews>
    <sheetView showGridLines="0" view="pageBreakPreview" topLeftCell="A4287" zoomScale="80" zoomScaleNormal="80" zoomScaleSheetLayoutView="80" workbookViewId="0">
      <selection activeCell="D4341" sqref="D4341"/>
    </sheetView>
  </sheetViews>
  <sheetFormatPr baseColWidth="10" defaultColWidth="9.125" defaultRowHeight="19.5" customHeight="1" x14ac:dyDescent="0.2"/>
  <cols>
    <col min="1" max="1" width="0.625" style="104" customWidth="1"/>
    <col min="2" max="2" width="13" style="125" customWidth="1"/>
    <col min="3" max="3" width="14.25" style="104" hidden="1" customWidth="1"/>
    <col min="4" max="4" width="68.75" style="104" customWidth="1"/>
    <col min="5" max="5" width="11.125" style="126" customWidth="1"/>
    <col min="6" max="6" width="11.625" style="102" customWidth="1"/>
    <col min="7" max="7" width="14.125" style="103" customWidth="1"/>
    <col min="8" max="8" width="12.25" style="104" customWidth="1"/>
    <col min="9" max="9" width="14.25" style="103" customWidth="1"/>
    <col min="10" max="10" width="14.875" style="104" hidden="1" customWidth="1"/>
    <col min="11" max="11" width="15.25" style="104" hidden="1" customWidth="1"/>
    <col min="12" max="12" width="15.125" style="104" hidden="1" customWidth="1"/>
    <col min="13" max="13" width="11.625" style="104" hidden="1" customWidth="1"/>
    <col min="14" max="14" width="17.25" style="104" hidden="1" customWidth="1"/>
    <col min="15" max="15" width="22.25" style="104" hidden="1" customWidth="1"/>
    <col min="16" max="18" width="0" style="104" hidden="1" customWidth="1"/>
    <col min="19" max="19" width="20.625" style="104" hidden="1" customWidth="1"/>
    <col min="20" max="20" width="16.25" style="104" hidden="1" customWidth="1"/>
    <col min="21" max="21" width="17.625" style="104" hidden="1" customWidth="1"/>
    <col min="22" max="22" width="19.125" style="104" hidden="1" customWidth="1"/>
    <col min="23" max="23" width="20" style="104" hidden="1" customWidth="1"/>
    <col min="24" max="25" width="21.375" style="104" hidden="1" customWidth="1"/>
    <col min="26" max="26" width="19.25" style="104" hidden="1" customWidth="1"/>
    <col min="27" max="27" width="25" style="104" hidden="1" customWidth="1"/>
    <col min="28" max="28" width="16.125" style="104" hidden="1" customWidth="1"/>
    <col min="29" max="29" width="20.375" style="104" hidden="1" customWidth="1"/>
    <col min="30" max="30" width="22.875" style="104" hidden="1" customWidth="1"/>
    <col min="31" max="31" width="21" style="104" hidden="1" customWidth="1"/>
    <col min="32" max="32" width="22" style="104" hidden="1" customWidth="1"/>
    <col min="33" max="33" width="22.375" style="104" hidden="1" customWidth="1"/>
    <col min="34" max="35" width="18.25" style="104" hidden="1" customWidth="1"/>
    <col min="36" max="36" width="22.375" style="104" hidden="1" customWidth="1"/>
    <col min="37" max="37" width="19.125" style="104" hidden="1" customWidth="1"/>
    <col min="38" max="38" width="22.625" style="104" hidden="1" customWidth="1"/>
    <col min="39" max="39" width="17.125" style="104" hidden="1" customWidth="1"/>
    <col min="40" max="40" width="17.625" style="104" hidden="1" customWidth="1"/>
    <col min="41" max="41" width="19.25" style="104" customWidth="1"/>
    <col min="42" max="16384" width="9.125" style="104"/>
  </cols>
  <sheetData>
    <row r="1" spans="1:40" ht="15" customHeight="1" thickBot="1" x14ac:dyDescent="0.25">
      <c r="J1" s="104">
        <v>1</v>
      </c>
      <c r="K1" s="104">
        <v>2</v>
      </c>
      <c r="L1" s="104">
        <v>5</v>
      </c>
      <c r="M1" s="104">
        <v>6</v>
      </c>
      <c r="N1" s="104">
        <v>7</v>
      </c>
      <c r="O1" s="104">
        <v>8</v>
      </c>
      <c r="P1" s="104">
        <v>9</v>
      </c>
      <c r="Q1" s="104">
        <v>10</v>
      </c>
      <c r="R1" s="104">
        <v>12</v>
      </c>
      <c r="S1" s="104">
        <v>13</v>
      </c>
      <c r="T1" s="104">
        <v>14</v>
      </c>
      <c r="U1" s="104">
        <v>15</v>
      </c>
      <c r="V1" s="104">
        <v>16</v>
      </c>
      <c r="W1" s="104">
        <v>17</v>
      </c>
      <c r="X1" s="104">
        <v>18</v>
      </c>
      <c r="Y1" s="104">
        <v>19</v>
      </c>
      <c r="Z1" s="104">
        <v>20</v>
      </c>
      <c r="AA1" s="104">
        <v>21</v>
      </c>
      <c r="AB1" s="104">
        <v>22</v>
      </c>
      <c r="AC1" s="104">
        <v>23</v>
      </c>
      <c r="AD1" s="104">
        <v>24</v>
      </c>
      <c r="AE1" s="104">
        <v>25</v>
      </c>
      <c r="AF1" s="104">
        <v>26</v>
      </c>
      <c r="AG1" s="104">
        <v>27</v>
      </c>
      <c r="AH1" s="104">
        <v>28</v>
      </c>
      <c r="AI1" s="104">
        <v>29</v>
      </c>
      <c r="AJ1" s="104">
        <v>30</v>
      </c>
      <c r="AK1" s="104">
        <v>31</v>
      </c>
      <c r="AL1" s="104">
        <v>32</v>
      </c>
      <c r="AM1" s="104">
        <v>34</v>
      </c>
      <c r="AN1" s="104">
        <v>35</v>
      </c>
    </row>
    <row r="2" spans="1:40" ht="12" customHeight="1" x14ac:dyDescent="0.2">
      <c r="B2" s="127"/>
      <c r="C2" s="128"/>
      <c r="D2" s="128"/>
      <c r="E2" s="128"/>
      <c r="F2" s="128"/>
      <c r="G2" s="128"/>
      <c r="H2" s="128"/>
      <c r="I2" s="129"/>
    </row>
    <row r="3" spans="1:40" ht="31.5" customHeight="1" x14ac:dyDescent="0.2">
      <c r="B3" s="661" t="s">
        <v>3328</v>
      </c>
      <c r="C3" s="662"/>
      <c r="D3" s="662"/>
      <c r="E3" s="662"/>
      <c r="F3" s="662"/>
      <c r="G3" s="662"/>
      <c r="H3" s="662"/>
      <c r="I3" s="663"/>
    </row>
    <row r="4" spans="1:40" ht="12" customHeight="1" thickBot="1" x14ac:dyDescent="0.25">
      <c r="B4" s="130"/>
      <c r="C4" s="131"/>
      <c r="D4" s="131"/>
      <c r="E4" s="131"/>
      <c r="F4" s="131"/>
      <c r="G4" s="131"/>
      <c r="H4" s="131"/>
      <c r="I4" s="132"/>
    </row>
    <row r="5" spans="1:40" s="47" customFormat="1" ht="66.599999999999994" thickBot="1" x14ac:dyDescent="0.25">
      <c r="B5" s="133" t="s">
        <v>1407</v>
      </c>
      <c r="C5" s="133" t="s">
        <v>1014</v>
      </c>
      <c r="D5" s="133" t="s">
        <v>1408</v>
      </c>
      <c r="E5" s="133" t="s">
        <v>1409</v>
      </c>
      <c r="F5" s="134" t="s">
        <v>1013</v>
      </c>
      <c r="G5" s="135" t="s">
        <v>1410</v>
      </c>
      <c r="H5" s="136" t="s">
        <v>1027</v>
      </c>
      <c r="I5" s="135" t="s">
        <v>1028</v>
      </c>
    </row>
    <row r="6" spans="1:40" ht="22.5" customHeight="1" x14ac:dyDescent="0.2">
      <c r="A6" s="125"/>
      <c r="B6" s="117" t="s">
        <v>1579</v>
      </c>
      <c r="C6" s="137"/>
      <c r="D6" s="112" t="s">
        <v>1580</v>
      </c>
      <c r="E6" s="117" t="s">
        <v>2585</v>
      </c>
      <c r="F6" s="138"/>
      <c r="G6" s="119">
        <f>ROUND(SUM(I6:I9),0)</f>
        <v>6549</v>
      </c>
      <c r="H6" s="120"/>
      <c r="I6" s="119"/>
    </row>
    <row r="7" spans="1:40" ht="36.75" customHeight="1" x14ac:dyDescent="0.2">
      <c r="B7" s="678" t="s">
        <v>1034</v>
      </c>
      <c r="C7" s="108" t="str">
        <f>+'LISTA DE INSUMOS'!A7</f>
        <v>MOB004</v>
      </c>
      <c r="D7" s="139" t="str">
        <f>+'LISTA DE INSUMOS'!B7</f>
        <v>Ayudante (jornal + prestaciones)</v>
      </c>
      <c r="E7" s="108" t="str">
        <f>+'LISTA DE INSUMOS'!C7</f>
        <v>Dia</v>
      </c>
      <c r="F7" s="140">
        <v>1</v>
      </c>
      <c r="G7" s="141">
        <f>+'LISTA DE INSUMOS'!E7</f>
        <v>81861</v>
      </c>
      <c r="H7" s="142">
        <f>1/15</f>
        <v>6.6666666666666666E-2</v>
      </c>
      <c r="I7" s="141">
        <f>ROUND((F7*G7*H7),0)</f>
        <v>5457</v>
      </c>
    </row>
    <row r="8" spans="1:40" ht="24.9" customHeight="1" thickBot="1" x14ac:dyDescent="0.25">
      <c r="B8" s="705"/>
      <c r="C8" s="108" t="str">
        <f>+'LISTA DE INSUMOS'!A14</f>
        <v>MOB011</v>
      </c>
      <c r="D8" s="139" t="str">
        <f>+'LISTA DE INSUMOS'!B14</f>
        <v>Acarreo Horizontal (% mano obra)</v>
      </c>
      <c r="E8" s="108" t="str">
        <f>+'LISTA DE INSUMOS'!C14</f>
        <v>% MO</v>
      </c>
      <c r="F8" s="140">
        <v>0.1</v>
      </c>
      <c r="G8" s="141">
        <f>I7</f>
        <v>5457</v>
      </c>
      <c r="H8" s="108">
        <v>0</v>
      </c>
      <c r="I8" s="141">
        <f>ROUND((F8*G8),0)</f>
        <v>546</v>
      </c>
      <c r="J8" s="47"/>
      <c r="K8" s="143"/>
    </row>
    <row r="9" spans="1:40" ht="24.9" customHeight="1" thickTop="1" thickBot="1" x14ac:dyDescent="0.25">
      <c r="A9" s="736"/>
      <c r="B9" s="144" t="s">
        <v>1033</v>
      </c>
      <c r="C9" s="145" t="str">
        <f>+'LISTA DE INSUMOS'!A758</f>
        <v>EQU002</v>
      </c>
      <c r="D9" s="146" t="str">
        <f>+'LISTA DE INSUMOS'!B758</f>
        <v>Herramienta menor (% mano obra)</v>
      </c>
      <c r="E9" s="145" t="str">
        <f>+'LISTA DE INSUMOS'!C758</f>
        <v>%MO</v>
      </c>
      <c r="F9" s="147">
        <v>0.1</v>
      </c>
      <c r="G9" s="148">
        <f>I7</f>
        <v>5457</v>
      </c>
      <c r="H9" s="145">
        <v>0</v>
      </c>
      <c r="I9" s="148">
        <f>ROUND((F9*G9),0)</f>
        <v>546</v>
      </c>
      <c r="J9" s="47"/>
      <c r="K9" s="143"/>
    </row>
    <row r="10" spans="1:40" ht="24.9" customHeight="1" x14ac:dyDescent="0.2">
      <c r="A10" s="736"/>
      <c r="B10" s="117" t="s">
        <v>1581</v>
      </c>
      <c r="C10" s="117"/>
      <c r="D10" s="112" t="s">
        <v>2605</v>
      </c>
      <c r="E10" s="117" t="s">
        <v>2585</v>
      </c>
      <c r="F10" s="149"/>
      <c r="G10" s="119">
        <f>ROUND(SUM(I10:I13),0)</f>
        <v>1636</v>
      </c>
      <c r="H10" s="120"/>
      <c r="I10" s="119"/>
      <c r="J10" s="47"/>
      <c r="K10" s="143"/>
    </row>
    <row r="11" spans="1:40" ht="24.9" customHeight="1" x14ac:dyDescent="0.2">
      <c r="B11" s="650" t="s">
        <v>1034</v>
      </c>
      <c r="C11" s="108" t="str">
        <f>+'LISTA DE INSUMOS'!A7</f>
        <v>MOB004</v>
      </c>
      <c r="D11" s="139" t="str">
        <f>+'LISTA DE INSUMOS'!B7</f>
        <v>Ayudante (jornal + prestaciones)</v>
      </c>
      <c r="E11" s="108" t="str">
        <f>+'LISTA DE INSUMOS'!C7</f>
        <v>Dia</v>
      </c>
      <c r="F11" s="140">
        <v>1</v>
      </c>
      <c r="G11" s="141">
        <f>+'LISTA DE INSUMOS'!E7</f>
        <v>81861</v>
      </c>
      <c r="H11" s="142">
        <f>1/60</f>
        <v>1.6666666666666666E-2</v>
      </c>
      <c r="I11" s="141">
        <f>ROUND((F11*G11*H11),0)</f>
        <v>1364</v>
      </c>
      <c r="J11" s="47"/>
      <c r="K11" s="143"/>
    </row>
    <row r="12" spans="1:40" ht="24.9" customHeight="1" thickBot="1" x14ac:dyDescent="0.25">
      <c r="B12" s="664"/>
      <c r="C12" s="108" t="str">
        <f>+'LISTA DE INSUMOS'!A14</f>
        <v>MOB011</v>
      </c>
      <c r="D12" s="139" t="str">
        <f>+'LISTA DE INSUMOS'!B14</f>
        <v>Acarreo Horizontal (% mano obra)</v>
      </c>
      <c r="E12" s="108" t="str">
        <f>+'LISTA DE INSUMOS'!C14</f>
        <v>% MO</v>
      </c>
      <c r="F12" s="140">
        <v>0.1</v>
      </c>
      <c r="G12" s="141">
        <f>+I11</f>
        <v>1364</v>
      </c>
      <c r="H12" s="142">
        <v>0</v>
      </c>
      <c r="I12" s="141">
        <f>ROUND((F12*G12),0)</f>
        <v>136</v>
      </c>
      <c r="J12" s="47"/>
      <c r="K12" s="143"/>
    </row>
    <row r="13" spans="1:40" ht="24.9" customHeight="1" thickTop="1" thickBot="1" x14ac:dyDescent="0.25">
      <c r="B13" s="150" t="s">
        <v>1033</v>
      </c>
      <c r="C13" s="151" t="str">
        <f>+'LISTA DE INSUMOS'!A758</f>
        <v>EQU002</v>
      </c>
      <c r="D13" s="146" t="str">
        <f>+'LISTA DE INSUMOS'!B758</f>
        <v>Herramienta menor (% mano obra)</v>
      </c>
      <c r="E13" s="145" t="s">
        <v>2066</v>
      </c>
      <c r="F13" s="147">
        <v>0.1</v>
      </c>
      <c r="G13" s="148">
        <f>+I11</f>
        <v>1364</v>
      </c>
      <c r="H13" s="145">
        <v>0</v>
      </c>
      <c r="I13" s="148">
        <f>ROUND((F13*G13),0)</f>
        <v>136</v>
      </c>
      <c r="J13" s="47"/>
      <c r="K13" s="143"/>
    </row>
    <row r="14" spans="1:40" ht="24.9" customHeight="1" x14ac:dyDescent="0.2">
      <c r="B14" s="117" t="s">
        <v>1786</v>
      </c>
      <c r="C14" s="117"/>
      <c r="D14" s="112" t="s">
        <v>1787</v>
      </c>
      <c r="E14" s="117" t="s">
        <v>2585</v>
      </c>
      <c r="F14" s="149"/>
      <c r="G14" s="119">
        <f>ROUND(SUM(I14:I17),0)</f>
        <v>5894</v>
      </c>
      <c r="H14" s="120"/>
      <c r="I14" s="119"/>
      <c r="J14" s="47"/>
      <c r="K14" s="143"/>
    </row>
    <row r="15" spans="1:40" ht="24.9" customHeight="1" x14ac:dyDescent="0.2">
      <c r="B15" s="678" t="s">
        <v>1034</v>
      </c>
      <c r="C15" s="108" t="str">
        <f>+'LISTA DE INSUMOS'!A9</f>
        <v>MOB006</v>
      </c>
      <c r="D15" s="139" t="str">
        <f>+'LISTA DE INSUMOS'!B9</f>
        <v>Cuadrilla A 1 Of + 4 Ay (jornal + prestaciones)</v>
      </c>
      <c r="E15" s="108" t="str">
        <f>+'LISTA DE INSUMOS'!C9</f>
        <v>Día</v>
      </c>
      <c r="F15" s="140">
        <v>1</v>
      </c>
      <c r="G15" s="141">
        <f>'LISTA DE INSUMOS'!E9</f>
        <v>491167</v>
      </c>
      <c r="H15" s="142">
        <v>0.01</v>
      </c>
      <c r="I15" s="141">
        <f>ROUND((F15*G15*H15),0)</f>
        <v>4912</v>
      </c>
      <c r="J15" s="47"/>
      <c r="K15" s="143"/>
    </row>
    <row r="16" spans="1:40" ht="24.9" customHeight="1" thickBot="1" x14ac:dyDescent="0.25">
      <c r="B16" s="705"/>
      <c r="C16" s="108" t="str">
        <f>+'LISTA DE INSUMOS'!A14</f>
        <v>MOB011</v>
      </c>
      <c r="D16" s="139" t="str">
        <f>+'LISTA DE INSUMOS'!B14</f>
        <v>Acarreo Horizontal (% mano obra)</v>
      </c>
      <c r="E16" s="108" t="str">
        <f>+'LISTA DE INSUMOS'!C14</f>
        <v>% MO</v>
      </c>
      <c r="F16" s="140">
        <v>0.1</v>
      </c>
      <c r="G16" s="141">
        <f>I15</f>
        <v>4912</v>
      </c>
      <c r="H16" s="108">
        <v>0</v>
      </c>
      <c r="I16" s="141">
        <f>ROUND((F16*G16),0)</f>
        <v>491</v>
      </c>
      <c r="J16" s="47"/>
      <c r="K16" s="143"/>
    </row>
    <row r="17" spans="2:11" ht="24.9" customHeight="1" thickTop="1" thickBot="1" x14ac:dyDescent="0.25">
      <c r="B17" s="150" t="s">
        <v>1033</v>
      </c>
      <c r="C17" s="151" t="str">
        <f>+'LISTA DE INSUMOS'!A758</f>
        <v>EQU002</v>
      </c>
      <c r="D17" s="146" t="str">
        <f>+'LISTA DE INSUMOS'!B758</f>
        <v>Herramienta menor (% mano obra)</v>
      </c>
      <c r="E17" s="145" t="str">
        <f>+'LISTA DE INSUMOS'!C758</f>
        <v>%MO</v>
      </c>
      <c r="F17" s="147">
        <v>0.1</v>
      </c>
      <c r="G17" s="148">
        <f>I15</f>
        <v>4912</v>
      </c>
      <c r="H17" s="145">
        <v>0</v>
      </c>
      <c r="I17" s="148">
        <f>ROUND((F17*G17),0)</f>
        <v>491</v>
      </c>
      <c r="J17" s="47"/>
      <c r="K17" s="143"/>
    </row>
    <row r="18" spans="2:11" ht="24.9" customHeight="1" x14ac:dyDescent="0.2">
      <c r="B18" s="117" t="s">
        <v>1718</v>
      </c>
      <c r="C18" s="117"/>
      <c r="D18" s="112" t="s">
        <v>1719</v>
      </c>
      <c r="E18" s="117" t="s">
        <v>2585</v>
      </c>
      <c r="F18" s="149"/>
      <c r="G18" s="119">
        <f>ROUND(SUM(I18:I21),0)</f>
        <v>7368</v>
      </c>
      <c r="H18" s="120"/>
      <c r="I18" s="119"/>
      <c r="J18" s="47"/>
      <c r="K18" s="143"/>
    </row>
    <row r="19" spans="2:11" ht="24.9" customHeight="1" x14ac:dyDescent="0.2">
      <c r="B19" s="678" t="s">
        <v>1034</v>
      </c>
      <c r="C19" s="108" t="str">
        <f>+'LISTA DE INSUMOS'!A9</f>
        <v>MOB006</v>
      </c>
      <c r="D19" s="139" t="str">
        <f>+'LISTA DE INSUMOS'!B9</f>
        <v>Cuadrilla A 1 Of + 4 Ay (jornal + prestaciones)</v>
      </c>
      <c r="E19" s="108" t="str">
        <f>+'LISTA DE INSUMOS'!C9</f>
        <v>Día</v>
      </c>
      <c r="F19" s="140">
        <v>1</v>
      </c>
      <c r="G19" s="141">
        <f>'LISTA DE INSUMOS'!E9</f>
        <v>491167</v>
      </c>
      <c r="H19" s="142">
        <f>1/80</f>
        <v>1.2500000000000001E-2</v>
      </c>
      <c r="I19" s="141">
        <f>ROUND((F19*G19*H19),0)</f>
        <v>6140</v>
      </c>
      <c r="J19" s="47"/>
      <c r="K19" s="143"/>
    </row>
    <row r="20" spans="2:11" ht="24.9" customHeight="1" thickBot="1" x14ac:dyDescent="0.25">
      <c r="B20" s="705"/>
      <c r="C20" s="108" t="str">
        <f>+'LISTA DE INSUMOS'!A14</f>
        <v>MOB011</v>
      </c>
      <c r="D20" s="139" t="str">
        <f>+'LISTA DE INSUMOS'!B14</f>
        <v>Acarreo Horizontal (% mano obra)</v>
      </c>
      <c r="E20" s="108" t="str">
        <f>+'LISTA DE INSUMOS'!C14</f>
        <v>% MO</v>
      </c>
      <c r="F20" s="140">
        <v>0.1</v>
      </c>
      <c r="G20" s="141">
        <f>I19</f>
        <v>6140</v>
      </c>
      <c r="H20" s="108">
        <v>0</v>
      </c>
      <c r="I20" s="141">
        <f>ROUND((F20*G20),0)</f>
        <v>614</v>
      </c>
      <c r="J20" s="47"/>
      <c r="K20" s="143"/>
    </row>
    <row r="21" spans="2:11" ht="24.9" customHeight="1" thickTop="1" thickBot="1" x14ac:dyDescent="0.25">
      <c r="B21" s="150" t="s">
        <v>1033</v>
      </c>
      <c r="C21" s="151" t="str">
        <f>+'LISTA DE INSUMOS'!A758</f>
        <v>EQU002</v>
      </c>
      <c r="D21" s="146" t="str">
        <f>+'LISTA DE INSUMOS'!B758</f>
        <v>Herramienta menor (% mano obra)</v>
      </c>
      <c r="E21" s="145" t="str">
        <f>+'LISTA DE INSUMOS'!C758</f>
        <v>%MO</v>
      </c>
      <c r="F21" s="147">
        <v>0.1</v>
      </c>
      <c r="G21" s="148">
        <f>I19</f>
        <v>6140</v>
      </c>
      <c r="H21" s="145">
        <v>0</v>
      </c>
      <c r="I21" s="148">
        <f>ROUND((F21*G21),0)</f>
        <v>614</v>
      </c>
      <c r="J21" s="47"/>
      <c r="K21" s="143"/>
    </row>
    <row r="22" spans="2:11" ht="24.9" customHeight="1" x14ac:dyDescent="0.2">
      <c r="B22" s="117" t="s">
        <v>1739</v>
      </c>
      <c r="C22" s="117"/>
      <c r="D22" s="112" t="s">
        <v>1740</v>
      </c>
      <c r="E22" s="117" t="s">
        <v>2585</v>
      </c>
      <c r="F22" s="149"/>
      <c r="G22" s="119">
        <f>ROUND(SUM(I22:I29),0)</f>
        <v>4557</v>
      </c>
      <c r="H22" s="120"/>
      <c r="I22" s="119"/>
      <c r="J22" s="47">
        <v>4125</v>
      </c>
      <c r="K22" s="143"/>
    </row>
    <row r="23" spans="2:11" ht="24.9" customHeight="1" x14ac:dyDescent="0.2">
      <c r="B23" s="756" t="s">
        <v>1035</v>
      </c>
      <c r="C23" s="108" t="str">
        <f>+'LISTA DE INSUMOS'!A52</f>
        <v>MAT021</v>
      </c>
      <c r="D23" s="139" t="str">
        <f>+'LISTA DE INSUMOS'!B52</f>
        <v>Puntilla (promedio)</v>
      </c>
      <c r="E23" s="108" t="str">
        <f>+'LISTA DE INSUMOS'!C52</f>
        <v>Lb</v>
      </c>
      <c r="F23" s="140">
        <v>0.02</v>
      </c>
      <c r="G23" s="141">
        <f>+'LISTA DE INSUMOS'!E52</f>
        <v>6690.6972299999998</v>
      </c>
      <c r="H23" s="108">
        <v>0</v>
      </c>
      <c r="I23" s="141">
        <f>ROUND((F23*G23),0)</f>
        <v>134</v>
      </c>
      <c r="J23" s="47"/>
      <c r="K23" s="143"/>
    </row>
    <row r="24" spans="2:11" ht="24.9" customHeight="1" x14ac:dyDescent="0.2">
      <c r="B24" s="756"/>
      <c r="C24" s="108" t="str">
        <f>+'LISTA DE INSUMOS'!A51</f>
        <v>MAT020</v>
      </c>
      <c r="D24" s="139" t="str">
        <f>+'LISTA DE INSUMOS'!B51</f>
        <v>Guadua basa longitud promedio = 5 m</v>
      </c>
      <c r="E24" s="108" t="str">
        <f>+'LISTA DE INSUMOS'!C51</f>
        <v>Un</v>
      </c>
      <c r="F24" s="140">
        <v>0.02</v>
      </c>
      <c r="G24" s="141">
        <f>'LISTA DE INSUMOS'!E51</f>
        <v>8662.3499999999985</v>
      </c>
      <c r="H24" s="108">
        <f>1/3</f>
        <v>0.33333333333333331</v>
      </c>
      <c r="I24" s="141">
        <f t="shared" ref="I24:I29" si="0">ROUND((F24*G24*H24),0)</f>
        <v>58</v>
      </c>
      <c r="J24" s="47"/>
      <c r="K24" s="143"/>
    </row>
    <row r="25" spans="2:11" ht="24.9" customHeight="1" x14ac:dyDescent="0.2">
      <c r="B25" s="756"/>
      <c r="C25" s="108" t="str">
        <f>+'LISTA DE INSUMOS'!A49</f>
        <v>MAT018</v>
      </c>
      <c r="D25" s="139" t="str">
        <f>+'LISTA DE INSUMOS'!B49</f>
        <v>Cuartón de sajo 2" x 4" x 2,9 m</v>
      </c>
      <c r="E25" s="108" t="str">
        <f>+'LISTA DE INSUMOS'!C49</f>
        <v>M</v>
      </c>
      <c r="F25" s="140">
        <v>0.1</v>
      </c>
      <c r="G25" s="141">
        <f>'LISTA DE INSUMOS'!E49</f>
        <v>11944.810644542158</v>
      </c>
      <c r="H25" s="108">
        <f>1/3</f>
        <v>0.33333333333333331</v>
      </c>
      <c r="I25" s="141">
        <f t="shared" si="0"/>
        <v>398</v>
      </c>
      <c r="J25" s="47"/>
      <c r="K25" s="143"/>
    </row>
    <row r="26" spans="2:11" ht="24.9" customHeight="1" x14ac:dyDescent="0.2">
      <c r="B26" s="756"/>
      <c r="C26" s="108" t="str">
        <f>+'LISTA DE INSUMOS'!A153</f>
        <v>MAT112</v>
      </c>
      <c r="D26" s="139" t="str">
        <f>+'LISTA DE INSUMOS'!B153</f>
        <v>Pintura esmalte para exteriores</v>
      </c>
      <c r="E26" s="108" t="str">
        <f>+'LISTA DE INSUMOS'!C153</f>
        <v>Gl</v>
      </c>
      <c r="F26" s="152">
        <v>2E-3</v>
      </c>
      <c r="G26" s="141">
        <f>'LISTA DE INSUMOS'!E153</f>
        <v>99769.889999999985</v>
      </c>
      <c r="H26" s="108">
        <v>1.03</v>
      </c>
      <c r="I26" s="141">
        <f t="shared" si="0"/>
        <v>206</v>
      </c>
      <c r="J26" s="47"/>
      <c r="K26" s="143"/>
    </row>
    <row r="27" spans="2:11" ht="24.9" customHeight="1" thickBot="1" x14ac:dyDescent="0.25">
      <c r="B27" s="757"/>
      <c r="C27" s="108" t="str">
        <f>+'LISTA DE INSUMOS'!A50</f>
        <v>MAT019</v>
      </c>
      <c r="D27" s="139" t="str">
        <f>+'LISTA DE INSUMOS'!B50</f>
        <v>Listón sajo de 5 x 3 cm x 2,5 m (varilla)</v>
      </c>
      <c r="E27" s="108" t="str">
        <f>+'LISTA DE INSUMOS'!C50</f>
        <v>M</v>
      </c>
      <c r="F27" s="140">
        <v>0.1</v>
      </c>
      <c r="G27" s="141">
        <f>'LISTA DE INSUMOS'!E50</f>
        <v>7285.5458999999992</v>
      </c>
      <c r="H27" s="108">
        <f>1/3</f>
        <v>0.33333333333333331</v>
      </c>
      <c r="I27" s="141">
        <f t="shared" si="0"/>
        <v>243</v>
      </c>
      <c r="J27" s="47"/>
      <c r="K27" s="143"/>
    </row>
    <row r="28" spans="2:11" ht="24.9" customHeight="1" thickTop="1" thickBot="1" x14ac:dyDescent="0.25">
      <c r="B28" s="150" t="s">
        <v>1033</v>
      </c>
      <c r="C28" s="108" t="str">
        <f>+'LISTA DE INSUMOS'!A768</f>
        <v>EQU011</v>
      </c>
      <c r="D28" s="139" t="str">
        <f>+'LISTA DE INSUMOS'!B768</f>
        <v>Equipo completo de topografía</v>
      </c>
      <c r="E28" s="108" t="str">
        <f>+'LISTA DE INSUMOS'!C768</f>
        <v>Día</v>
      </c>
      <c r="F28" s="140">
        <v>1</v>
      </c>
      <c r="G28" s="141">
        <f>+'LISTA DE INSUMOS'!E768</f>
        <v>157665.15334429976</v>
      </c>
      <c r="H28" s="108">
        <f>1/3000</f>
        <v>3.3333333333333332E-4</v>
      </c>
      <c r="I28" s="141">
        <f t="shared" si="0"/>
        <v>53</v>
      </c>
      <c r="J28" s="47"/>
      <c r="K28" s="143"/>
    </row>
    <row r="29" spans="2:11" ht="24.9" customHeight="1" thickTop="1" thickBot="1" x14ac:dyDescent="0.25">
      <c r="B29" s="153" t="s">
        <v>1034</v>
      </c>
      <c r="C29" s="145" t="str">
        <f>+'LISTA DE INSUMOS'!A13</f>
        <v>MOB010</v>
      </c>
      <c r="D29" s="146" t="str">
        <f>+'LISTA DE INSUMOS'!B13</f>
        <v>Comisión topografía (topógrafo + Cadenero 1 + 2 Cadeneros 2) Inc escolta</v>
      </c>
      <c r="E29" s="145" t="str">
        <f>+'LISTA DE INSUMOS'!C13</f>
        <v>Día</v>
      </c>
      <c r="F29" s="147">
        <v>1</v>
      </c>
      <c r="G29" s="148">
        <f>+'LISTA DE INSUMOS'!E13</f>
        <v>623679</v>
      </c>
      <c r="H29" s="154">
        <f>1/180</f>
        <v>5.5555555555555558E-3</v>
      </c>
      <c r="I29" s="148">
        <f t="shared" si="0"/>
        <v>3465</v>
      </c>
      <c r="J29" s="47"/>
      <c r="K29" s="143"/>
    </row>
    <row r="30" spans="2:11" ht="24.9" customHeight="1" x14ac:dyDescent="0.2">
      <c r="B30" s="117" t="s">
        <v>1571</v>
      </c>
      <c r="C30" s="117"/>
      <c r="D30" s="112" t="s">
        <v>1572</v>
      </c>
      <c r="E30" s="117" t="s">
        <v>2585</v>
      </c>
      <c r="F30" s="149"/>
      <c r="G30" s="119">
        <f>ROUND(SUM(I30:I33),0)</f>
        <v>9824</v>
      </c>
      <c r="H30" s="120"/>
      <c r="I30" s="119"/>
      <c r="J30" s="47"/>
      <c r="K30" s="143"/>
    </row>
    <row r="31" spans="2:11" ht="24.9" customHeight="1" x14ac:dyDescent="0.2">
      <c r="B31" s="678" t="s">
        <v>1034</v>
      </c>
      <c r="C31" s="108" t="str">
        <f>+'LISTA DE INSUMOS'!A21</f>
        <v>MOB018</v>
      </c>
      <c r="D31" s="139" t="str">
        <f>+'LISTA DE INSUMOS'!B21</f>
        <v>Cuadrilla H 4 Ay (jornal + prestaciones)</v>
      </c>
      <c r="E31" s="108" t="str">
        <f>+'LISTA DE INSUMOS'!C21</f>
        <v>Día</v>
      </c>
      <c r="F31" s="140">
        <v>1</v>
      </c>
      <c r="G31" s="141">
        <f>'LISTA DE INSUMOS'!E21</f>
        <v>327444</v>
      </c>
      <c r="H31" s="108">
        <v>2.5000000000000001E-2</v>
      </c>
      <c r="I31" s="141">
        <f>ROUND((F31*G31*H31),0)</f>
        <v>8186</v>
      </c>
      <c r="J31" s="47"/>
      <c r="K31" s="143"/>
    </row>
    <row r="32" spans="2:11" ht="24.9" customHeight="1" thickBot="1" x14ac:dyDescent="0.25">
      <c r="B32" s="705"/>
      <c r="C32" s="108" t="str">
        <f>+'LISTA DE INSUMOS'!A14</f>
        <v>MOB011</v>
      </c>
      <c r="D32" s="139" t="str">
        <f>+'LISTA DE INSUMOS'!B14</f>
        <v>Acarreo Horizontal (% mano obra)</v>
      </c>
      <c r="E32" s="108" t="str">
        <f>+'LISTA DE INSUMOS'!C14</f>
        <v>% MO</v>
      </c>
      <c r="F32" s="140">
        <v>0.1</v>
      </c>
      <c r="G32" s="141">
        <f>I31</f>
        <v>8186</v>
      </c>
      <c r="H32" s="108">
        <v>0</v>
      </c>
      <c r="I32" s="141">
        <f>ROUND((F32*G32),0)</f>
        <v>819</v>
      </c>
      <c r="J32" s="47"/>
      <c r="K32" s="143"/>
    </row>
    <row r="33" spans="2:13" ht="24.9" customHeight="1" thickTop="1" thickBot="1" x14ac:dyDescent="0.25">
      <c r="B33" s="150" t="s">
        <v>1033</v>
      </c>
      <c r="C33" s="151" t="str">
        <f>+'LISTA DE INSUMOS'!A758</f>
        <v>EQU002</v>
      </c>
      <c r="D33" s="146" t="str">
        <f>+'LISTA DE INSUMOS'!B758</f>
        <v>Herramienta menor (% mano obra)</v>
      </c>
      <c r="E33" s="145" t="str">
        <f>+'LISTA DE INSUMOS'!C758</f>
        <v>%MO</v>
      </c>
      <c r="F33" s="147">
        <v>0.1</v>
      </c>
      <c r="G33" s="148">
        <f>I31</f>
        <v>8186</v>
      </c>
      <c r="H33" s="145">
        <v>0</v>
      </c>
      <c r="I33" s="148">
        <f>ROUND((F33*G33),0)</f>
        <v>819</v>
      </c>
      <c r="J33" s="47"/>
      <c r="K33" s="143"/>
    </row>
    <row r="34" spans="2:13" ht="24.9" customHeight="1" x14ac:dyDescent="0.2">
      <c r="B34" s="117" t="s">
        <v>1569</v>
      </c>
      <c r="C34" s="117"/>
      <c r="D34" s="112" t="s">
        <v>1570</v>
      </c>
      <c r="E34" s="117" t="s">
        <v>2585</v>
      </c>
      <c r="F34" s="149"/>
      <c r="G34" s="119">
        <f>ROUND(SUM(I34:I37),0)</f>
        <v>8644</v>
      </c>
      <c r="H34" s="120"/>
      <c r="I34" s="119"/>
      <c r="J34" s="47"/>
      <c r="K34" s="143"/>
    </row>
    <row r="35" spans="2:13" ht="24.9" customHeight="1" x14ac:dyDescent="0.2">
      <c r="B35" s="678" t="s">
        <v>1034</v>
      </c>
      <c r="C35" s="108" t="str">
        <f>+'LISTA DE INSUMOS'!A21</f>
        <v>MOB018</v>
      </c>
      <c r="D35" s="139" t="str">
        <f>+'LISTA DE INSUMOS'!B21</f>
        <v>Cuadrilla H 4 Ay (jornal + prestaciones)</v>
      </c>
      <c r="E35" s="108" t="str">
        <f>+'LISTA DE INSUMOS'!C21</f>
        <v>Día</v>
      </c>
      <c r="F35" s="140">
        <v>1</v>
      </c>
      <c r="G35" s="141">
        <f>'LISTA DE INSUMOS'!E21</f>
        <v>327444</v>
      </c>
      <c r="H35" s="142">
        <f>0.022</f>
        <v>2.1999999999999999E-2</v>
      </c>
      <c r="I35" s="141">
        <f>ROUND((F35*G35*H35),0)</f>
        <v>7204</v>
      </c>
      <c r="J35" s="47"/>
      <c r="K35" s="143"/>
    </row>
    <row r="36" spans="2:13" ht="24.9" customHeight="1" thickBot="1" x14ac:dyDescent="0.25">
      <c r="B36" s="705"/>
      <c r="C36" s="108" t="str">
        <f>+'LISTA DE INSUMOS'!A14</f>
        <v>MOB011</v>
      </c>
      <c r="D36" s="139" t="str">
        <f>+'LISTA DE INSUMOS'!B14</f>
        <v>Acarreo Horizontal (% mano obra)</v>
      </c>
      <c r="E36" s="108" t="str">
        <f>+'LISTA DE INSUMOS'!C14</f>
        <v>% MO</v>
      </c>
      <c r="F36" s="140">
        <v>0.1</v>
      </c>
      <c r="G36" s="141">
        <f>I35</f>
        <v>7204</v>
      </c>
      <c r="H36" s="108">
        <v>0</v>
      </c>
      <c r="I36" s="141">
        <f>ROUND((F36*G36),0)</f>
        <v>720</v>
      </c>
      <c r="J36" s="47"/>
      <c r="K36" s="143"/>
    </row>
    <row r="37" spans="2:13" ht="24.9" customHeight="1" thickTop="1" thickBot="1" x14ac:dyDescent="0.25">
      <c r="B37" s="150" t="s">
        <v>1033</v>
      </c>
      <c r="C37" s="151" t="str">
        <f>+'LISTA DE INSUMOS'!A758</f>
        <v>EQU002</v>
      </c>
      <c r="D37" s="146" t="str">
        <f>+'LISTA DE INSUMOS'!B758</f>
        <v>Herramienta menor (% mano obra)</v>
      </c>
      <c r="E37" s="145" t="str">
        <f>+'LISTA DE INSUMOS'!C758</f>
        <v>%MO</v>
      </c>
      <c r="F37" s="147">
        <v>0.1</v>
      </c>
      <c r="G37" s="148">
        <f>I35</f>
        <v>7204</v>
      </c>
      <c r="H37" s="145">
        <v>0</v>
      </c>
      <c r="I37" s="148">
        <f>ROUND((F37*G37),0)</f>
        <v>720</v>
      </c>
      <c r="J37" s="47"/>
      <c r="K37" s="143"/>
    </row>
    <row r="38" spans="2:13" ht="24.9" customHeight="1" x14ac:dyDescent="0.2">
      <c r="B38" s="117" t="s">
        <v>1565</v>
      </c>
      <c r="C38" s="117"/>
      <c r="D38" s="112" t="s">
        <v>1566</v>
      </c>
      <c r="E38" s="117" t="s">
        <v>2586</v>
      </c>
      <c r="F38" s="149"/>
      <c r="G38" s="119">
        <f>ROUND(SUM(I38:I41),0)</f>
        <v>286514</v>
      </c>
      <c r="H38" s="120"/>
      <c r="I38" s="119"/>
      <c r="J38" s="47"/>
      <c r="K38" s="143"/>
    </row>
    <row r="39" spans="2:13" ht="24.9" customHeight="1" x14ac:dyDescent="0.2">
      <c r="B39" s="678" t="s">
        <v>1034</v>
      </c>
      <c r="C39" s="108" t="str">
        <f>+'LISTA DE INSUMOS'!A21</f>
        <v>MOB018</v>
      </c>
      <c r="D39" s="139" t="str">
        <f>+'LISTA DE INSUMOS'!B21</f>
        <v>Cuadrilla H 4 Ay (jornal + prestaciones)</v>
      </c>
      <c r="E39" s="108" t="str">
        <f>+'LISTA DE INSUMOS'!C21</f>
        <v>Día</v>
      </c>
      <c r="F39" s="140">
        <v>1</v>
      </c>
      <c r="G39" s="141">
        <f>'LISTA DE INSUMOS'!E21</f>
        <v>327444</v>
      </c>
      <c r="H39" s="108">
        <v>0.7</v>
      </c>
      <c r="I39" s="141">
        <f>ROUND((F39*G39*H39),0)</f>
        <v>229211</v>
      </c>
      <c r="J39" s="47"/>
      <c r="K39" s="143"/>
    </row>
    <row r="40" spans="2:13" s="47" customFormat="1" ht="24.9" customHeight="1" thickBot="1" x14ac:dyDescent="0.25">
      <c r="B40" s="705"/>
      <c r="C40" s="108" t="str">
        <f>+'LISTA DE INSUMOS'!A14</f>
        <v>MOB011</v>
      </c>
      <c r="D40" s="139" t="str">
        <f>+'LISTA DE INSUMOS'!B14</f>
        <v>Acarreo Horizontal (% mano obra)</v>
      </c>
      <c r="E40" s="108" t="str">
        <f>+'LISTA DE INSUMOS'!C14</f>
        <v>% MO</v>
      </c>
      <c r="F40" s="140">
        <v>0.1</v>
      </c>
      <c r="G40" s="141">
        <f>I39</f>
        <v>229211</v>
      </c>
      <c r="H40" s="108">
        <v>0</v>
      </c>
      <c r="I40" s="141">
        <f>ROUND((F40*G40),0)</f>
        <v>22921</v>
      </c>
      <c r="K40" s="143"/>
    </row>
    <row r="41" spans="2:13" ht="24.9" customHeight="1" thickTop="1" thickBot="1" x14ac:dyDescent="0.25">
      <c r="B41" s="150" t="s">
        <v>1033</v>
      </c>
      <c r="C41" s="151" t="str">
        <f>+'LISTA DE INSUMOS'!A758</f>
        <v>EQU002</v>
      </c>
      <c r="D41" s="146" t="str">
        <f>+'LISTA DE INSUMOS'!B758</f>
        <v>Herramienta menor (% mano obra)</v>
      </c>
      <c r="E41" s="145" t="str">
        <f>+'LISTA DE INSUMOS'!C758</f>
        <v>%MO</v>
      </c>
      <c r="F41" s="147">
        <v>0.15</v>
      </c>
      <c r="G41" s="148">
        <f>I39</f>
        <v>229211</v>
      </c>
      <c r="H41" s="145">
        <v>0</v>
      </c>
      <c r="I41" s="148">
        <f>ROUND((F41*G41),0)</f>
        <v>34382</v>
      </c>
      <c r="J41" s="155"/>
      <c r="K41" s="155"/>
      <c r="L41" s="155"/>
      <c r="M41" s="155"/>
    </row>
    <row r="42" spans="2:13" ht="24.9" customHeight="1" x14ac:dyDescent="0.2">
      <c r="B42" s="117" t="s">
        <v>1567</v>
      </c>
      <c r="C42" s="117"/>
      <c r="D42" s="112" t="s">
        <v>1568</v>
      </c>
      <c r="E42" s="117" t="s">
        <v>2586</v>
      </c>
      <c r="F42" s="149"/>
      <c r="G42" s="119">
        <f>ROUND(SUM(I42:I45),0)</f>
        <v>204652</v>
      </c>
      <c r="H42" s="120"/>
      <c r="I42" s="119"/>
      <c r="J42" s="47"/>
      <c r="K42" s="143"/>
    </row>
    <row r="43" spans="2:13" ht="24.9" customHeight="1" x14ac:dyDescent="0.2">
      <c r="B43" s="678" t="s">
        <v>1034</v>
      </c>
      <c r="C43" s="108" t="str">
        <f>+'LISTA DE INSUMOS'!A21</f>
        <v>MOB018</v>
      </c>
      <c r="D43" s="139" t="str">
        <f>+'LISTA DE INSUMOS'!B21</f>
        <v>Cuadrilla H 4 Ay (jornal + prestaciones)</v>
      </c>
      <c r="E43" s="108" t="str">
        <f>+'LISTA DE INSUMOS'!C21</f>
        <v>Día</v>
      </c>
      <c r="F43" s="140">
        <v>1</v>
      </c>
      <c r="G43" s="141">
        <f>'LISTA DE INSUMOS'!E21</f>
        <v>327444</v>
      </c>
      <c r="H43" s="108">
        <v>0.5</v>
      </c>
      <c r="I43" s="141">
        <f>ROUND((F43*G43*H43),0)</f>
        <v>163722</v>
      </c>
      <c r="J43" s="47"/>
      <c r="K43" s="143"/>
    </row>
    <row r="44" spans="2:13" s="47" customFormat="1" ht="24.9" customHeight="1" thickBot="1" x14ac:dyDescent="0.25">
      <c r="B44" s="705"/>
      <c r="C44" s="108" t="str">
        <f>+'LISTA DE INSUMOS'!A14</f>
        <v>MOB011</v>
      </c>
      <c r="D44" s="139" t="str">
        <f>+'LISTA DE INSUMOS'!B14</f>
        <v>Acarreo Horizontal (% mano obra)</v>
      </c>
      <c r="E44" s="108" t="str">
        <f>+'LISTA DE INSUMOS'!C14</f>
        <v>% MO</v>
      </c>
      <c r="F44" s="140">
        <v>0.1</v>
      </c>
      <c r="G44" s="141">
        <f>I43</f>
        <v>163722</v>
      </c>
      <c r="H44" s="108">
        <v>0</v>
      </c>
      <c r="I44" s="141">
        <f>ROUND((F44*G44),0)</f>
        <v>16372</v>
      </c>
      <c r="K44" s="143"/>
    </row>
    <row r="45" spans="2:13" ht="24.9" customHeight="1" thickTop="1" thickBot="1" x14ac:dyDescent="0.25">
      <c r="B45" s="150" t="s">
        <v>1033</v>
      </c>
      <c r="C45" s="151" t="str">
        <f>+'LISTA DE INSUMOS'!A758</f>
        <v>EQU002</v>
      </c>
      <c r="D45" s="146" t="str">
        <f>+'LISTA DE INSUMOS'!B758</f>
        <v>Herramienta menor (% mano obra)</v>
      </c>
      <c r="E45" s="145" t="str">
        <f>+'LISTA DE INSUMOS'!C758</f>
        <v>%MO</v>
      </c>
      <c r="F45" s="147">
        <v>0.15</v>
      </c>
      <c r="G45" s="148">
        <f>I43</f>
        <v>163722</v>
      </c>
      <c r="H45" s="145">
        <v>0</v>
      </c>
      <c r="I45" s="148">
        <f>ROUND((F45*G45),0)</f>
        <v>24558</v>
      </c>
      <c r="J45" s="155"/>
      <c r="K45" s="143"/>
    </row>
    <row r="46" spans="2:13" ht="24.9" customHeight="1" x14ac:dyDescent="0.2">
      <c r="B46" s="117" t="s">
        <v>1564</v>
      </c>
      <c r="C46" s="117"/>
      <c r="D46" s="112" t="s">
        <v>2860</v>
      </c>
      <c r="E46" s="117" t="s">
        <v>2585</v>
      </c>
      <c r="F46" s="149"/>
      <c r="G46" s="119">
        <f>ROUND(SUM(I46:I49),0)</f>
        <v>13862</v>
      </c>
      <c r="H46" s="120"/>
      <c r="I46" s="119"/>
      <c r="J46" s="47"/>
      <c r="K46" s="143"/>
    </row>
    <row r="47" spans="2:13" ht="24.9" customHeight="1" x14ac:dyDescent="0.2">
      <c r="B47" s="678" t="s">
        <v>1034</v>
      </c>
      <c r="C47" s="108" t="str">
        <f>+'LISTA DE INSUMOS'!A21</f>
        <v>MOB018</v>
      </c>
      <c r="D47" s="139" t="str">
        <f>+'LISTA DE INSUMOS'!B21</f>
        <v>Cuadrilla H 4 Ay (jornal + prestaciones)</v>
      </c>
      <c r="E47" s="108" t="str">
        <f>+'LISTA DE INSUMOS'!C21</f>
        <v>Día</v>
      </c>
      <c r="F47" s="140">
        <v>1</v>
      </c>
      <c r="G47" s="141">
        <f>'LISTA DE INSUMOS'!E21</f>
        <v>327444</v>
      </c>
      <c r="H47" s="142">
        <f>1/30</f>
        <v>3.3333333333333333E-2</v>
      </c>
      <c r="I47" s="141">
        <f>ROUND((F47*G47*H47),0)</f>
        <v>10915</v>
      </c>
      <c r="J47" s="47"/>
      <c r="K47" s="143"/>
    </row>
    <row r="48" spans="2:13" ht="24.9" customHeight="1" thickBot="1" x14ac:dyDescent="0.25">
      <c r="B48" s="705"/>
      <c r="C48" s="108" t="str">
        <f>+'LISTA DE INSUMOS'!A14</f>
        <v>MOB011</v>
      </c>
      <c r="D48" s="139" t="str">
        <f>+'LISTA DE INSUMOS'!B14</f>
        <v>Acarreo Horizontal (% mano obra)</v>
      </c>
      <c r="E48" s="108" t="str">
        <f>+'LISTA DE INSUMOS'!C14</f>
        <v>% MO</v>
      </c>
      <c r="F48" s="140">
        <v>0.12</v>
      </c>
      <c r="G48" s="141">
        <f>I47</f>
        <v>10915</v>
      </c>
      <c r="H48" s="108">
        <v>0</v>
      </c>
      <c r="I48" s="141">
        <f>ROUND((F48*G48),0)</f>
        <v>1310</v>
      </c>
      <c r="J48" s="47"/>
      <c r="K48" s="143"/>
    </row>
    <row r="49" spans="2:11" ht="24.9" customHeight="1" thickTop="1" thickBot="1" x14ac:dyDescent="0.25">
      <c r="B49" s="150" t="s">
        <v>1033</v>
      </c>
      <c r="C49" s="151" t="str">
        <f>+'LISTA DE INSUMOS'!A758</f>
        <v>EQU002</v>
      </c>
      <c r="D49" s="146" t="str">
        <f>+'LISTA DE INSUMOS'!B758</f>
        <v>Herramienta menor (% mano obra)</v>
      </c>
      <c r="E49" s="145" t="str">
        <f>+'LISTA DE INSUMOS'!C758</f>
        <v>%MO</v>
      </c>
      <c r="F49" s="147">
        <v>0.15</v>
      </c>
      <c r="G49" s="148">
        <f>I47</f>
        <v>10915</v>
      </c>
      <c r="H49" s="145">
        <v>0</v>
      </c>
      <c r="I49" s="148">
        <f>ROUND((F49*G49),0)</f>
        <v>1637</v>
      </c>
      <c r="J49" s="155"/>
      <c r="K49" s="143"/>
    </row>
    <row r="50" spans="2:11" ht="24.9" customHeight="1" x14ac:dyDescent="0.2">
      <c r="B50" s="117" t="s">
        <v>1576</v>
      </c>
      <c r="C50" s="117"/>
      <c r="D50" s="112" t="s">
        <v>2861</v>
      </c>
      <c r="E50" s="117" t="s">
        <v>2586</v>
      </c>
      <c r="F50" s="149"/>
      <c r="G50" s="119">
        <f>ROUND(SUM(I50:I55),0)</f>
        <v>188178</v>
      </c>
      <c r="H50" s="120"/>
      <c r="I50" s="119"/>
      <c r="J50" s="47"/>
      <c r="K50" s="143"/>
    </row>
    <row r="51" spans="2:11" ht="24.9" customHeight="1" x14ac:dyDescent="0.2">
      <c r="B51" s="678" t="s">
        <v>1034</v>
      </c>
      <c r="C51" s="108" t="str">
        <f>+'LISTA DE INSUMOS'!A21</f>
        <v>MOB018</v>
      </c>
      <c r="D51" s="139" t="str">
        <f>+'LISTA DE INSUMOS'!B21</f>
        <v>Cuadrilla H 4 Ay (jornal + prestaciones)</v>
      </c>
      <c r="E51" s="108" t="str">
        <f>+'LISTA DE INSUMOS'!C21</f>
        <v>Día</v>
      </c>
      <c r="F51" s="140">
        <v>1</v>
      </c>
      <c r="G51" s="141">
        <f>'LISTA DE INSUMOS'!E21</f>
        <v>327444</v>
      </c>
      <c r="H51" s="108">
        <v>0.33</v>
      </c>
      <c r="I51" s="141">
        <f>ROUND((F51*G51*H51),0)</f>
        <v>108057</v>
      </c>
      <c r="J51" s="47"/>
      <c r="K51" s="143"/>
    </row>
    <row r="52" spans="2:11" ht="24.9" customHeight="1" thickBot="1" x14ac:dyDescent="0.25">
      <c r="B52" s="705"/>
      <c r="C52" s="108" t="str">
        <f>+'LISTA DE INSUMOS'!A14</f>
        <v>MOB011</v>
      </c>
      <c r="D52" s="139" t="str">
        <f>+'LISTA DE INSUMOS'!B14</f>
        <v>Acarreo Horizontal (% mano obra)</v>
      </c>
      <c r="E52" s="108" t="str">
        <f>+'LISTA DE INSUMOS'!C14</f>
        <v>% MO</v>
      </c>
      <c r="F52" s="140">
        <v>0.1</v>
      </c>
      <c r="G52" s="141">
        <f>I51</f>
        <v>108057</v>
      </c>
      <c r="H52" s="108">
        <v>0</v>
      </c>
      <c r="I52" s="141">
        <f>ROUND((F52*G52),0)</f>
        <v>10806</v>
      </c>
      <c r="J52" s="47"/>
      <c r="K52" s="143"/>
    </row>
    <row r="53" spans="2:11" ht="24.9" customHeight="1" thickTop="1" x14ac:dyDescent="0.2">
      <c r="B53" s="674" t="s">
        <v>1033</v>
      </c>
      <c r="C53" s="108" t="str">
        <f>+'LISTA DE INSUMOS'!A758</f>
        <v>EQU002</v>
      </c>
      <c r="D53" s="139" t="str">
        <f>+'LISTA DE INSUMOS'!B758</f>
        <v>Herramienta menor (% mano obra)</v>
      </c>
      <c r="E53" s="108" t="str">
        <f>+'LISTA DE INSUMOS'!C758</f>
        <v>%MO</v>
      </c>
      <c r="F53" s="140">
        <v>0.15</v>
      </c>
      <c r="G53" s="141">
        <f>I51</f>
        <v>108057</v>
      </c>
      <c r="H53" s="108">
        <v>0</v>
      </c>
      <c r="I53" s="141">
        <f>ROUND((F53*G53),0)</f>
        <v>16209</v>
      </c>
      <c r="J53" s="155"/>
      <c r="K53" s="143"/>
    </row>
    <row r="54" spans="2:11" ht="24.9" customHeight="1" x14ac:dyDescent="0.2">
      <c r="B54" s="679"/>
      <c r="C54" s="108" t="str">
        <f>'LISTA DE INSUMOS'!A761</f>
        <v>EQU005</v>
      </c>
      <c r="D54" s="139" t="str">
        <f>'LISTA DE INSUMOS'!B761</f>
        <v>Compresor 185 pies3 CFM de 2 martillos, incluye 2 operarios y combustible</v>
      </c>
      <c r="E54" s="108" t="str">
        <f>'LISTA DE INSUMOS'!C761</f>
        <v>Hr</v>
      </c>
      <c r="F54" s="140">
        <v>1</v>
      </c>
      <c r="G54" s="141">
        <f>'LISTA DE INSUMOS'!E761</f>
        <v>144553.19267517861</v>
      </c>
      <c r="H54" s="108">
        <v>0.33</v>
      </c>
      <c r="I54" s="141">
        <f>ROUND((F54*G54*H54),0)</f>
        <v>47703</v>
      </c>
      <c r="J54" s="155"/>
      <c r="K54" s="143"/>
    </row>
    <row r="55" spans="2:11" ht="24.9" customHeight="1" thickBot="1" x14ac:dyDescent="0.25">
      <c r="B55" s="709"/>
      <c r="C55" s="145" t="str">
        <f>+'LISTA DE INSUMOS'!A762</f>
        <v>EQU006</v>
      </c>
      <c r="D55" s="146" t="str">
        <f>+'LISTA DE INSUMOS'!B762</f>
        <v>Andamio (% mano obra)</v>
      </c>
      <c r="E55" s="145" t="str">
        <f>+'LISTA DE INSUMOS'!C762</f>
        <v>%MO</v>
      </c>
      <c r="F55" s="147">
        <v>0.05</v>
      </c>
      <c r="G55" s="148">
        <f>I51</f>
        <v>108057</v>
      </c>
      <c r="H55" s="145">
        <v>0</v>
      </c>
      <c r="I55" s="148">
        <f>ROUND((F55*G55),0)</f>
        <v>5403</v>
      </c>
      <c r="J55" s="47"/>
      <c r="K55" s="143"/>
    </row>
    <row r="56" spans="2:11" ht="24.9" customHeight="1" thickBot="1" x14ac:dyDescent="0.25">
      <c r="B56" s="117" t="s">
        <v>2315</v>
      </c>
      <c r="C56" s="117"/>
      <c r="D56" s="112" t="s">
        <v>3045</v>
      </c>
      <c r="E56" s="117" t="s">
        <v>2585</v>
      </c>
      <c r="F56" s="118"/>
      <c r="G56" s="119">
        <f>SUM(I57:I59)</f>
        <v>34381</v>
      </c>
      <c r="H56" s="120"/>
      <c r="I56" s="119"/>
      <c r="J56" s="47"/>
      <c r="K56" s="143"/>
    </row>
    <row r="57" spans="2:11" ht="24.9" customHeight="1" thickTop="1" x14ac:dyDescent="0.2">
      <c r="B57" s="156" t="s">
        <v>1034</v>
      </c>
      <c r="C57" s="108" t="str">
        <f>+'LISTA DE INSUMOS'!A18</f>
        <v>MOB015</v>
      </c>
      <c r="D57" s="139" t="str">
        <f>+'LISTA DE INSUMOS'!B18</f>
        <v>Cuadrilla E 1 Of + 1 Ay (jornal + prestaciones)</v>
      </c>
      <c r="E57" s="108" t="str">
        <f>+'LISTA DE INSUMOS'!C18</f>
        <v>Día</v>
      </c>
      <c r="F57" s="140">
        <v>1</v>
      </c>
      <c r="G57" s="141">
        <f>'LISTA DE INSUMOS'!E18</f>
        <v>245584</v>
      </c>
      <c r="H57" s="108">
        <f>1/15</f>
        <v>6.6666666666666666E-2</v>
      </c>
      <c r="I57" s="141">
        <f>ROUND((F57*G57*H57),0)</f>
        <v>16372</v>
      </c>
      <c r="J57" s="47"/>
      <c r="K57" s="143"/>
    </row>
    <row r="58" spans="2:11" ht="24.9" customHeight="1" x14ac:dyDescent="0.2">
      <c r="B58" s="682" t="s">
        <v>1033</v>
      </c>
      <c r="C58" s="108" t="str">
        <f>+'LISTA DE INSUMOS'!A758</f>
        <v>EQU002</v>
      </c>
      <c r="D58" s="139" t="str">
        <f>+'LISTA DE INSUMOS'!B758</f>
        <v>Herramienta menor (% mano obra)</v>
      </c>
      <c r="E58" s="108" t="str">
        <f>+'LISTA DE INSUMOS'!C758</f>
        <v>%MO</v>
      </c>
      <c r="F58" s="160">
        <v>0.1</v>
      </c>
      <c r="G58" s="141">
        <f>I57</f>
        <v>16372</v>
      </c>
      <c r="H58" s="108">
        <v>0</v>
      </c>
      <c r="I58" s="141">
        <f>ROUND((F58*G58),0)</f>
        <v>1637</v>
      </c>
      <c r="J58" s="47"/>
      <c r="K58" s="143"/>
    </row>
    <row r="59" spans="2:11" ht="24.9" customHeight="1" x14ac:dyDescent="0.2">
      <c r="B59" s="682"/>
      <c r="C59" s="108" t="str">
        <f>'LISTA DE INSUMOS'!A762</f>
        <v>EQU006</v>
      </c>
      <c r="D59" s="139" t="str">
        <f>'LISTA DE INSUMOS'!B762</f>
        <v>Andamio (% mano obra)</v>
      </c>
      <c r="E59" s="108" t="str">
        <f>'LISTA DE INSUMOS'!C758</f>
        <v>%MO</v>
      </c>
      <c r="F59" s="160">
        <v>1</v>
      </c>
      <c r="G59" s="141">
        <f>I57</f>
        <v>16372</v>
      </c>
      <c r="H59" s="108">
        <v>1</v>
      </c>
      <c r="I59" s="141">
        <f>ROUND((F59*G59),0)</f>
        <v>16372</v>
      </c>
      <c r="J59" s="47"/>
      <c r="K59" s="143"/>
    </row>
    <row r="60" spans="2:11" ht="24.9" customHeight="1" thickBot="1" x14ac:dyDescent="0.25">
      <c r="B60" s="117" t="s">
        <v>1882</v>
      </c>
      <c r="C60" s="117"/>
      <c r="D60" s="112" t="s">
        <v>1889</v>
      </c>
      <c r="E60" s="117" t="s">
        <v>1412</v>
      </c>
      <c r="F60" s="118"/>
      <c r="G60" s="119">
        <f>ROUND(SUM(I60:I63),0)</f>
        <v>7531</v>
      </c>
      <c r="H60" s="120"/>
      <c r="I60" s="119"/>
      <c r="J60" s="47"/>
      <c r="K60" s="143"/>
    </row>
    <row r="61" spans="2:11" ht="24.9" customHeight="1" thickTop="1" thickBot="1" x14ac:dyDescent="0.25">
      <c r="B61" s="158" t="s">
        <v>1034</v>
      </c>
      <c r="C61" s="108" t="str">
        <f>+'LISTA DE INSUMOS'!A5</f>
        <v>MOB002</v>
      </c>
      <c r="D61" s="139" t="str">
        <f>+'LISTA DE INSUMOS'!B5</f>
        <v>Oficial (jornal + prestaciones)</v>
      </c>
      <c r="E61" s="108" t="str">
        <f>+'LISTA DE INSUMOS'!C5</f>
        <v>Día</v>
      </c>
      <c r="F61" s="140">
        <v>1</v>
      </c>
      <c r="G61" s="141">
        <f>'LISTA DE INSUMOS'!E5</f>
        <v>163723</v>
      </c>
      <c r="H61" s="142">
        <v>0.04</v>
      </c>
      <c r="I61" s="141">
        <f>ROUND((F61*G61*H61),0)</f>
        <v>6549</v>
      </c>
      <c r="J61" s="47"/>
      <c r="K61" s="143"/>
    </row>
    <row r="62" spans="2:11" ht="24.9" customHeight="1" thickTop="1" x14ac:dyDescent="0.2">
      <c r="B62" s="674" t="s">
        <v>1033</v>
      </c>
      <c r="C62" s="108" t="str">
        <f>+'LISTA DE INSUMOS'!A758</f>
        <v>EQU002</v>
      </c>
      <c r="D62" s="139" t="str">
        <f>+'LISTA DE INSUMOS'!B758</f>
        <v>Herramienta menor (% mano obra)</v>
      </c>
      <c r="E62" s="108" t="str">
        <f>+'LISTA DE INSUMOS'!C758</f>
        <v>%MO</v>
      </c>
      <c r="F62" s="140">
        <v>0.05</v>
      </c>
      <c r="G62" s="141">
        <f>I61</f>
        <v>6549</v>
      </c>
      <c r="H62" s="108">
        <v>0</v>
      </c>
      <c r="I62" s="141">
        <f>ROUND((F62*G62),0)</f>
        <v>327</v>
      </c>
      <c r="J62" s="47"/>
      <c r="K62" s="143"/>
    </row>
    <row r="63" spans="2:11" ht="24.9" customHeight="1" thickBot="1" x14ac:dyDescent="0.25">
      <c r="B63" s="709"/>
      <c r="C63" s="145" t="str">
        <f>+'LISTA DE INSUMOS'!A762</f>
        <v>EQU006</v>
      </c>
      <c r="D63" s="146" t="str">
        <f>+'LISTA DE INSUMOS'!B762</f>
        <v>Andamio (% mano obra)</v>
      </c>
      <c r="E63" s="145" t="str">
        <f>+'LISTA DE INSUMOS'!C762</f>
        <v>%MO</v>
      </c>
      <c r="F63" s="147">
        <v>0.1</v>
      </c>
      <c r="G63" s="148">
        <f>I61</f>
        <v>6549</v>
      </c>
      <c r="H63" s="145">
        <v>0</v>
      </c>
      <c r="I63" s="148">
        <f>ROUND((F63*G63),0)</f>
        <v>655</v>
      </c>
      <c r="J63" s="47"/>
      <c r="K63" s="143"/>
    </row>
    <row r="64" spans="2:11" ht="24.9" customHeight="1" x14ac:dyDescent="0.2">
      <c r="B64" s="117" t="s">
        <v>1888</v>
      </c>
      <c r="C64" s="120"/>
      <c r="D64" s="112" t="s">
        <v>385</v>
      </c>
      <c r="E64" s="117" t="s">
        <v>2585</v>
      </c>
      <c r="F64" s="118"/>
      <c r="G64" s="119">
        <f>ROUND(SUM(I65:I75),0)</f>
        <v>147136</v>
      </c>
      <c r="H64" s="120"/>
      <c r="I64" s="119"/>
      <c r="J64" s="47"/>
      <c r="K64" s="143"/>
    </row>
    <row r="65" spans="2:43" ht="24.9" customHeight="1" x14ac:dyDescent="0.2">
      <c r="B65" s="672" t="s">
        <v>1035</v>
      </c>
      <c r="C65" s="125" t="str">
        <f>+'LISTA DE INSUMOS'!A410</f>
        <v>MAT421</v>
      </c>
      <c r="D65" s="155" t="str">
        <f>+'LISTA DE INSUMOS'!B410</f>
        <v>Teja Zinc Ondulada 3.058x0.80mt Cal 34 0.20mm</v>
      </c>
      <c r="E65" s="125" t="str">
        <f>+'LISTA DE INSUMOS'!C410</f>
        <v>M2</v>
      </c>
      <c r="F65" s="159">
        <v>1</v>
      </c>
      <c r="G65" s="141">
        <f>'LISTA DE INSUMOS'!E410</f>
        <v>17557.802309849998</v>
      </c>
      <c r="H65" s="108">
        <v>1.05</v>
      </c>
      <c r="I65" s="141">
        <f>ROUND((F65*G65*H65),0)</f>
        <v>18436</v>
      </c>
      <c r="J65" s="47"/>
      <c r="K65" s="143"/>
    </row>
    <row r="66" spans="2:43" ht="24.9" customHeight="1" x14ac:dyDescent="0.2">
      <c r="B66" s="672"/>
      <c r="C66" s="108" t="str">
        <f>+'LISTA DE INSUMOS'!A35</f>
        <v>MAT006</v>
      </c>
      <c r="D66" s="139" t="str">
        <f>+'LISTA DE INSUMOS'!B35</f>
        <v>Material de peña (recebo) en cantera</v>
      </c>
      <c r="E66" s="108" t="str">
        <f>+'LISTA DE INSUMOS'!C35</f>
        <v>M3</v>
      </c>
      <c r="F66" s="140">
        <v>0.08</v>
      </c>
      <c r="G66" s="141">
        <f>'LISTA DE INSUMOS'!E35</f>
        <v>55606.300249500004</v>
      </c>
      <c r="H66" s="142">
        <v>1.3</v>
      </c>
      <c r="I66" s="141">
        <f>ROUND((F66*G66*H66),0)</f>
        <v>5783</v>
      </c>
      <c r="J66" s="47"/>
      <c r="K66" s="143"/>
    </row>
    <row r="67" spans="2:43" ht="24.9" customHeight="1" x14ac:dyDescent="0.2">
      <c r="B67" s="672"/>
      <c r="C67" s="108" t="str">
        <f>+'LISTA DE INSUMOS'!A51</f>
        <v>MAT020</v>
      </c>
      <c r="D67" s="139" t="str">
        <f>+'LISTA DE INSUMOS'!B51</f>
        <v>Guadua basa longitud promedio = 5 m</v>
      </c>
      <c r="E67" s="108" t="str">
        <f>+'LISTA DE INSUMOS'!C51</f>
        <v>Un</v>
      </c>
      <c r="F67" s="140">
        <v>0.7</v>
      </c>
      <c r="G67" s="141">
        <f>'LISTA DE INSUMOS'!E51</f>
        <v>8662.3499999999985</v>
      </c>
      <c r="H67" s="108">
        <v>0</v>
      </c>
      <c r="I67" s="141">
        <f t="shared" ref="I67:I72" si="1">ROUND((F67*G67),0)</f>
        <v>6064</v>
      </c>
      <c r="J67" s="47"/>
      <c r="K67" s="143"/>
    </row>
    <row r="68" spans="2:43" ht="24.9" customHeight="1" x14ac:dyDescent="0.2">
      <c r="B68" s="672"/>
      <c r="C68" s="125" t="str">
        <f>+'LISTA DE INSUMOS'!A46</f>
        <v>MAT017</v>
      </c>
      <c r="D68" s="139" t="str">
        <f>+'LISTA DE INSUMOS'!B46</f>
        <v>Tabla para formaleta de 1" x 10" x 2,9 m</v>
      </c>
      <c r="E68" s="108" t="str">
        <f>+'LISTA DE INSUMOS'!C46</f>
        <v>M</v>
      </c>
      <c r="F68" s="140">
        <v>4</v>
      </c>
      <c r="G68" s="141">
        <f>'LISTA DE INSUMOS'!E46</f>
        <v>8112.0359999999991</v>
      </c>
      <c r="H68" s="108">
        <v>0</v>
      </c>
      <c r="I68" s="141">
        <f t="shared" si="1"/>
        <v>32448</v>
      </c>
      <c r="J68" s="47"/>
      <c r="K68" s="143"/>
    </row>
    <row r="69" spans="2:43" ht="24.9" customHeight="1" x14ac:dyDescent="0.2">
      <c r="B69" s="672"/>
      <c r="C69" s="108" t="str">
        <f>+'LISTA DE INSUMOS'!A52</f>
        <v>MAT021</v>
      </c>
      <c r="D69" s="139" t="str">
        <f>+'LISTA DE INSUMOS'!B52</f>
        <v>Puntilla (promedio)</v>
      </c>
      <c r="E69" s="108" t="str">
        <f>+'LISTA DE INSUMOS'!C52</f>
        <v>Lb</v>
      </c>
      <c r="F69" s="140">
        <v>0.3</v>
      </c>
      <c r="G69" s="141">
        <f>'LISTA DE INSUMOS'!E52</f>
        <v>6690.6972299999998</v>
      </c>
      <c r="H69" s="108">
        <v>0</v>
      </c>
      <c r="I69" s="141">
        <f t="shared" si="1"/>
        <v>2007</v>
      </c>
      <c r="J69" s="47"/>
      <c r="K69" s="143"/>
    </row>
    <row r="70" spans="2:43" ht="24.9" customHeight="1" x14ac:dyDescent="0.2">
      <c r="B70" s="672"/>
      <c r="C70" s="108" t="str">
        <f>+'LISTA DE INSUMOS'!A53</f>
        <v>MAT022</v>
      </c>
      <c r="D70" s="139" t="str">
        <f>+'LISTA DE INSUMOS'!B53</f>
        <v>Alambre negro calibre 17</v>
      </c>
      <c r="E70" s="108" t="str">
        <f>+'LISTA DE INSUMOS'!C53</f>
        <v>Kg</v>
      </c>
      <c r="F70" s="140">
        <v>0.3</v>
      </c>
      <c r="G70" s="141">
        <f>'LISTA DE INSUMOS'!E53</f>
        <v>7948.98</v>
      </c>
      <c r="H70" s="108">
        <v>0</v>
      </c>
      <c r="I70" s="141">
        <f t="shared" si="1"/>
        <v>2385</v>
      </c>
      <c r="J70" s="47"/>
      <c r="K70" s="143"/>
    </row>
    <row r="71" spans="2:43" ht="24.9" customHeight="1" thickBot="1" x14ac:dyDescent="0.25">
      <c r="B71" s="673"/>
      <c r="C71" s="108" t="str">
        <f>+'LISTA DE INSUMOS'!A119</f>
        <v>MAT077</v>
      </c>
      <c r="D71" s="139" t="str">
        <f>+'LISTA DE INSUMOS'!B119</f>
        <v>Bisagra de acero 3x3"</v>
      </c>
      <c r="E71" s="108" t="str">
        <f>+'LISTA DE INSUMOS'!C119</f>
        <v>Un</v>
      </c>
      <c r="F71" s="140">
        <v>0.5</v>
      </c>
      <c r="G71" s="141">
        <f>'LISTA DE INSUMOS'!E119</f>
        <v>8560.4399999999987</v>
      </c>
      <c r="H71" s="108">
        <v>0</v>
      </c>
      <c r="I71" s="141">
        <f t="shared" si="1"/>
        <v>4280</v>
      </c>
      <c r="J71" s="47"/>
      <c r="K71" s="143"/>
      <c r="AQ71" s="103"/>
    </row>
    <row r="72" spans="2:43" ht="24.9" customHeight="1" thickTop="1" thickBot="1" x14ac:dyDescent="0.25">
      <c r="B72" s="120" t="s">
        <v>1310</v>
      </c>
      <c r="C72" s="108" t="str">
        <f>+B553</f>
        <v>ITE093</v>
      </c>
      <c r="D72" s="139" t="str">
        <f>+D553</f>
        <v>Concreto de 17,2 Mpa (2500 psi) (producción)</v>
      </c>
      <c r="E72" s="108" t="str">
        <f>+E553</f>
        <v>M3</v>
      </c>
      <c r="F72" s="140">
        <v>0.05</v>
      </c>
      <c r="G72" s="141">
        <f>G553</f>
        <v>566526</v>
      </c>
      <c r="H72" s="108">
        <v>0</v>
      </c>
      <c r="I72" s="141">
        <f t="shared" si="1"/>
        <v>28326</v>
      </c>
      <c r="J72" s="47"/>
      <c r="K72" s="143"/>
    </row>
    <row r="73" spans="2:43" ht="24.9" customHeight="1" thickTop="1" thickBot="1" x14ac:dyDescent="0.25">
      <c r="B73" s="158" t="s">
        <v>1034</v>
      </c>
      <c r="C73" s="108" t="str">
        <f>+'LISTA DE INSUMOS'!A17</f>
        <v>MOB014</v>
      </c>
      <c r="D73" s="139" t="str">
        <f>+'LISTA DE INSUMOS'!B17</f>
        <v>Cuadrilla D 2 Of + 4 Ay (jornal + prestaciones)</v>
      </c>
      <c r="E73" s="108" t="str">
        <f>+'LISTA DE INSUMOS'!C17</f>
        <v>Día</v>
      </c>
      <c r="F73" s="140">
        <v>1</v>
      </c>
      <c r="G73" s="141">
        <f>'LISTA DE INSUMOS'!E17</f>
        <v>654890</v>
      </c>
      <c r="H73" s="108">
        <v>0.06</v>
      </c>
      <c r="I73" s="141">
        <f>ROUND((F73*G73*H73),0)</f>
        <v>39293</v>
      </c>
      <c r="J73" s="47"/>
      <c r="K73" s="143"/>
    </row>
    <row r="74" spans="2:43" ht="24.9" customHeight="1" thickTop="1" x14ac:dyDescent="0.2">
      <c r="B74" s="674" t="s">
        <v>1033</v>
      </c>
      <c r="C74" s="108" t="str">
        <f>+'LISTA DE INSUMOS'!A758</f>
        <v>EQU002</v>
      </c>
      <c r="D74" s="139" t="str">
        <f>+'LISTA DE INSUMOS'!B758</f>
        <v>Herramienta menor (% mano obra)</v>
      </c>
      <c r="E74" s="108" t="str">
        <f>+'LISTA DE INSUMOS'!C758</f>
        <v>%MO</v>
      </c>
      <c r="F74" s="160">
        <v>0.1</v>
      </c>
      <c r="G74" s="141">
        <f>I73</f>
        <v>39293</v>
      </c>
      <c r="H74" s="108">
        <v>0</v>
      </c>
      <c r="I74" s="141">
        <f>ROUND((F74*G74),0)</f>
        <v>3929</v>
      </c>
      <c r="J74" s="47"/>
      <c r="K74" s="143"/>
    </row>
    <row r="75" spans="2:43" ht="24.9" customHeight="1" thickBot="1" x14ac:dyDescent="0.25">
      <c r="B75" s="709"/>
      <c r="C75" s="145" t="str">
        <f>+'LISTA DE INSUMOS'!A769</f>
        <v>EQU012</v>
      </c>
      <c r="D75" s="146" t="str">
        <f>+'LISTA DE INSUMOS'!B769</f>
        <v xml:space="preserve">Vibrocompactador manual </v>
      </c>
      <c r="E75" s="145" t="str">
        <f>+'LISTA DE INSUMOS'!C769</f>
        <v>Día</v>
      </c>
      <c r="F75" s="147">
        <v>1</v>
      </c>
      <c r="G75" s="148">
        <f>'LISTA DE INSUMOS'!E769</f>
        <v>83697.986602732781</v>
      </c>
      <c r="H75" s="145">
        <f>1/20</f>
        <v>0.05</v>
      </c>
      <c r="I75" s="148">
        <f>ROUND((F75*G75*H75),0)</f>
        <v>4185</v>
      </c>
      <c r="J75" s="47"/>
      <c r="K75" s="143"/>
    </row>
    <row r="76" spans="2:43" ht="24.9" customHeight="1" x14ac:dyDescent="0.2">
      <c r="B76" s="117" t="s">
        <v>1466</v>
      </c>
      <c r="C76" s="117"/>
      <c r="D76" s="112" t="s">
        <v>3047</v>
      </c>
      <c r="E76" s="117" t="s">
        <v>2585</v>
      </c>
      <c r="F76" s="149"/>
      <c r="G76" s="119">
        <f>ROUND(SUM(I76:I80),0)</f>
        <v>29470</v>
      </c>
      <c r="H76" s="120"/>
      <c r="I76" s="119"/>
      <c r="J76" s="47"/>
      <c r="K76" s="143"/>
    </row>
    <row r="77" spans="2:43" ht="24.9" customHeight="1" x14ac:dyDescent="0.2">
      <c r="B77" s="678" t="s">
        <v>1034</v>
      </c>
      <c r="C77" s="108" t="str">
        <f>+'LISTA DE INSUMOS'!A9</f>
        <v>MOB006</v>
      </c>
      <c r="D77" s="139" t="str">
        <f>+'LISTA DE INSUMOS'!B9</f>
        <v>Cuadrilla A 1 Of + 4 Ay (jornal + prestaciones)</v>
      </c>
      <c r="E77" s="108" t="str">
        <f>+'LISTA DE INSUMOS'!C9</f>
        <v>Día</v>
      </c>
      <c r="F77" s="140">
        <v>1</v>
      </c>
      <c r="G77" s="141">
        <f>'LISTA DE INSUMOS'!E9</f>
        <v>491167</v>
      </c>
      <c r="H77" s="108">
        <f>1/30</f>
        <v>3.3333333333333333E-2</v>
      </c>
      <c r="I77" s="141">
        <f>ROUND((F77*G77*H77),0)</f>
        <v>16372</v>
      </c>
      <c r="J77" s="47"/>
      <c r="K77" s="143"/>
    </row>
    <row r="78" spans="2:43" ht="24.9" customHeight="1" thickBot="1" x14ac:dyDescent="0.25">
      <c r="B78" s="705"/>
      <c r="C78" s="108" t="str">
        <f>+'LISTA DE INSUMOS'!A14</f>
        <v>MOB011</v>
      </c>
      <c r="D78" s="139" t="str">
        <f>+'LISTA DE INSUMOS'!B14</f>
        <v>Acarreo Horizontal (% mano obra)</v>
      </c>
      <c r="E78" s="108" t="str">
        <f>+'LISTA DE INSUMOS'!C14</f>
        <v>% MO</v>
      </c>
      <c r="F78" s="140">
        <v>0.5</v>
      </c>
      <c r="G78" s="141">
        <f>I77</f>
        <v>16372</v>
      </c>
      <c r="H78" s="108">
        <v>0</v>
      </c>
      <c r="I78" s="141">
        <f>ROUND((F78*G78),0)</f>
        <v>8186</v>
      </c>
      <c r="J78" s="47"/>
      <c r="K78" s="143"/>
    </row>
    <row r="79" spans="2:43" ht="24.9" customHeight="1" thickTop="1" x14ac:dyDescent="0.2">
      <c r="B79" s="674" t="s">
        <v>1033</v>
      </c>
      <c r="C79" s="108" t="str">
        <f>+'LISTA DE INSUMOS'!A758</f>
        <v>EQU002</v>
      </c>
      <c r="D79" s="139" t="str">
        <f>+'LISTA DE INSUMOS'!B758</f>
        <v>Herramienta menor (% mano obra)</v>
      </c>
      <c r="E79" s="108" t="str">
        <f>+'LISTA DE INSUMOS'!C758</f>
        <v>%MO</v>
      </c>
      <c r="F79" s="140">
        <v>0.05</v>
      </c>
      <c r="G79" s="141">
        <f>I77</f>
        <v>16372</v>
      </c>
      <c r="H79" s="108">
        <v>0</v>
      </c>
      <c r="I79" s="141">
        <f>ROUND((F79*G79),0)</f>
        <v>819</v>
      </c>
      <c r="J79" s="47"/>
      <c r="K79" s="143"/>
    </row>
    <row r="80" spans="2:43" ht="24.9" customHeight="1" thickBot="1" x14ac:dyDescent="0.25">
      <c r="B80" s="709"/>
      <c r="C80" s="145" t="str">
        <f>+'LISTA DE INSUMOS'!A762</f>
        <v>EQU006</v>
      </c>
      <c r="D80" s="146" t="str">
        <f>+'LISTA DE INSUMOS'!B762</f>
        <v>Andamio (% mano obra)</v>
      </c>
      <c r="E80" s="145" t="str">
        <f>+'LISTA DE INSUMOS'!C762</f>
        <v>%MO</v>
      </c>
      <c r="F80" s="147">
        <v>0.25</v>
      </c>
      <c r="G80" s="148">
        <f>I77</f>
        <v>16372</v>
      </c>
      <c r="H80" s="145">
        <v>0</v>
      </c>
      <c r="I80" s="148">
        <f>ROUND((F80*G80),0)</f>
        <v>4093</v>
      </c>
      <c r="J80" s="47"/>
      <c r="K80" s="143"/>
    </row>
    <row r="81" spans="2:11" ht="24.9" customHeight="1" x14ac:dyDescent="0.2">
      <c r="B81" s="117" t="s">
        <v>1600</v>
      </c>
      <c r="C81" s="117"/>
      <c r="D81" s="112" t="s">
        <v>1586</v>
      </c>
      <c r="E81" s="117" t="s">
        <v>2585</v>
      </c>
      <c r="F81" s="149"/>
      <c r="G81" s="119">
        <f>ROUND(SUM(I81:I85),0)</f>
        <v>8421</v>
      </c>
      <c r="H81" s="120"/>
      <c r="I81" s="119"/>
      <c r="J81" s="47"/>
      <c r="K81" s="143"/>
    </row>
    <row r="82" spans="2:11" ht="24.9" customHeight="1" x14ac:dyDescent="0.2">
      <c r="B82" s="678" t="s">
        <v>1034</v>
      </c>
      <c r="C82" s="108" t="str">
        <f>+'LISTA DE INSUMOS'!A9</f>
        <v>MOB006</v>
      </c>
      <c r="D82" s="139" t="str">
        <f>+'LISTA DE INSUMOS'!B9</f>
        <v>Cuadrilla A 1 Of + 4 Ay (jornal + prestaciones)</v>
      </c>
      <c r="E82" s="108" t="str">
        <f>+'LISTA DE INSUMOS'!C9</f>
        <v>Día</v>
      </c>
      <c r="F82" s="140">
        <v>1</v>
      </c>
      <c r="G82" s="141">
        <f>'LISTA DE INSUMOS'!E9</f>
        <v>491167</v>
      </c>
      <c r="H82" s="142">
        <f>1/70</f>
        <v>1.4285714285714285E-2</v>
      </c>
      <c r="I82" s="141">
        <f>ROUND((F82*G82*H82),0)</f>
        <v>7017</v>
      </c>
      <c r="J82" s="47"/>
      <c r="K82" s="143"/>
    </row>
    <row r="83" spans="2:11" ht="24.9" customHeight="1" thickBot="1" x14ac:dyDescent="0.25">
      <c r="B83" s="705"/>
      <c r="C83" s="108" t="str">
        <f>+'LISTA DE INSUMOS'!A14</f>
        <v>MOB011</v>
      </c>
      <c r="D83" s="139" t="str">
        <f>+'LISTA DE INSUMOS'!B14</f>
        <v>Acarreo Horizontal (% mano obra)</v>
      </c>
      <c r="E83" s="108" t="str">
        <f>+'LISTA DE INSUMOS'!C14</f>
        <v>% MO</v>
      </c>
      <c r="F83" s="140">
        <v>0.1</v>
      </c>
      <c r="G83" s="141">
        <f>I82</f>
        <v>7017</v>
      </c>
      <c r="H83" s="108">
        <v>0</v>
      </c>
      <c r="I83" s="141">
        <f>ROUND((F83*G83),0)</f>
        <v>702</v>
      </c>
      <c r="J83" s="47"/>
      <c r="K83" s="143"/>
    </row>
    <row r="84" spans="2:11" ht="24.9" customHeight="1" thickTop="1" x14ac:dyDescent="0.2">
      <c r="B84" s="674" t="s">
        <v>1033</v>
      </c>
      <c r="C84" s="108" t="str">
        <f>+'LISTA DE INSUMOS'!A758</f>
        <v>EQU002</v>
      </c>
      <c r="D84" s="139" t="str">
        <f>+'LISTA DE INSUMOS'!B758</f>
        <v>Herramienta menor (% mano obra)</v>
      </c>
      <c r="E84" s="108" t="str">
        <f>+'LISTA DE INSUMOS'!C758</f>
        <v>%MO</v>
      </c>
      <c r="F84" s="140">
        <v>0.05</v>
      </c>
      <c r="G84" s="141">
        <f>I82</f>
        <v>7017</v>
      </c>
      <c r="H84" s="108">
        <v>0</v>
      </c>
      <c r="I84" s="141">
        <f>ROUND((F84*G84),0)</f>
        <v>351</v>
      </c>
      <c r="J84" s="47"/>
      <c r="K84" s="143"/>
    </row>
    <row r="85" spans="2:11" ht="24.9" customHeight="1" thickBot="1" x14ac:dyDescent="0.25">
      <c r="B85" s="709"/>
      <c r="C85" s="145" t="str">
        <f>+'LISTA DE INSUMOS'!A762</f>
        <v>EQU006</v>
      </c>
      <c r="D85" s="146" t="str">
        <f>+'LISTA DE INSUMOS'!B762</f>
        <v>Andamio (% mano obra)</v>
      </c>
      <c r="E85" s="145" t="str">
        <f>+'LISTA DE INSUMOS'!C762</f>
        <v>%MO</v>
      </c>
      <c r="F85" s="147">
        <v>0.05</v>
      </c>
      <c r="G85" s="148">
        <f>I82</f>
        <v>7017</v>
      </c>
      <c r="H85" s="145">
        <v>0</v>
      </c>
      <c r="I85" s="148">
        <f>ROUND((F85*G85),0)</f>
        <v>351</v>
      </c>
      <c r="J85" s="47"/>
      <c r="K85" s="143"/>
    </row>
    <row r="86" spans="2:11" ht="24.9" customHeight="1" x14ac:dyDescent="0.2">
      <c r="B86" s="117" t="s">
        <v>1585</v>
      </c>
      <c r="C86" s="117"/>
      <c r="D86" s="112" t="s">
        <v>1590</v>
      </c>
      <c r="E86" s="117" t="s">
        <v>1412</v>
      </c>
      <c r="F86" s="118"/>
      <c r="G86" s="119">
        <f>ROUND(SUM(I86:I89),0)</f>
        <v>6140</v>
      </c>
      <c r="H86" s="120"/>
      <c r="I86" s="119"/>
      <c r="J86" s="47"/>
      <c r="K86" s="143"/>
    </row>
    <row r="87" spans="2:11" ht="24.9" customHeight="1" x14ac:dyDescent="0.2">
      <c r="B87" s="678" t="s">
        <v>1034</v>
      </c>
      <c r="C87" s="108" t="str">
        <f>+'LISTA DE INSUMOS'!A9</f>
        <v>MOB006</v>
      </c>
      <c r="D87" s="139" t="str">
        <f>+'LISTA DE INSUMOS'!B9</f>
        <v>Cuadrilla A 1 Of + 4 Ay (jornal + prestaciones)</v>
      </c>
      <c r="E87" s="108" t="str">
        <f>+'LISTA DE INSUMOS'!C9</f>
        <v>Día</v>
      </c>
      <c r="F87" s="140">
        <v>1</v>
      </c>
      <c r="G87" s="141">
        <f>'LISTA DE INSUMOS'!E9</f>
        <v>491167</v>
      </c>
      <c r="H87" s="108">
        <v>0.01</v>
      </c>
      <c r="I87" s="141">
        <f>ROUND((F87*G87*H87),0)</f>
        <v>4912</v>
      </c>
      <c r="J87" s="47"/>
      <c r="K87" s="143"/>
    </row>
    <row r="88" spans="2:11" ht="24.9" customHeight="1" thickBot="1" x14ac:dyDescent="0.25">
      <c r="B88" s="705"/>
      <c r="C88" s="108" t="str">
        <f>+'LISTA DE INSUMOS'!A14</f>
        <v>MOB011</v>
      </c>
      <c r="D88" s="139" t="str">
        <f>+'LISTA DE INSUMOS'!B14</f>
        <v>Acarreo Horizontal (% mano obra)</v>
      </c>
      <c r="E88" s="108" t="str">
        <f>+'LISTA DE INSUMOS'!C14</f>
        <v>% MO</v>
      </c>
      <c r="F88" s="140">
        <v>0.2</v>
      </c>
      <c r="G88" s="141">
        <f>I87</f>
        <v>4912</v>
      </c>
      <c r="H88" s="108">
        <v>0</v>
      </c>
      <c r="I88" s="141">
        <f>ROUND((F88*G88),0)</f>
        <v>982</v>
      </c>
      <c r="J88" s="47"/>
      <c r="K88" s="143"/>
    </row>
    <row r="89" spans="2:11" ht="24.75" customHeight="1" thickTop="1" thickBot="1" x14ac:dyDescent="0.25">
      <c r="B89" s="150" t="s">
        <v>1033</v>
      </c>
      <c r="C89" s="151" t="str">
        <f>+'LISTA DE INSUMOS'!A758</f>
        <v>EQU002</v>
      </c>
      <c r="D89" s="146" t="str">
        <f>+'LISTA DE INSUMOS'!B758</f>
        <v>Herramienta menor (% mano obra)</v>
      </c>
      <c r="E89" s="145" t="str">
        <f>+'LISTA DE INSUMOS'!C758</f>
        <v>%MO</v>
      </c>
      <c r="F89" s="147">
        <v>0.05</v>
      </c>
      <c r="G89" s="148">
        <f>I87</f>
        <v>4912</v>
      </c>
      <c r="H89" s="145">
        <v>0</v>
      </c>
      <c r="I89" s="148">
        <f>ROUND((F89*G89),0)</f>
        <v>246</v>
      </c>
      <c r="J89" s="47"/>
      <c r="K89" s="143"/>
    </row>
    <row r="90" spans="2:11" s="317" customFormat="1" ht="47.25" customHeight="1" x14ac:dyDescent="0.2">
      <c r="B90" s="117" t="s">
        <v>1589</v>
      </c>
      <c r="C90" s="117"/>
      <c r="D90" s="112" t="s">
        <v>67</v>
      </c>
      <c r="E90" s="112" t="s">
        <v>1412</v>
      </c>
      <c r="F90" s="112"/>
      <c r="G90" s="119">
        <f>ROUND(SUM(I90:I93),0)</f>
        <v>49116</v>
      </c>
      <c r="H90" s="112"/>
      <c r="I90" s="112"/>
      <c r="J90" s="313"/>
      <c r="K90" s="323"/>
    </row>
    <row r="91" spans="2:11" s="317" customFormat="1" ht="20.25" customHeight="1" x14ac:dyDescent="0.2">
      <c r="B91" s="678" t="s">
        <v>1034</v>
      </c>
      <c r="C91" s="108" t="str">
        <f>+'LISTA DE INSUMOS'!A9</f>
        <v>MOB006</v>
      </c>
      <c r="D91" s="139" t="str">
        <f>+'LISTA DE INSUMOS'!B9</f>
        <v>Cuadrilla A 1 Of + 4 Ay (jornal + prestaciones)</v>
      </c>
      <c r="E91" s="139" t="str">
        <f>+'LISTA DE INSUMOS'!C9</f>
        <v>Día</v>
      </c>
      <c r="F91" s="139">
        <v>1</v>
      </c>
      <c r="G91" s="141">
        <f>'LISTA DE INSUMOS'!E9</f>
        <v>491167</v>
      </c>
      <c r="H91" s="108">
        <f>1/13</f>
        <v>7.6923076923076927E-2</v>
      </c>
      <c r="I91" s="139">
        <f>ROUND((F91*G91*H91),0)</f>
        <v>37782</v>
      </c>
      <c r="J91" s="313"/>
      <c r="K91" s="323"/>
    </row>
    <row r="92" spans="2:11" s="317" customFormat="1" ht="32.25" customHeight="1" thickBot="1" x14ac:dyDescent="0.25">
      <c r="B92" s="705"/>
      <c r="C92" s="108" t="str">
        <f>+'LISTA DE INSUMOS'!A14</f>
        <v>MOB011</v>
      </c>
      <c r="D92" s="139" t="str">
        <f>+'LISTA DE INSUMOS'!B14</f>
        <v>Acarreo Horizontal (% mano obra)</v>
      </c>
      <c r="E92" s="139" t="str">
        <f>+'LISTA DE INSUMOS'!C14</f>
        <v>% MO</v>
      </c>
      <c r="F92" s="139">
        <v>0.2</v>
      </c>
      <c r="G92" s="141">
        <f>I91</f>
        <v>37782</v>
      </c>
      <c r="H92" s="108">
        <v>0</v>
      </c>
      <c r="I92" s="139">
        <f>ROUND((F92*G92),0)</f>
        <v>7556</v>
      </c>
      <c r="J92" s="313"/>
      <c r="K92" s="323"/>
    </row>
    <row r="93" spans="2:11" s="317" customFormat="1" ht="20.25" customHeight="1" thickTop="1" thickBot="1" x14ac:dyDescent="0.25">
      <c r="B93" s="150" t="s">
        <v>1033</v>
      </c>
      <c r="C93" s="151" t="str">
        <f>+'LISTA DE INSUMOS'!A758</f>
        <v>EQU002</v>
      </c>
      <c r="D93" s="146" t="str">
        <f>+'LISTA DE INSUMOS'!B758</f>
        <v>Herramienta menor (% mano obra)</v>
      </c>
      <c r="E93" s="146" t="str">
        <f>+'LISTA DE INSUMOS'!C758</f>
        <v>%MO</v>
      </c>
      <c r="F93" s="146">
        <v>0.1</v>
      </c>
      <c r="G93" s="148">
        <f>I91</f>
        <v>37782</v>
      </c>
      <c r="H93" s="145">
        <v>0</v>
      </c>
      <c r="I93" s="146">
        <f>ROUND((F93*G93),0)</f>
        <v>3778</v>
      </c>
      <c r="J93" s="313"/>
      <c r="K93" s="323"/>
    </row>
    <row r="94" spans="2:11" ht="24.9" customHeight="1" x14ac:dyDescent="0.2">
      <c r="B94" s="117" t="s">
        <v>1584</v>
      </c>
      <c r="C94" s="117"/>
      <c r="D94" s="112" t="s">
        <v>1596</v>
      </c>
      <c r="E94" s="117" t="s">
        <v>2585</v>
      </c>
      <c r="F94" s="118"/>
      <c r="G94" s="119">
        <f>ROUND(SUM(I94:I98),0)</f>
        <v>12280</v>
      </c>
      <c r="H94" s="120"/>
      <c r="I94" s="119"/>
      <c r="J94" s="47"/>
      <c r="K94" s="143"/>
    </row>
    <row r="95" spans="2:11" ht="24.9" customHeight="1" x14ac:dyDescent="0.2">
      <c r="B95" s="678" t="s">
        <v>1034</v>
      </c>
      <c r="C95" s="108" t="str">
        <f>+'LISTA DE INSUMOS'!A7</f>
        <v>MOB004</v>
      </c>
      <c r="D95" s="139" t="str">
        <f>+'LISTA DE INSUMOS'!B7</f>
        <v>Ayudante (jornal + prestaciones)</v>
      </c>
      <c r="E95" s="108" t="str">
        <f>+'LISTA DE INSUMOS'!C7</f>
        <v>Dia</v>
      </c>
      <c r="F95" s="140">
        <v>1</v>
      </c>
      <c r="G95" s="141">
        <f>+'LISTA DE INSUMOS'!E7</f>
        <v>81861</v>
      </c>
      <c r="H95" s="142">
        <f>1/8</f>
        <v>0.125</v>
      </c>
      <c r="I95" s="141">
        <f>ROUND((F95*G95*H95),0)</f>
        <v>10233</v>
      </c>
      <c r="J95" s="47"/>
      <c r="K95" s="143"/>
    </row>
    <row r="96" spans="2:11" ht="24.9" customHeight="1" thickBot="1" x14ac:dyDescent="0.25">
      <c r="B96" s="705"/>
      <c r="C96" s="108" t="str">
        <f>+'LISTA DE INSUMOS'!A14</f>
        <v>MOB011</v>
      </c>
      <c r="D96" s="139" t="str">
        <f>+'LISTA DE INSUMOS'!B14</f>
        <v>Acarreo Horizontal (% mano obra)</v>
      </c>
      <c r="E96" s="108" t="str">
        <f>+'LISTA DE INSUMOS'!C14</f>
        <v>% MO</v>
      </c>
      <c r="F96" s="140">
        <v>0.1</v>
      </c>
      <c r="G96" s="141">
        <f>I95</f>
        <v>10233</v>
      </c>
      <c r="H96" s="108">
        <v>0</v>
      </c>
      <c r="I96" s="141">
        <f>ROUND((F96*G96),0)</f>
        <v>1023</v>
      </c>
      <c r="J96" s="47"/>
      <c r="K96" s="143"/>
    </row>
    <row r="97" spans="2:11" ht="24.9" customHeight="1" thickTop="1" x14ac:dyDescent="0.2">
      <c r="B97" s="674" t="s">
        <v>1033</v>
      </c>
      <c r="C97" s="108" t="str">
        <f>+'LISTA DE INSUMOS'!A758</f>
        <v>EQU002</v>
      </c>
      <c r="D97" s="139" t="str">
        <f>+'LISTA DE INSUMOS'!B758</f>
        <v>Herramienta menor (% mano obra)</v>
      </c>
      <c r="E97" s="108" t="str">
        <f>+'LISTA DE INSUMOS'!C758</f>
        <v>%MO</v>
      </c>
      <c r="F97" s="140">
        <v>0.05</v>
      </c>
      <c r="G97" s="141">
        <f>I95</f>
        <v>10233</v>
      </c>
      <c r="H97" s="108">
        <v>0</v>
      </c>
      <c r="I97" s="141">
        <f>ROUND((F97*G97),0)</f>
        <v>512</v>
      </c>
      <c r="J97" s="47"/>
      <c r="K97" s="143"/>
    </row>
    <row r="98" spans="2:11" ht="24.9" customHeight="1" thickBot="1" x14ac:dyDescent="0.25">
      <c r="B98" s="709"/>
      <c r="C98" s="145" t="str">
        <f>+'LISTA DE INSUMOS'!A762</f>
        <v>EQU006</v>
      </c>
      <c r="D98" s="146" t="str">
        <f>+'LISTA DE INSUMOS'!B762</f>
        <v>Andamio (% mano obra)</v>
      </c>
      <c r="E98" s="145" t="str">
        <f>+'LISTA DE INSUMOS'!C762</f>
        <v>%MO</v>
      </c>
      <c r="F98" s="147">
        <v>0.05</v>
      </c>
      <c r="G98" s="148">
        <f>I95</f>
        <v>10233</v>
      </c>
      <c r="H98" s="145">
        <v>0</v>
      </c>
      <c r="I98" s="148">
        <f>ROUND((F98*G98),0)</f>
        <v>512</v>
      </c>
      <c r="J98" s="47"/>
      <c r="K98" s="143"/>
    </row>
    <row r="99" spans="2:11" ht="24.9" customHeight="1" x14ac:dyDescent="0.2">
      <c r="B99" s="117" t="s">
        <v>1595</v>
      </c>
      <c r="C99" s="117"/>
      <c r="D99" s="112" t="s">
        <v>68</v>
      </c>
      <c r="E99" s="117" t="s">
        <v>2585</v>
      </c>
      <c r="F99" s="118"/>
      <c r="G99" s="119">
        <f>ROUND(SUM(I99:I102),0)</f>
        <v>10826</v>
      </c>
      <c r="H99" s="120"/>
      <c r="I99" s="119"/>
      <c r="J99" s="47"/>
      <c r="K99" s="143"/>
    </row>
    <row r="100" spans="2:11" ht="24.9" customHeight="1" x14ac:dyDescent="0.2">
      <c r="B100" s="678" t="s">
        <v>1034</v>
      </c>
      <c r="C100" s="108" t="str">
        <f>+'LISTA DE INSUMOS'!A7</f>
        <v>MOB004</v>
      </c>
      <c r="D100" s="139" t="str">
        <f>+'LISTA DE INSUMOS'!B7</f>
        <v>Ayudante (jornal + prestaciones)</v>
      </c>
      <c r="E100" s="108" t="str">
        <f>+'LISTA DE INSUMOS'!C7</f>
        <v>Dia</v>
      </c>
      <c r="F100" s="140">
        <v>1</v>
      </c>
      <c r="G100" s="141">
        <f>+'LISTA DE INSUMOS'!E7</f>
        <v>81861</v>
      </c>
      <c r="H100" s="142">
        <v>0.115</v>
      </c>
      <c r="I100" s="141">
        <f>ROUND((F100*G100*H100),0)</f>
        <v>9414</v>
      </c>
      <c r="J100" s="47"/>
      <c r="K100" s="143"/>
    </row>
    <row r="101" spans="2:11" ht="24.9" customHeight="1" thickBot="1" x14ac:dyDescent="0.25">
      <c r="B101" s="705"/>
      <c r="C101" s="108" t="str">
        <f>+'LISTA DE INSUMOS'!A14</f>
        <v>MOB011</v>
      </c>
      <c r="D101" s="139" t="str">
        <f>+'LISTA DE INSUMOS'!B14</f>
        <v>Acarreo Horizontal (% mano obra)</v>
      </c>
      <c r="E101" s="108" t="str">
        <f>+'LISTA DE INSUMOS'!C14</f>
        <v>% MO</v>
      </c>
      <c r="F101" s="140">
        <v>0.1</v>
      </c>
      <c r="G101" s="141">
        <f>I100</f>
        <v>9414</v>
      </c>
      <c r="H101" s="108">
        <v>0</v>
      </c>
      <c r="I101" s="141">
        <f>ROUND((F101*G101),0)</f>
        <v>941</v>
      </c>
      <c r="J101" s="47"/>
      <c r="K101" s="143"/>
    </row>
    <row r="102" spans="2:11" ht="24.9" customHeight="1" thickTop="1" thickBot="1" x14ac:dyDescent="0.25">
      <c r="B102" s="150" t="s">
        <v>1033</v>
      </c>
      <c r="C102" s="151" t="str">
        <f>+'LISTA DE INSUMOS'!A758</f>
        <v>EQU002</v>
      </c>
      <c r="D102" s="146" t="str">
        <f>+'LISTA DE INSUMOS'!B758</f>
        <v>Herramienta menor (% mano obra)</v>
      </c>
      <c r="E102" s="145" t="str">
        <f>+'LISTA DE INSUMOS'!C758</f>
        <v>%MO</v>
      </c>
      <c r="F102" s="147">
        <v>0.05</v>
      </c>
      <c r="G102" s="148">
        <f>I100</f>
        <v>9414</v>
      </c>
      <c r="H102" s="145">
        <v>0</v>
      </c>
      <c r="I102" s="148">
        <f>ROUND((F102*G102),0)</f>
        <v>471</v>
      </c>
      <c r="J102" s="47"/>
      <c r="K102" s="143"/>
    </row>
    <row r="103" spans="2:11" ht="24.9" customHeight="1" x14ac:dyDescent="0.2">
      <c r="B103" s="117" t="s">
        <v>1592</v>
      </c>
      <c r="C103" s="117"/>
      <c r="D103" s="112" t="s">
        <v>1591</v>
      </c>
      <c r="E103" s="117" t="s">
        <v>2585</v>
      </c>
      <c r="F103" s="118"/>
      <c r="G103" s="119">
        <f>ROUND(SUM(I103:I106),0)</f>
        <v>7845</v>
      </c>
      <c r="H103" s="120"/>
      <c r="I103" s="119"/>
      <c r="J103" s="47"/>
      <c r="K103" s="143"/>
    </row>
    <row r="104" spans="2:11" ht="24.9" customHeight="1" x14ac:dyDescent="0.2">
      <c r="B104" s="678" t="s">
        <v>1034</v>
      </c>
      <c r="C104" s="108" t="str">
        <f>+'LISTA DE INSUMOS'!A7</f>
        <v>MOB004</v>
      </c>
      <c r="D104" s="139" t="str">
        <f>+'LISTA DE INSUMOS'!B7</f>
        <v>Ayudante (jornal + prestaciones)</v>
      </c>
      <c r="E104" s="108" t="str">
        <f>+'LISTA DE INSUMOS'!C7</f>
        <v>Dia</v>
      </c>
      <c r="F104" s="140">
        <v>1</v>
      </c>
      <c r="G104" s="141">
        <f>+'LISTA DE INSUMOS'!E7</f>
        <v>81861</v>
      </c>
      <c r="H104" s="108">
        <f>1/12</f>
        <v>8.3333333333333329E-2</v>
      </c>
      <c r="I104" s="141">
        <f>ROUND((F104*G104*H104),0)</f>
        <v>6822</v>
      </c>
      <c r="J104" s="47"/>
      <c r="K104" s="143"/>
    </row>
    <row r="105" spans="2:11" ht="24.9" customHeight="1" thickBot="1" x14ac:dyDescent="0.25">
      <c r="B105" s="705"/>
      <c r="C105" s="108" t="str">
        <f>+'LISTA DE INSUMOS'!A14</f>
        <v>MOB011</v>
      </c>
      <c r="D105" s="139" t="str">
        <f>+'LISTA DE INSUMOS'!B14</f>
        <v>Acarreo Horizontal (% mano obra)</v>
      </c>
      <c r="E105" s="108" t="str">
        <f>+'LISTA DE INSUMOS'!C14</f>
        <v>% MO</v>
      </c>
      <c r="F105" s="140">
        <v>0.1</v>
      </c>
      <c r="G105" s="141">
        <f>I104</f>
        <v>6822</v>
      </c>
      <c r="H105" s="108">
        <v>0</v>
      </c>
      <c r="I105" s="141">
        <f>ROUND((F105*G105),0)</f>
        <v>682</v>
      </c>
      <c r="J105" s="47"/>
      <c r="K105" s="143"/>
    </row>
    <row r="106" spans="2:11" ht="24.9" customHeight="1" thickTop="1" thickBot="1" x14ac:dyDescent="0.25">
      <c r="B106" s="150" t="s">
        <v>1033</v>
      </c>
      <c r="C106" s="151" t="str">
        <f>+'LISTA DE INSUMOS'!A758</f>
        <v>EQU002</v>
      </c>
      <c r="D106" s="146" t="str">
        <f>+'LISTA DE INSUMOS'!B758</f>
        <v>Herramienta menor (% mano obra)</v>
      </c>
      <c r="E106" s="145" t="str">
        <f>+'LISTA DE INSUMOS'!C758</f>
        <v>%MO</v>
      </c>
      <c r="F106" s="147">
        <v>0.05</v>
      </c>
      <c r="G106" s="148">
        <f>I104</f>
        <v>6822</v>
      </c>
      <c r="H106" s="145">
        <v>0</v>
      </c>
      <c r="I106" s="148">
        <f>ROUND((F106*G106),0)</f>
        <v>341</v>
      </c>
      <c r="J106" s="47"/>
      <c r="K106" s="143"/>
    </row>
    <row r="107" spans="2:11" ht="24.9" customHeight="1" thickBot="1" x14ac:dyDescent="0.25">
      <c r="B107" s="117" t="s">
        <v>2938</v>
      </c>
      <c r="C107" s="117"/>
      <c r="D107" s="112" t="s">
        <v>407</v>
      </c>
      <c r="E107" s="117" t="s">
        <v>2585</v>
      </c>
      <c r="F107" s="118"/>
      <c r="G107" s="119">
        <f>ROUND(SUM(I107:I110),0)</f>
        <v>8523</v>
      </c>
      <c r="H107" s="120"/>
      <c r="I107" s="119"/>
      <c r="J107" s="47"/>
      <c r="K107" s="143"/>
    </row>
    <row r="108" spans="2:11" ht="24.9" customHeight="1" thickTop="1" thickBot="1" x14ac:dyDescent="0.25">
      <c r="B108" s="158" t="s">
        <v>1034</v>
      </c>
      <c r="C108" s="108" t="str">
        <f>+'LISTA DE INSUMOS'!A18</f>
        <v>MOB015</v>
      </c>
      <c r="D108" s="139" t="str">
        <f>+'LISTA DE INSUMOS'!B18</f>
        <v>Cuadrilla E 1 Of + 1 Ay (jornal + prestaciones)</v>
      </c>
      <c r="E108" s="108" t="str">
        <f>+'LISTA DE INSUMOS'!C18</f>
        <v>Día</v>
      </c>
      <c r="F108" s="140">
        <v>1</v>
      </c>
      <c r="G108" s="141">
        <f>'LISTA DE INSUMOS'!E18</f>
        <v>245584</v>
      </c>
      <c r="H108" s="108">
        <f>1/40</f>
        <v>2.5000000000000001E-2</v>
      </c>
      <c r="I108" s="141">
        <f>ROUND((F108*G108*H108),0)</f>
        <v>6140</v>
      </c>
      <c r="J108" s="47"/>
      <c r="K108" s="143"/>
    </row>
    <row r="109" spans="2:11" ht="24.9" customHeight="1" thickTop="1" x14ac:dyDescent="0.2">
      <c r="B109" s="670" t="s">
        <v>1033</v>
      </c>
      <c r="C109" s="108" t="str">
        <f>'LISTA DE INSUMOS'!A820</f>
        <v>EQU065</v>
      </c>
      <c r="D109" s="139" t="str">
        <f>'LISTA DE INSUMOS'!B820</f>
        <v>eslinga y arnes</v>
      </c>
      <c r="E109" s="108" t="str">
        <f>'LISTA DE INSUMOS'!C820</f>
        <v>Dia</v>
      </c>
      <c r="F109" s="140">
        <v>1</v>
      </c>
      <c r="G109" s="141">
        <f>'LISTA DE INSUMOS'!E820</f>
        <v>20757.962193407995</v>
      </c>
      <c r="H109" s="108">
        <v>0.1</v>
      </c>
      <c r="I109" s="141">
        <f>ROUND((F109*G109*H109),0)</f>
        <v>2076</v>
      </c>
      <c r="J109" s="47"/>
      <c r="K109" s="143"/>
    </row>
    <row r="110" spans="2:11" ht="24.9" customHeight="1" thickBot="1" x14ac:dyDescent="0.25">
      <c r="B110" s="750"/>
      <c r="C110" s="151" t="str">
        <f>+'LISTA DE INSUMOS'!A758</f>
        <v>EQU002</v>
      </c>
      <c r="D110" s="146" t="str">
        <f>+'LISTA DE INSUMOS'!B758</f>
        <v>Herramienta menor (% mano obra)</v>
      </c>
      <c r="E110" s="145" t="str">
        <f>+'LISTA DE INSUMOS'!C758</f>
        <v>%MO</v>
      </c>
      <c r="F110" s="147">
        <v>0.05</v>
      </c>
      <c r="G110" s="148">
        <f>I108</f>
        <v>6140</v>
      </c>
      <c r="H110" s="145">
        <v>0</v>
      </c>
      <c r="I110" s="148">
        <f>ROUND((F110*G110),0)</f>
        <v>307</v>
      </c>
      <c r="J110" s="47"/>
      <c r="K110" s="143"/>
    </row>
    <row r="111" spans="2:11" ht="24.9" customHeight="1" thickBot="1" x14ac:dyDescent="0.25">
      <c r="B111" s="117" t="s">
        <v>2939</v>
      </c>
      <c r="C111" s="117"/>
      <c r="D111" s="112" t="s">
        <v>408</v>
      </c>
      <c r="E111" s="117" t="s">
        <v>1412</v>
      </c>
      <c r="F111" s="118"/>
      <c r="G111" s="119">
        <f>ROUND(SUM(I111:I114),0)</f>
        <v>6573</v>
      </c>
      <c r="H111" s="120"/>
      <c r="I111" s="119"/>
      <c r="J111" s="47"/>
      <c r="K111" s="143"/>
    </row>
    <row r="112" spans="2:11" ht="24.9" customHeight="1" thickTop="1" thickBot="1" x14ac:dyDescent="0.25">
      <c r="B112" s="158" t="s">
        <v>1034</v>
      </c>
      <c r="C112" s="108" t="str">
        <f>+'LISTA DE INSUMOS'!A20</f>
        <v>MOB017</v>
      </c>
      <c r="D112" s="139" t="str">
        <f>+'LISTA DE INSUMOS'!B20</f>
        <v>Cuadrilla G 1 Of + 2 Ay (jornal + prestaciones)</v>
      </c>
      <c r="E112" s="108" t="str">
        <f>+'LISTA DE INSUMOS'!C20</f>
        <v>Día</v>
      </c>
      <c r="F112" s="140">
        <v>1</v>
      </c>
      <c r="G112" s="141">
        <f>'LISTA DE INSUMOS'!E20</f>
        <v>327445</v>
      </c>
      <c r="H112" s="108">
        <f>1/70</f>
        <v>1.4285714285714285E-2</v>
      </c>
      <c r="I112" s="141">
        <f>ROUND((F112*G112*H112),0)</f>
        <v>4678</v>
      </c>
      <c r="J112" s="47"/>
      <c r="K112" s="143"/>
    </row>
    <row r="113" spans="1:40" ht="24.9" customHeight="1" thickTop="1" x14ac:dyDescent="0.2">
      <c r="B113" s="710" t="s">
        <v>1033</v>
      </c>
      <c r="C113" s="108" t="str">
        <f>'LISTA DE INSUMOS'!A820</f>
        <v>EQU065</v>
      </c>
      <c r="D113" s="139" t="str">
        <f>'LISTA DE INSUMOS'!B820</f>
        <v>eslinga y arnes</v>
      </c>
      <c r="E113" s="108" t="str">
        <f>'LISTA DE INSUMOS'!C820</f>
        <v>Dia</v>
      </c>
      <c r="F113" s="140">
        <v>1</v>
      </c>
      <c r="G113" s="141">
        <f>'LISTA DE INSUMOS'!E820</f>
        <v>20757.962193407995</v>
      </c>
      <c r="H113" s="108">
        <v>0.08</v>
      </c>
      <c r="I113" s="141">
        <f>ROUND((F113*G113*H113),0)</f>
        <v>1661</v>
      </c>
      <c r="J113" s="47"/>
      <c r="K113" s="143"/>
    </row>
    <row r="114" spans="1:40" ht="24.9" customHeight="1" thickBot="1" x14ac:dyDescent="0.25">
      <c r="B114" s="711"/>
      <c r="C114" s="151" t="str">
        <f>+'LISTA DE INSUMOS'!A758</f>
        <v>EQU002</v>
      </c>
      <c r="D114" s="146" t="str">
        <f>+'LISTA DE INSUMOS'!B758</f>
        <v>Herramienta menor (% mano obra)</v>
      </c>
      <c r="E114" s="145" t="str">
        <f>+'LISTA DE INSUMOS'!C758</f>
        <v>%MO</v>
      </c>
      <c r="F114" s="147">
        <v>0.05</v>
      </c>
      <c r="G114" s="148">
        <f>I112</f>
        <v>4678</v>
      </c>
      <c r="H114" s="145">
        <v>0</v>
      </c>
      <c r="I114" s="148">
        <f>ROUND((F114*G114),0)</f>
        <v>234</v>
      </c>
      <c r="J114" s="47"/>
      <c r="K114" s="143"/>
    </row>
    <row r="115" spans="1:40" ht="24.9" customHeight="1" thickBot="1" x14ac:dyDescent="0.25">
      <c r="A115" s="117"/>
      <c r="B115" s="117" t="s">
        <v>1881</v>
      </c>
      <c r="C115" s="112"/>
      <c r="D115" s="494" t="s">
        <v>3152</v>
      </c>
      <c r="E115" s="118" t="s">
        <v>2586</v>
      </c>
      <c r="F115" s="119"/>
      <c r="G115" s="120">
        <f>ROUND(SUM(I115:I118),0)</f>
        <v>32745</v>
      </c>
      <c r="H115" s="119"/>
      <c r="I115" s="119"/>
      <c r="J115" s="47"/>
      <c r="K115" s="143"/>
    </row>
    <row r="116" spans="1:40" ht="24.9" customHeight="1" thickTop="1" x14ac:dyDescent="0.2">
      <c r="A116" s="479"/>
      <c r="B116" s="755" t="s">
        <v>1034</v>
      </c>
      <c r="C116" s="108" t="str">
        <f>+'LISTA DE INSUMOS'!A9</f>
        <v>MOB006</v>
      </c>
      <c r="D116" s="436" t="str">
        <f>+'LISTA DE INSUMOS'!B9</f>
        <v>Cuadrilla A 1 Of + 4 Ay (jornal + prestaciones)</v>
      </c>
      <c r="E116" s="140" t="str">
        <f>+'LISTA DE INSUMOS'!C9</f>
        <v>Día</v>
      </c>
      <c r="F116" s="141">
        <v>1</v>
      </c>
      <c r="G116" s="108">
        <f>'LISTA DE INSUMOS'!E9</f>
        <v>491167</v>
      </c>
      <c r="H116" s="108">
        <f>1/18</f>
        <v>5.5555555555555552E-2</v>
      </c>
      <c r="I116" s="141">
        <f>ROUND((F116*G116*H116),0)</f>
        <v>27287</v>
      </c>
      <c r="J116" s="47"/>
      <c r="K116" s="143"/>
    </row>
    <row r="117" spans="1:40" ht="24.9" customHeight="1" thickBot="1" x14ac:dyDescent="0.25">
      <c r="A117" s="480"/>
      <c r="B117" s="754"/>
      <c r="C117" s="108" t="str">
        <f>+'LISTA DE INSUMOS'!A14</f>
        <v>MOB011</v>
      </c>
      <c r="D117" s="436" t="str">
        <f>+'LISTA DE INSUMOS'!B14</f>
        <v>Acarreo Horizontal (% mano obra)</v>
      </c>
      <c r="E117" s="140" t="str">
        <f>+'LISTA DE INSUMOS'!C14</f>
        <v>% MO</v>
      </c>
      <c r="F117" s="141">
        <v>0.1</v>
      </c>
      <c r="G117" s="108">
        <f>I116</f>
        <v>27287</v>
      </c>
      <c r="H117" s="108">
        <v>0</v>
      </c>
      <c r="I117" s="141">
        <f>ROUND((F117*G117),0)</f>
        <v>2729</v>
      </c>
      <c r="J117" s="47"/>
      <c r="K117" s="143"/>
    </row>
    <row r="118" spans="1:40" ht="33.75" customHeight="1" thickTop="1" thickBot="1" x14ac:dyDescent="0.25">
      <c r="A118" s="150"/>
      <c r="B118" s="150" t="s">
        <v>1033</v>
      </c>
      <c r="C118" s="145" t="str">
        <f>+'LISTA DE INSUMOS'!A758</f>
        <v>EQU002</v>
      </c>
      <c r="D118" s="481" t="str">
        <f>+'LISTA DE INSUMOS'!B758</f>
        <v>Herramienta menor (% mano obra)</v>
      </c>
      <c r="E118" s="147" t="str">
        <f>+'LISTA DE INSUMOS'!C758</f>
        <v>%MO</v>
      </c>
      <c r="F118" s="148">
        <v>0.1</v>
      </c>
      <c r="G118" s="145">
        <f>I116</f>
        <v>27287</v>
      </c>
      <c r="H118" s="145">
        <v>0</v>
      </c>
      <c r="I118" s="148">
        <f>ROUND((F118*G118),0)</f>
        <v>2729</v>
      </c>
      <c r="J118" s="47"/>
      <c r="K118" s="143"/>
    </row>
    <row r="119" spans="1:40" s="317" customFormat="1" ht="32.25" customHeight="1" thickBot="1" x14ac:dyDescent="0.25">
      <c r="B119" s="117" t="s">
        <v>1643</v>
      </c>
      <c r="C119" s="117"/>
      <c r="D119" s="494" t="s">
        <v>3151</v>
      </c>
      <c r="E119" s="117" t="s">
        <v>2586</v>
      </c>
      <c r="F119" s="117"/>
      <c r="G119" s="117">
        <f>ROUND(SUM(I119:I124),0)</f>
        <v>52886</v>
      </c>
      <c r="H119" s="117"/>
      <c r="I119" s="117"/>
      <c r="J119" s="313"/>
      <c r="K119" s="323"/>
    </row>
    <row r="120" spans="1:40" s="317" customFormat="1" ht="19.5" customHeight="1" thickTop="1" x14ac:dyDescent="0.2">
      <c r="B120" s="755" t="s">
        <v>1034</v>
      </c>
      <c r="C120" s="108" t="str">
        <f>+'LISTA DE INSUMOS'!A9</f>
        <v>MOB006</v>
      </c>
      <c r="D120" s="436" t="str">
        <f>+'LISTA DE INSUMOS'!B9</f>
        <v>Cuadrilla A 1 Of + 4 Ay (jornal + prestaciones)</v>
      </c>
      <c r="E120" s="108" t="str">
        <f>+'LISTA DE INSUMOS'!C9</f>
        <v>Día</v>
      </c>
      <c r="F120" s="108">
        <v>1</v>
      </c>
      <c r="G120" s="108">
        <f>+'LISTA DE INSUMOS'!E9</f>
        <v>491167</v>
      </c>
      <c r="H120" s="108">
        <f>1/13</f>
        <v>7.6923076923076927E-2</v>
      </c>
      <c r="I120" s="108">
        <f>ROUND((F120*G120*H120),0)</f>
        <v>37782</v>
      </c>
      <c r="J120" s="313"/>
      <c r="K120" s="323"/>
    </row>
    <row r="121" spans="1:40" s="317" customFormat="1" ht="19.5" customHeight="1" thickBot="1" x14ac:dyDescent="0.25">
      <c r="B121" s="754"/>
      <c r="C121" s="108" t="str">
        <f>+'LISTA DE INSUMOS'!A14</f>
        <v>MOB011</v>
      </c>
      <c r="D121" s="436" t="str">
        <f>+'LISTA DE INSUMOS'!B14</f>
        <v>Acarreo Horizontal (% mano obra)</v>
      </c>
      <c r="E121" s="108" t="str">
        <f>+'LISTA DE INSUMOS'!C14</f>
        <v>% MO</v>
      </c>
      <c r="F121" s="108">
        <v>0.05</v>
      </c>
      <c r="G121" s="108">
        <f>I120</f>
        <v>37782</v>
      </c>
      <c r="H121" s="108">
        <v>0</v>
      </c>
      <c r="I121" s="108">
        <f>ROUND((F121*G121),0)</f>
        <v>1889</v>
      </c>
      <c r="J121" s="313"/>
      <c r="K121" s="323"/>
    </row>
    <row r="122" spans="1:40" s="317" customFormat="1" ht="22.5" customHeight="1" thickTop="1" x14ac:dyDescent="0.2">
      <c r="B122" s="693" t="s">
        <v>1033</v>
      </c>
      <c r="C122" s="108" t="str">
        <f>+'LISTA DE INSUMOS'!A758</f>
        <v>EQU002</v>
      </c>
      <c r="D122" s="436" t="str">
        <f>+'LISTA DE INSUMOS'!B758</f>
        <v>Herramienta menor (% mano obra)</v>
      </c>
      <c r="E122" s="108" t="str">
        <f>+'LISTA DE INSUMOS'!C758</f>
        <v>%MO</v>
      </c>
      <c r="F122" s="108">
        <v>0.1</v>
      </c>
      <c r="G122" s="108">
        <f>I120</f>
        <v>37782</v>
      </c>
      <c r="H122" s="108">
        <v>0</v>
      </c>
      <c r="I122" s="108">
        <f>ROUND((F122*G122),0)</f>
        <v>3778</v>
      </c>
      <c r="J122" s="313"/>
      <c r="K122" s="323"/>
    </row>
    <row r="123" spans="1:40" s="317" customFormat="1" ht="22.5" customHeight="1" x14ac:dyDescent="0.2">
      <c r="B123" s="658"/>
      <c r="C123" s="108" t="str">
        <f>'LISTA DE INSUMOS'!A820</f>
        <v>EQU065</v>
      </c>
      <c r="D123" s="436" t="str">
        <f>'LISTA DE INSUMOS'!B820</f>
        <v>eslinga y arnes</v>
      </c>
      <c r="E123" s="108" t="str">
        <f>'LISTA DE INSUMOS'!C820</f>
        <v>Dia</v>
      </c>
      <c r="F123" s="108">
        <v>4</v>
      </c>
      <c r="G123" s="108">
        <f>'LISTA DE INSUMOS'!E820</f>
        <v>20757.962193407995</v>
      </c>
      <c r="H123" s="108">
        <f>1/11</f>
        <v>9.0909090909090912E-2</v>
      </c>
      <c r="I123" s="108">
        <f>ROUND((F123*G123*H123),0)</f>
        <v>7548</v>
      </c>
      <c r="J123" s="313"/>
      <c r="K123" s="323"/>
    </row>
    <row r="124" spans="1:40" s="317" customFormat="1" ht="19.5" customHeight="1" thickBot="1" x14ac:dyDescent="0.25">
      <c r="B124" s="694"/>
      <c r="C124" s="108" t="str">
        <f>+'LISTA DE INSUMOS'!A774</f>
        <v>EQU017</v>
      </c>
      <c r="D124" s="436" t="str">
        <f>+'LISTA DE INSUMOS'!B774</f>
        <v>Entibado (% mano obra)</v>
      </c>
      <c r="E124" s="108" t="str">
        <f>+'LISTA DE INSUMOS'!C774</f>
        <v>%MO</v>
      </c>
      <c r="F124" s="108">
        <v>0.05</v>
      </c>
      <c r="G124" s="108">
        <f>I120</f>
        <v>37782</v>
      </c>
      <c r="H124" s="108">
        <v>0</v>
      </c>
      <c r="I124" s="108">
        <f>ROUND((F124*G124),0)</f>
        <v>1889</v>
      </c>
      <c r="J124" s="313"/>
      <c r="K124" s="323"/>
    </row>
    <row r="125" spans="1:40" s="317" customFormat="1" ht="22.5" customHeight="1" thickBot="1" x14ac:dyDescent="0.25">
      <c r="B125" s="117" t="s">
        <v>1644</v>
      </c>
      <c r="C125" s="117"/>
      <c r="D125" s="494" t="s">
        <v>410</v>
      </c>
      <c r="E125" s="117" t="s">
        <v>2586</v>
      </c>
      <c r="F125" s="117"/>
      <c r="G125" s="117">
        <f>ROUND(SUM(I125:I130),0)</f>
        <v>70793</v>
      </c>
      <c r="H125" s="117"/>
      <c r="I125" s="117"/>
      <c r="J125" s="117"/>
      <c r="K125" s="117"/>
      <c r="L125" s="117"/>
      <c r="M125" s="117"/>
      <c r="N125" s="117"/>
      <c r="O125" s="117"/>
      <c r="P125" s="117"/>
      <c r="Q125" s="117"/>
      <c r="R125" s="117"/>
      <c r="S125" s="117"/>
      <c r="T125" s="117"/>
      <c r="U125" s="117"/>
      <c r="V125" s="117"/>
      <c r="W125" s="117"/>
      <c r="X125" s="117"/>
      <c r="Y125" s="117"/>
      <c r="Z125" s="117"/>
      <c r="AA125" s="117"/>
      <c r="AB125" s="117"/>
      <c r="AC125" s="117"/>
      <c r="AD125" s="117"/>
      <c r="AE125" s="117"/>
      <c r="AF125" s="117"/>
      <c r="AG125" s="117"/>
      <c r="AH125" s="117"/>
      <c r="AI125" s="117"/>
      <c r="AJ125" s="117"/>
      <c r="AK125" s="117"/>
      <c r="AL125" s="117"/>
      <c r="AM125" s="117"/>
      <c r="AN125" s="117"/>
    </row>
    <row r="126" spans="1:40" s="317" customFormat="1" ht="17.25" customHeight="1" thickTop="1" x14ac:dyDescent="0.2">
      <c r="B126" s="755" t="s">
        <v>1034</v>
      </c>
      <c r="C126" s="108" t="str">
        <f>+'LISTA DE INSUMOS'!A9</f>
        <v>MOB006</v>
      </c>
      <c r="D126" s="436" t="str">
        <f>+'LISTA DE INSUMOS'!B9</f>
        <v>Cuadrilla A 1 Of + 4 Ay (jornal + prestaciones)</v>
      </c>
      <c r="E126" s="108" t="str">
        <f>+'LISTA DE INSUMOS'!C9</f>
        <v>Día</v>
      </c>
      <c r="F126" s="108">
        <v>1</v>
      </c>
      <c r="G126" s="108">
        <f>+'LISTA DE INSUMOS'!E9</f>
        <v>491167</v>
      </c>
      <c r="H126" s="108">
        <f>1/10</f>
        <v>0.1</v>
      </c>
      <c r="I126" s="108">
        <f>ROUND((F126*G126*H126),0)</f>
        <v>49117</v>
      </c>
      <c r="J126" s="313"/>
      <c r="K126" s="323"/>
    </row>
    <row r="127" spans="1:40" s="317" customFormat="1" ht="24" customHeight="1" thickBot="1" x14ac:dyDescent="0.25">
      <c r="B127" s="754"/>
      <c r="C127" s="108" t="str">
        <f>+'LISTA DE INSUMOS'!A14</f>
        <v>MOB011</v>
      </c>
      <c r="D127" s="436" t="str">
        <f>+'LISTA DE INSUMOS'!B14</f>
        <v>Acarreo Horizontal (% mano obra)</v>
      </c>
      <c r="E127" s="108" t="str">
        <f>+'LISTA DE INSUMOS'!C14</f>
        <v>% MO</v>
      </c>
      <c r="F127" s="108">
        <v>0.05</v>
      </c>
      <c r="G127" s="108">
        <f>I126</f>
        <v>49117</v>
      </c>
      <c r="H127" s="108">
        <v>0</v>
      </c>
      <c r="I127" s="108">
        <f>ROUND((F127*G127),0)</f>
        <v>2456</v>
      </c>
      <c r="J127" s="313"/>
      <c r="K127" s="323"/>
    </row>
    <row r="128" spans="1:40" s="317" customFormat="1" ht="20.25" customHeight="1" thickTop="1" x14ac:dyDescent="0.2">
      <c r="B128" s="693" t="s">
        <v>1033</v>
      </c>
      <c r="C128" s="108" t="str">
        <f>+'LISTA DE INSUMOS'!A758</f>
        <v>EQU002</v>
      </c>
      <c r="D128" s="436" t="str">
        <f>+'LISTA DE INSUMOS'!B758</f>
        <v>Herramienta menor (% mano obra)</v>
      </c>
      <c r="E128" s="108" t="str">
        <f>+'LISTA DE INSUMOS'!C758</f>
        <v>%MO</v>
      </c>
      <c r="F128" s="108">
        <v>0.1</v>
      </c>
      <c r="G128" s="108">
        <f>I126</f>
        <v>49117</v>
      </c>
      <c r="H128" s="108">
        <v>0</v>
      </c>
      <c r="I128" s="108">
        <f>ROUND((F128*G128),0)</f>
        <v>4912</v>
      </c>
      <c r="J128" s="313"/>
      <c r="K128" s="323"/>
    </row>
    <row r="129" spans="2:40" s="317" customFormat="1" ht="20.25" customHeight="1" x14ac:dyDescent="0.2">
      <c r="B129" s="658"/>
      <c r="C129" s="108" t="s">
        <v>3145</v>
      </c>
      <c r="D129" s="436" t="s">
        <v>3150</v>
      </c>
      <c r="E129" s="108" t="s">
        <v>1074</v>
      </c>
      <c r="F129" s="108">
        <v>4</v>
      </c>
      <c r="G129" s="108">
        <f>+'LISTA DE INSUMOS'!E820</f>
        <v>20757.962193407995</v>
      </c>
      <c r="H129" s="108">
        <f>1/8</f>
        <v>0.125</v>
      </c>
      <c r="I129" s="108">
        <f>ROUND((F129*G129*H129),0)</f>
        <v>10379</v>
      </c>
      <c r="J129" s="313"/>
      <c r="K129" s="323"/>
    </row>
    <row r="130" spans="2:40" s="317" customFormat="1" ht="21" customHeight="1" thickBot="1" x14ac:dyDescent="0.25">
      <c r="B130" s="694"/>
      <c r="C130" s="108" t="str">
        <f>+'LISTA DE INSUMOS'!A774</f>
        <v>EQU017</v>
      </c>
      <c r="D130" s="436" t="str">
        <f>+'LISTA DE INSUMOS'!B774</f>
        <v>Entibado (% mano obra)</v>
      </c>
      <c r="E130" s="108" t="str">
        <f>+'LISTA DE INSUMOS'!C774</f>
        <v>%MO</v>
      </c>
      <c r="F130" s="108">
        <v>0.08</v>
      </c>
      <c r="G130" s="108">
        <f>I126</f>
        <v>49117</v>
      </c>
      <c r="H130" s="108">
        <v>0</v>
      </c>
      <c r="I130" s="108">
        <f>ROUND((F130*G130),0)</f>
        <v>3929</v>
      </c>
      <c r="J130" s="313"/>
      <c r="K130" s="323"/>
    </row>
    <row r="131" spans="2:40" s="317" customFormat="1" ht="24" customHeight="1" thickBot="1" x14ac:dyDescent="0.25">
      <c r="B131" s="117" t="s">
        <v>1645</v>
      </c>
      <c r="C131" s="117"/>
      <c r="D131" s="494" t="s">
        <v>3153</v>
      </c>
      <c r="E131" s="117" t="s">
        <v>2586</v>
      </c>
      <c r="F131" s="117"/>
      <c r="G131" s="117">
        <f>ROUND(SUM(I131:I136),0)</f>
        <v>47687</v>
      </c>
      <c r="H131" s="117"/>
      <c r="I131" s="117"/>
      <c r="J131" s="313"/>
      <c r="K131" s="323"/>
    </row>
    <row r="132" spans="2:40" s="317" customFormat="1" ht="24.75" customHeight="1" thickTop="1" x14ac:dyDescent="0.2">
      <c r="B132" s="755" t="s">
        <v>1034</v>
      </c>
      <c r="C132" s="108" t="str">
        <f>+'LISTA DE INSUMOS'!A9</f>
        <v>MOB006</v>
      </c>
      <c r="D132" s="436" t="str">
        <f>+'LISTA DE INSUMOS'!B9</f>
        <v>Cuadrilla A 1 Of + 4 Ay (jornal + prestaciones)</v>
      </c>
      <c r="E132" s="108" t="str">
        <f>+'LISTA DE INSUMOS'!C9</f>
        <v>Día</v>
      </c>
      <c r="F132" s="108">
        <v>1</v>
      </c>
      <c r="G132" s="108">
        <f>'LISTA DE INSUMOS'!E9</f>
        <v>491167</v>
      </c>
      <c r="H132" s="108">
        <f>1/14</f>
        <v>7.1428571428571425E-2</v>
      </c>
      <c r="I132" s="108">
        <f>ROUND((F132*G132*H132),0)</f>
        <v>35083</v>
      </c>
      <c r="J132" s="313"/>
      <c r="K132" s="323"/>
    </row>
    <row r="133" spans="2:40" s="317" customFormat="1" ht="22.5" customHeight="1" thickBot="1" x14ac:dyDescent="0.25">
      <c r="B133" s="754"/>
      <c r="C133" s="108" t="str">
        <f>+'LISTA DE INSUMOS'!A14</f>
        <v>MOB011</v>
      </c>
      <c r="D133" s="436" t="str">
        <f>+'LISTA DE INSUMOS'!B14</f>
        <v>Acarreo Horizontal (% mano obra)</v>
      </c>
      <c r="E133" s="108" t="str">
        <f>+'LISTA DE INSUMOS'!C14</f>
        <v>% MO</v>
      </c>
      <c r="F133" s="108">
        <v>0.05</v>
      </c>
      <c r="G133" s="108">
        <f>I132</f>
        <v>35083</v>
      </c>
      <c r="H133" s="108">
        <v>0</v>
      </c>
      <c r="I133" s="108">
        <f>IF(H133&gt;=0,(F133*G133*(1+H133/100)),ABS(F133*G133/H133))</f>
        <v>1754.15</v>
      </c>
      <c r="J133" s="313"/>
      <c r="K133" s="323"/>
    </row>
    <row r="134" spans="2:40" s="317" customFormat="1" ht="30.75" customHeight="1" thickTop="1" x14ac:dyDescent="0.2">
      <c r="B134" s="693" t="s">
        <v>1033</v>
      </c>
      <c r="C134" s="108" t="str">
        <f>+'LISTA DE INSUMOS'!A758</f>
        <v>EQU002</v>
      </c>
      <c r="D134" s="436" t="str">
        <f>+'LISTA DE INSUMOS'!B758</f>
        <v>Herramienta menor (% mano obra)</v>
      </c>
      <c r="E134" s="108" t="str">
        <f>+'LISTA DE INSUMOS'!C758</f>
        <v>%MO</v>
      </c>
      <c r="F134" s="108">
        <v>0.1</v>
      </c>
      <c r="G134" s="108">
        <f>I132</f>
        <v>35083</v>
      </c>
      <c r="H134" s="108">
        <v>0</v>
      </c>
      <c r="I134" s="108">
        <f>IF(H134&gt;=0,(F134*G134*(1+H134/100)),ABS(F134*G134/H134))</f>
        <v>3508.3</v>
      </c>
      <c r="J134" s="313"/>
      <c r="K134" s="323"/>
    </row>
    <row r="135" spans="2:40" s="317" customFormat="1" ht="21" customHeight="1" x14ac:dyDescent="0.2">
      <c r="B135" s="658"/>
      <c r="C135" s="108" t="str">
        <f>+'LISTA DE INSUMOS'!A773</f>
        <v>EQU016</v>
      </c>
      <c r="D135" s="436" t="str">
        <f>+'LISTA DE INSUMOS'!B773</f>
        <v>Motobomba sumergible 3" con manguera</v>
      </c>
      <c r="E135" s="108" t="str">
        <f>+'LISTA DE INSUMOS'!C773</f>
        <v>Día</v>
      </c>
      <c r="F135" s="108">
        <v>1</v>
      </c>
      <c r="G135" s="108">
        <f>'LISTA DE INSUMOS'!E773</f>
        <v>38341.394708759995</v>
      </c>
      <c r="H135" s="108">
        <f>1/10</f>
        <v>0.1</v>
      </c>
      <c r="I135" s="108">
        <f>ROUND((F135*G135*H135),0)</f>
        <v>3834</v>
      </c>
      <c r="J135" s="313"/>
      <c r="K135" s="323"/>
    </row>
    <row r="136" spans="2:40" s="317" customFormat="1" ht="24" customHeight="1" thickBot="1" x14ac:dyDescent="0.25">
      <c r="B136" s="694"/>
      <c r="C136" s="108" t="str">
        <f>+'LISTA DE INSUMOS'!A774</f>
        <v>EQU017</v>
      </c>
      <c r="D136" s="436" t="str">
        <f>+'LISTA DE INSUMOS'!B774</f>
        <v>Entibado (% mano obra)</v>
      </c>
      <c r="E136" s="108" t="str">
        <f>+'LISTA DE INSUMOS'!C774</f>
        <v>%MO</v>
      </c>
      <c r="F136" s="108">
        <v>0.1</v>
      </c>
      <c r="G136" s="108">
        <f>I132</f>
        <v>35083</v>
      </c>
      <c r="H136" s="108">
        <v>0</v>
      </c>
      <c r="I136" s="108">
        <f>ROUND((F136*G136),0)</f>
        <v>3508</v>
      </c>
      <c r="J136" s="313"/>
      <c r="K136" s="323"/>
    </row>
    <row r="137" spans="2:40" s="317" customFormat="1" ht="21.75" customHeight="1" thickBot="1" x14ac:dyDescent="0.25">
      <c r="B137" s="117" t="s">
        <v>1640</v>
      </c>
      <c r="C137" s="117"/>
      <c r="D137" s="494" t="s">
        <v>3154</v>
      </c>
      <c r="E137" s="117" t="s">
        <v>2586</v>
      </c>
      <c r="F137" s="117"/>
      <c r="G137" s="117">
        <f>ROUND(SUM(I137:I143),0)</f>
        <v>83536</v>
      </c>
      <c r="H137" s="117"/>
      <c r="I137" s="117"/>
      <c r="J137" s="117"/>
      <c r="K137" s="117"/>
      <c r="L137" s="117"/>
      <c r="M137" s="117"/>
      <c r="N137" s="117"/>
      <c r="O137" s="117"/>
      <c r="P137" s="117"/>
      <c r="Q137" s="117"/>
      <c r="R137" s="117"/>
      <c r="S137" s="117"/>
      <c r="T137" s="117"/>
      <c r="U137" s="117"/>
      <c r="V137" s="117"/>
      <c r="W137" s="117"/>
      <c r="X137" s="117"/>
      <c r="Y137" s="117"/>
      <c r="Z137" s="117"/>
      <c r="AA137" s="117"/>
      <c r="AB137" s="117"/>
      <c r="AC137" s="117"/>
      <c r="AD137" s="117"/>
      <c r="AE137" s="117"/>
      <c r="AF137" s="117"/>
      <c r="AG137" s="117"/>
      <c r="AH137" s="117"/>
      <c r="AI137" s="117"/>
      <c r="AJ137" s="117"/>
      <c r="AK137" s="117"/>
      <c r="AL137" s="117"/>
      <c r="AM137" s="117"/>
      <c r="AN137" s="117"/>
    </row>
    <row r="138" spans="2:40" s="317" customFormat="1" ht="27" customHeight="1" thickTop="1" x14ac:dyDescent="0.2">
      <c r="B138" s="755" t="s">
        <v>1034</v>
      </c>
      <c r="C138" s="108" t="str">
        <f>+'LISTA DE INSUMOS'!A9</f>
        <v>MOB006</v>
      </c>
      <c r="D138" s="436" t="str">
        <f>+'LISTA DE INSUMOS'!B9</f>
        <v>Cuadrilla A 1 Of + 4 Ay (jornal + prestaciones)</v>
      </c>
      <c r="E138" s="108" t="str">
        <f>+'LISTA DE INSUMOS'!C9</f>
        <v>Día</v>
      </c>
      <c r="F138" s="108">
        <v>1</v>
      </c>
      <c r="G138" s="108">
        <f>'LISTA DE INSUMOS'!E9</f>
        <v>491167</v>
      </c>
      <c r="H138" s="108">
        <f>1/9</f>
        <v>0.1111111111111111</v>
      </c>
      <c r="I138" s="108">
        <f>ROUND((F138*G138*H138),0)</f>
        <v>54574</v>
      </c>
      <c r="J138" s="108"/>
      <c r="K138" s="108"/>
      <c r="L138" s="108"/>
      <c r="M138" s="108"/>
    </row>
    <row r="139" spans="2:40" s="317" customFormat="1" ht="28.5" customHeight="1" thickBot="1" x14ac:dyDescent="0.25">
      <c r="B139" s="754"/>
      <c r="C139" s="108" t="str">
        <f>+'LISTA DE INSUMOS'!A14</f>
        <v>MOB011</v>
      </c>
      <c r="D139" s="436" t="str">
        <f>+'LISTA DE INSUMOS'!B14</f>
        <v>Acarreo Horizontal (% mano obra)</v>
      </c>
      <c r="E139" s="108" t="str">
        <f>+'LISTA DE INSUMOS'!C14</f>
        <v>% MO</v>
      </c>
      <c r="F139" s="108">
        <v>0.05</v>
      </c>
      <c r="G139" s="108">
        <f>I138</f>
        <v>54574</v>
      </c>
      <c r="H139" s="108">
        <v>0</v>
      </c>
      <c r="I139" s="108">
        <f>ROUND((F139*G139),0)</f>
        <v>2729</v>
      </c>
      <c r="J139" s="108"/>
      <c r="K139" s="108"/>
      <c r="L139" s="108"/>
      <c r="M139" s="108"/>
    </row>
    <row r="140" spans="2:40" s="317" customFormat="1" ht="28.5" customHeight="1" thickTop="1" x14ac:dyDescent="0.2">
      <c r="B140" s="693" t="s">
        <v>1033</v>
      </c>
      <c r="C140" s="108" t="str">
        <f>+'LISTA DE INSUMOS'!A758</f>
        <v>EQU002</v>
      </c>
      <c r="D140" s="436" t="str">
        <f>+'LISTA DE INSUMOS'!B758</f>
        <v>Herramienta menor (% mano obra)</v>
      </c>
      <c r="E140" s="108" t="str">
        <f>+'LISTA DE INSUMOS'!C758</f>
        <v>%MO</v>
      </c>
      <c r="F140" s="108">
        <v>0.1</v>
      </c>
      <c r="G140" s="108">
        <f>I138</f>
        <v>54574</v>
      </c>
      <c r="H140" s="108">
        <v>0</v>
      </c>
      <c r="I140" s="108">
        <f>ROUND((F140*G140),0)</f>
        <v>5457</v>
      </c>
      <c r="J140" s="108"/>
      <c r="K140" s="108"/>
      <c r="L140" s="108"/>
      <c r="M140" s="108"/>
    </row>
    <row r="141" spans="2:40" s="317" customFormat="1" ht="28.5" customHeight="1" x14ac:dyDescent="0.2">
      <c r="B141" s="658"/>
      <c r="C141" s="108" t="s">
        <v>3145</v>
      </c>
      <c r="D141" s="436" t="s">
        <v>3150</v>
      </c>
      <c r="E141" s="108" t="s">
        <v>1074</v>
      </c>
      <c r="F141" s="108">
        <v>4</v>
      </c>
      <c r="G141" s="108">
        <f>+'LISTA DE INSUMOS'!E820</f>
        <v>20757.962193407995</v>
      </c>
      <c r="H141" s="108">
        <f>1/8</f>
        <v>0.125</v>
      </c>
      <c r="I141" s="108">
        <f>ROUND((F141*G141*H141),0)</f>
        <v>10379</v>
      </c>
      <c r="J141" s="108"/>
      <c r="K141" s="108"/>
      <c r="L141" s="108"/>
      <c r="M141" s="108"/>
    </row>
    <row r="142" spans="2:40" s="317" customFormat="1" ht="23.25" customHeight="1" x14ac:dyDescent="0.2">
      <c r="B142" s="658"/>
      <c r="C142" s="108" t="str">
        <f>+'LISTA DE INSUMOS'!A773</f>
        <v>EQU016</v>
      </c>
      <c r="D142" s="436" t="str">
        <f>+'LISTA DE INSUMOS'!B773</f>
        <v>Motobomba sumergible 3" con manguera</v>
      </c>
      <c r="E142" s="108" t="str">
        <f>+'LISTA DE INSUMOS'!C773</f>
        <v>Día</v>
      </c>
      <c r="F142" s="108">
        <v>1</v>
      </c>
      <c r="G142" s="108">
        <f>'LISTA DE INSUMOS'!E773</f>
        <v>38341.394708759995</v>
      </c>
      <c r="H142" s="108">
        <f>1/5</f>
        <v>0.2</v>
      </c>
      <c r="I142" s="108">
        <f>ROUND((F142*G142*H142),0)</f>
        <v>7668</v>
      </c>
      <c r="J142" s="108"/>
      <c r="K142" s="108"/>
      <c r="L142" s="108"/>
      <c r="M142" s="108"/>
    </row>
    <row r="143" spans="2:40" s="317" customFormat="1" ht="22.5" customHeight="1" thickBot="1" x14ac:dyDescent="0.25">
      <c r="B143" s="694"/>
      <c r="C143" s="108" t="str">
        <f>+'LISTA DE INSUMOS'!A774</f>
        <v>EQU017</v>
      </c>
      <c r="D143" s="436" t="str">
        <f>+'LISTA DE INSUMOS'!B774</f>
        <v>Entibado (% mano obra)</v>
      </c>
      <c r="E143" s="108" t="str">
        <f>+'LISTA DE INSUMOS'!C774</f>
        <v>%MO</v>
      </c>
      <c r="F143" s="108">
        <v>0.05</v>
      </c>
      <c r="G143" s="108">
        <f>I138</f>
        <v>54574</v>
      </c>
      <c r="H143" s="108">
        <v>0</v>
      </c>
      <c r="I143" s="108">
        <f>ROUND((F143*G143),0)</f>
        <v>2729</v>
      </c>
      <c r="J143" s="108"/>
      <c r="K143" s="108"/>
      <c r="L143" s="108"/>
      <c r="M143" s="108"/>
    </row>
    <row r="144" spans="2:40" s="317" customFormat="1" ht="24" customHeight="1" thickBot="1" x14ac:dyDescent="0.25">
      <c r="B144" s="117" t="s">
        <v>1641</v>
      </c>
      <c r="C144" s="117"/>
      <c r="D144" s="494" t="s">
        <v>411</v>
      </c>
      <c r="E144" s="117" t="s">
        <v>2586</v>
      </c>
      <c r="F144" s="117"/>
      <c r="G144" s="117">
        <f>ROUND(SUM(I144:I150),0)</f>
        <v>110579</v>
      </c>
      <c r="H144" s="117"/>
      <c r="I144" s="117"/>
      <c r="J144" s="313"/>
      <c r="K144" s="323"/>
    </row>
    <row r="145" spans="2:40" s="317" customFormat="1" ht="29.25" customHeight="1" thickTop="1" x14ac:dyDescent="0.2">
      <c r="B145" s="755" t="s">
        <v>1034</v>
      </c>
      <c r="C145" s="108" t="str">
        <f>+'LISTA DE INSUMOS'!A9</f>
        <v>MOB006</v>
      </c>
      <c r="D145" s="436" t="str">
        <f>+'LISTA DE INSUMOS'!B9</f>
        <v>Cuadrilla A 1 Of + 4 Ay (jornal + prestaciones)</v>
      </c>
      <c r="E145" s="108" t="str">
        <f>+'LISTA DE INSUMOS'!C9</f>
        <v>Día</v>
      </c>
      <c r="F145" s="108">
        <v>1</v>
      </c>
      <c r="G145" s="108">
        <f>'LISTA DE INSUMOS'!E9</f>
        <v>491167</v>
      </c>
      <c r="H145" s="108">
        <f>1/7</f>
        <v>0.14285714285714285</v>
      </c>
      <c r="I145" s="108">
        <f>ROUND((F145*G145*H145),0)</f>
        <v>70167</v>
      </c>
      <c r="J145" s="313"/>
      <c r="K145" s="323"/>
    </row>
    <row r="146" spans="2:40" s="317" customFormat="1" ht="22.5" customHeight="1" thickBot="1" x14ac:dyDescent="0.25">
      <c r="B146" s="754"/>
      <c r="C146" s="108" t="str">
        <f>+'LISTA DE INSUMOS'!A14</f>
        <v>MOB011</v>
      </c>
      <c r="D146" s="436" t="str">
        <f>+'LISTA DE INSUMOS'!B14</f>
        <v>Acarreo Horizontal (% mano obra)</v>
      </c>
      <c r="E146" s="108" t="str">
        <f>+'LISTA DE INSUMOS'!C14</f>
        <v>% MO</v>
      </c>
      <c r="F146" s="108">
        <v>0.05</v>
      </c>
      <c r="G146" s="108">
        <f>I145</f>
        <v>70167</v>
      </c>
      <c r="H146" s="108">
        <v>0</v>
      </c>
      <c r="I146" s="108">
        <f>IF(H146&gt;=0,(F146*G146*(1+H146/100)),ABS(F146*G146/H146))</f>
        <v>3508.3500000000004</v>
      </c>
      <c r="J146" s="313"/>
      <c r="K146" s="323"/>
    </row>
    <row r="147" spans="2:40" s="317" customFormat="1" ht="25.5" customHeight="1" thickTop="1" x14ac:dyDescent="0.2">
      <c r="B147" s="693" t="s">
        <v>1033</v>
      </c>
      <c r="C147" s="108" t="str">
        <f>+'LISTA DE INSUMOS'!A758</f>
        <v>EQU002</v>
      </c>
      <c r="D147" s="436" t="str">
        <f>+'LISTA DE INSUMOS'!B758</f>
        <v>Herramienta menor (% mano obra)</v>
      </c>
      <c r="E147" s="108" t="str">
        <f>+'LISTA DE INSUMOS'!C758</f>
        <v>%MO</v>
      </c>
      <c r="F147" s="108">
        <v>0.1</v>
      </c>
      <c r="G147" s="108">
        <f>I145</f>
        <v>70167</v>
      </c>
      <c r="H147" s="108">
        <v>0</v>
      </c>
      <c r="I147" s="108">
        <f>IF(H147&gt;=0,(F147*G147*(1+H147/100)),ABS(F147*G147/H147))</f>
        <v>7016.7000000000007</v>
      </c>
      <c r="J147" s="313"/>
      <c r="K147" s="323"/>
    </row>
    <row r="148" spans="2:40" s="317" customFormat="1" ht="25.5" customHeight="1" x14ac:dyDescent="0.2">
      <c r="B148" s="658"/>
      <c r="C148" s="108" t="s">
        <v>3145</v>
      </c>
      <c r="D148" s="436" t="s">
        <v>3150</v>
      </c>
      <c r="E148" s="108" t="s">
        <v>1074</v>
      </c>
      <c r="F148" s="108">
        <v>4</v>
      </c>
      <c r="G148" s="108">
        <f>+'LISTA DE INSUMOS'!E820</f>
        <v>20757.962193407995</v>
      </c>
      <c r="H148" s="108">
        <f>1/5</f>
        <v>0.2</v>
      </c>
      <c r="I148" s="108">
        <f>ROUND((F148*G148*H148),0)</f>
        <v>16606</v>
      </c>
      <c r="J148" s="313"/>
      <c r="K148" s="323"/>
    </row>
    <row r="149" spans="2:40" s="317" customFormat="1" ht="21" customHeight="1" x14ac:dyDescent="0.2">
      <c r="B149" s="658"/>
      <c r="C149" s="108" t="str">
        <f>+'LISTA DE INSUMOS'!A773</f>
        <v>EQU016</v>
      </c>
      <c r="D149" s="436" t="str">
        <f>+'LISTA DE INSUMOS'!B773</f>
        <v>Motobomba sumergible 3" con manguera</v>
      </c>
      <c r="E149" s="108" t="str">
        <f>+'LISTA DE INSUMOS'!C773</f>
        <v>Día</v>
      </c>
      <c r="F149" s="108">
        <v>1</v>
      </c>
      <c r="G149" s="108">
        <f>'LISTA DE INSUMOS'!E773</f>
        <v>38341.394708759995</v>
      </c>
      <c r="H149" s="108">
        <f>1/5</f>
        <v>0.2</v>
      </c>
      <c r="I149" s="108">
        <f>ROUND((F149*G149*H149),0)</f>
        <v>7668</v>
      </c>
      <c r="J149" s="313"/>
      <c r="K149" s="323"/>
    </row>
    <row r="150" spans="2:40" s="317" customFormat="1" ht="21.75" customHeight="1" thickBot="1" x14ac:dyDescent="0.25">
      <c r="B150" s="694"/>
      <c r="C150" s="108" t="str">
        <f>+'LISTA DE INSUMOS'!A774</f>
        <v>EQU017</v>
      </c>
      <c r="D150" s="436" t="str">
        <f>+'LISTA DE INSUMOS'!B774</f>
        <v>Entibado (% mano obra)</v>
      </c>
      <c r="E150" s="108" t="str">
        <f>+'LISTA DE INSUMOS'!C774</f>
        <v>%MO</v>
      </c>
      <c r="F150" s="108">
        <v>0.08</v>
      </c>
      <c r="G150" s="108">
        <f>I145</f>
        <v>70167</v>
      </c>
      <c r="H150" s="108">
        <v>0</v>
      </c>
      <c r="I150" s="108">
        <f>ROUND((F150*G150),0)</f>
        <v>5613</v>
      </c>
      <c r="J150" s="313"/>
      <c r="K150" s="323"/>
    </row>
    <row r="151" spans="2:40" s="317" customFormat="1" ht="30.75" customHeight="1" thickBot="1" x14ac:dyDescent="0.25">
      <c r="B151" s="117" t="s">
        <v>1642</v>
      </c>
      <c r="C151" s="117"/>
      <c r="D151" s="494" t="s">
        <v>3155</v>
      </c>
      <c r="E151" s="117" t="s">
        <v>2586</v>
      </c>
      <c r="F151" s="117"/>
      <c r="G151" s="117">
        <f>ROUND(SUM(I151:I154),0)</f>
        <v>47071</v>
      </c>
      <c r="H151" s="117"/>
      <c r="I151" s="117"/>
      <c r="J151" s="117"/>
      <c r="K151" s="117"/>
      <c r="L151" s="117"/>
      <c r="M151" s="117"/>
      <c r="N151" s="117"/>
      <c r="O151" s="117"/>
      <c r="P151" s="117"/>
      <c r="Q151" s="117"/>
      <c r="R151" s="117"/>
      <c r="S151" s="117"/>
      <c r="T151" s="117"/>
      <c r="U151" s="117"/>
      <c r="V151" s="117"/>
      <c r="W151" s="117"/>
      <c r="X151" s="117"/>
      <c r="Y151" s="117"/>
      <c r="Z151" s="117"/>
      <c r="AA151" s="117"/>
      <c r="AB151" s="117"/>
      <c r="AC151" s="117"/>
      <c r="AD151" s="117"/>
      <c r="AE151" s="117"/>
      <c r="AF151" s="117"/>
      <c r="AG151" s="117"/>
      <c r="AH151" s="117"/>
      <c r="AI151" s="117"/>
      <c r="AJ151" s="117"/>
      <c r="AK151" s="117"/>
      <c r="AL151" s="117"/>
      <c r="AM151" s="117"/>
      <c r="AN151" s="117"/>
    </row>
    <row r="152" spans="2:40" s="317" customFormat="1" ht="19.5" customHeight="1" thickTop="1" x14ac:dyDescent="0.2">
      <c r="B152" s="755" t="s">
        <v>1034</v>
      </c>
      <c r="C152" s="108" t="str">
        <f>+'LISTA DE INSUMOS'!A9</f>
        <v>MOB006</v>
      </c>
      <c r="D152" s="436" t="str">
        <f>+'LISTA DE INSUMOS'!B9</f>
        <v>Cuadrilla A 1 Of + 4 Ay (jornal + prestaciones)</v>
      </c>
      <c r="E152" s="108" t="str">
        <f>+'LISTA DE INSUMOS'!C9</f>
        <v>Día</v>
      </c>
      <c r="F152" s="108">
        <v>1</v>
      </c>
      <c r="G152" s="108">
        <f>'LISTA DE INSUMOS'!E9</f>
        <v>491167</v>
      </c>
      <c r="H152" s="108">
        <f>1/12</f>
        <v>8.3333333333333329E-2</v>
      </c>
      <c r="I152" s="108">
        <f>ROUND((F152*G152*H152),0)</f>
        <v>40931</v>
      </c>
      <c r="J152" s="108"/>
      <c r="K152" s="108"/>
      <c r="L152" s="108"/>
      <c r="M152" s="108"/>
    </row>
    <row r="153" spans="2:40" s="317" customFormat="1" ht="21.75" customHeight="1" thickBot="1" x14ac:dyDescent="0.25">
      <c r="B153" s="754"/>
      <c r="C153" s="108" t="str">
        <f>+'LISTA DE INSUMOS'!A14</f>
        <v>MOB011</v>
      </c>
      <c r="D153" s="436" t="str">
        <f>+'LISTA DE INSUMOS'!B14</f>
        <v>Acarreo Horizontal (% mano obra)</v>
      </c>
      <c r="E153" s="108" t="str">
        <f>+'LISTA DE INSUMOS'!C14</f>
        <v>% MO</v>
      </c>
      <c r="F153" s="108">
        <v>0.05</v>
      </c>
      <c r="G153" s="108">
        <f>I152</f>
        <v>40931</v>
      </c>
      <c r="H153" s="108">
        <v>0</v>
      </c>
      <c r="I153" s="108">
        <f>ROUND((F153*G153),0)</f>
        <v>2047</v>
      </c>
      <c r="J153" s="108"/>
      <c r="K153" s="108"/>
      <c r="L153" s="108"/>
      <c r="M153" s="108"/>
    </row>
    <row r="154" spans="2:40" s="317" customFormat="1" ht="25.5" customHeight="1" thickTop="1" thickBot="1" x14ac:dyDescent="0.25">
      <c r="B154" s="255" t="s">
        <v>1033</v>
      </c>
      <c r="C154" s="108" t="str">
        <f>+'LISTA DE INSUMOS'!A758</f>
        <v>EQU002</v>
      </c>
      <c r="D154" s="436" t="str">
        <f>+'LISTA DE INSUMOS'!B758</f>
        <v>Herramienta menor (% mano obra)</v>
      </c>
      <c r="E154" s="108" t="str">
        <f>+'LISTA DE INSUMOS'!C758</f>
        <v>%MO</v>
      </c>
      <c r="F154" s="108">
        <v>0.1</v>
      </c>
      <c r="G154" s="108">
        <f>I152</f>
        <v>40931</v>
      </c>
      <c r="H154" s="108">
        <v>0</v>
      </c>
      <c r="I154" s="108">
        <f>ROUND((F154*G154),0)</f>
        <v>4093</v>
      </c>
      <c r="J154" s="108"/>
      <c r="K154" s="108"/>
      <c r="L154" s="108"/>
      <c r="M154" s="108"/>
    </row>
    <row r="155" spans="2:40" s="317" customFormat="1" ht="22.5" customHeight="1" thickBot="1" x14ac:dyDescent="0.25">
      <c r="B155" s="117" t="s">
        <v>1635</v>
      </c>
      <c r="C155" s="117"/>
      <c r="D155" s="494" t="s">
        <v>3156</v>
      </c>
      <c r="E155" s="117" t="s">
        <v>2586</v>
      </c>
      <c r="F155" s="117"/>
      <c r="G155" s="117">
        <f>ROUND(SUM(I155:I160),0)</f>
        <v>68167</v>
      </c>
      <c r="H155" s="117"/>
      <c r="I155" s="117"/>
      <c r="J155" s="313"/>
      <c r="K155" s="323"/>
    </row>
    <row r="156" spans="2:40" s="317" customFormat="1" ht="21.75" customHeight="1" thickTop="1" x14ac:dyDescent="0.2">
      <c r="B156" s="755" t="s">
        <v>1034</v>
      </c>
      <c r="C156" s="108" t="str">
        <f>+'LISTA DE INSUMOS'!A9</f>
        <v>MOB006</v>
      </c>
      <c r="D156" s="436" t="str">
        <f>+'LISTA DE INSUMOS'!B9</f>
        <v>Cuadrilla A 1 Of + 4 Ay (jornal + prestaciones)</v>
      </c>
      <c r="E156" s="108" t="str">
        <f>+'LISTA DE INSUMOS'!C9</f>
        <v>Día</v>
      </c>
      <c r="F156" s="108">
        <v>1</v>
      </c>
      <c r="G156" s="108">
        <f>+'LISTA DE INSUMOS'!E9</f>
        <v>491167</v>
      </c>
      <c r="H156" s="108">
        <f>1/10</f>
        <v>0.1</v>
      </c>
      <c r="I156" s="108">
        <f>ROUND((F156*G156*H156),0)</f>
        <v>49117</v>
      </c>
      <c r="J156" s="313"/>
      <c r="K156" s="323"/>
    </row>
    <row r="157" spans="2:40" s="317" customFormat="1" ht="21" customHeight="1" thickBot="1" x14ac:dyDescent="0.25">
      <c r="B157" s="754"/>
      <c r="C157" s="108" t="str">
        <f>+'LISTA DE INSUMOS'!A14</f>
        <v>MOB011</v>
      </c>
      <c r="D157" s="436" t="str">
        <f>+'LISTA DE INSUMOS'!B14</f>
        <v>Acarreo Horizontal (% mano obra)</v>
      </c>
      <c r="E157" s="108" t="str">
        <f>+'LISTA DE INSUMOS'!C14</f>
        <v>% MO</v>
      </c>
      <c r="F157" s="108">
        <v>0.05</v>
      </c>
      <c r="G157" s="108">
        <f>I156</f>
        <v>49117</v>
      </c>
      <c r="H157" s="108">
        <v>0</v>
      </c>
      <c r="I157" s="108">
        <f>ROUND((F157*G157),0)</f>
        <v>2456</v>
      </c>
      <c r="J157" s="313"/>
      <c r="K157" s="323"/>
    </row>
    <row r="158" spans="2:40" s="317" customFormat="1" ht="19.5" customHeight="1" thickTop="1" x14ac:dyDescent="0.2">
      <c r="B158" s="693" t="s">
        <v>1033</v>
      </c>
      <c r="C158" s="108" t="str">
        <f>+'LISTA DE INSUMOS'!A758</f>
        <v>EQU002</v>
      </c>
      <c r="D158" s="436" t="str">
        <f>+'LISTA DE INSUMOS'!B758</f>
        <v>Herramienta menor (% mano obra)</v>
      </c>
      <c r="E158" s="108" t="str">
        <f>+'LISTA DE INSUMOS'!C758</f>
        <v>%MO</v>
      </c>
      <c r="F158" s="108">
        <v>0.1</v>
      </c>
      <c r="G158" s="108">
        <f>I156</f>
        <v>49117</v>
      </c>
      <c r="H158" s="108">
        <v>0</v>
      </c>
      <c r="I158" s="108">
        <f>ROUND((F158*G158),0)</f>
        <v>4912</v>
      </c>
      <c r="J158" s="313"/>
      <c r="K158" s="323"/>
    </row>
    <row r="159" spans="2:40" s="317" customFormat="1" ht="19.5" customHeight="1" x14ac:dyDescent="0.2">
      <c r="B159" s="658"/>
      <c r="C159" s="108" t="s">
        <v>3145</v>
      </c>
      <c r="D159" s="436" t="s">
        <v>3150</v>
      </c>
      <c r="E159" s="108" t="s">
        <v>1074</v>
      </c>
      <c r="F159" s="108">
        <v>4</v>
      </c>
      <c r="G159" s="108">
        <f>+'LISTA DE INSUMOS'!E820</f>
        <v>20757.962193407995</v>
      </c>
      <c r="H159" s="108">
        <f>1/9</f>
        <v>0.1111111111111111</v>
      </c>
      <c r="I159" s="108">
        <f>ROUND((F159*G159*H159),0)</f>
        <v>9226</v>
      </c>
      <c r="J159" s="313"/>
      <c r="K159" s="323"/>
    </row>
    <row r="160" spans="2:40" s="317" customFormat="1" ht="20.25" customHeight="1" thickBot="1" x14ac:dyDescent="0.25">
      <c r="B160" s="694"/>
      <c r="C160" s="108" t="str">
        <f>+'LISTA DE INSUMOS'!A774</f>
        <v>EQU017</v>
      </c>
      <c r="D160" s="436" t="str">
        <f>+'LISTA DE INSUMOS'!B774</f>
        <v>Entibado (% mano obra)</v>
      </c>
      <c r="E160" s="108" t="str">
        <f>+'LISTA DE INSUMOS'!C774</f>
        <v>%MO</v>
      </c>
      <c r="F160" s="108">
        <v>0.05</v>
      </c>
      <c r="G160" s="108">
        <f>I156</f>
        <v>49117</v>
      </c>
      <c r="H160" s="108">
        <v>0</v>
      </c>
      <c r="I160" s="108">
        <f>ROUND((F160*G160),0)</f>
        <v>2456</v>
      </c>
      <c r="J160" s="313"/>
      <c r="K160" s="323"/>
    </row>
    <row r="161" spans="2:11" s="317" customFormat="1" ht="20.25" customHeight="1" thickBot="1" x14ac:dyDescent="0.25">
      <c r="B161" s="117" t="s">
        <v>1636</v>
      </c>
      <c r="C161" s="117"/>
      <c r="D161" s="494" t="s">
        <v>412</v>
      </c>
      <c r="E161" s="117" t="s">
        <v>2586</v>
      </c>
      <c r="F161" s="117"/>
      <c r="G161" s="117">
        <f>ROUND(SUM(I161:I166),0)</f>
        <v>100144</v>
      </c>
      <c r="H161" s="117"/>
      <c r="I161" s="117"/>
      <c r="J161" s="313"/>
      <c r="K161" s="323"/>
    </row>
    <row r="162" spans="2:11" s="317" customFormat="1" ht="21" customHeight="1" thickTop="1" x14ac:dyDescent="0.2">
      <c r="B162" s="755" t="s">
        <v>1034</v>
      </c>
      <c r="C162" s="108" t="str">
        <f>+'LISTA DE INSUMOS'!A9</f>
        <v>MOB006</v>
      </c>
      <c r="D162" s="436" t="str">
        <f>+'LISTA DE INSUMOS'!B9</f>
        <v>Cuadrilla A 1 Of + 4 Ay (jornal + prestaciones)</v>
      </c>
      <c r="E162" s="108" t="str">
        <f>+'LISTA DE INSUMOS'!C9</f>
        <v>Día</v>
      </c>
      <c r="F162" s="108">
        <v>1</v>
      </c>
      <c r="G162" s="108">
        <f>+'LISTA DE INSUMOS'!E9</f>
        <v>491167</v>
      </c>
      <c r="H162" s="108">
        <f>1/7</f>
        <v>0.14285714285714285</v>
      </c>
      <c r="I162" s="108">
        <f>ROUND((F162*G162*H162),0)</f>
        <v>70167</v>
      </c>
      <c r="J162" s="313"/>
      <c r="K162" s="323"/>
    </row>
    <row r="163" spans="2:11" s="317" customFormat="1" ht="18" customHeight="1" thickBot="1" x14ac:dyDescent="0.25">
      <c r="B163" s="754"/>
      <c r="C163" s="108" t="str">
        <f>+'LISTA DE INSUMOS'!A14</f>
        <v>MOB011</v>
      </c>
      <c r="D163" s="436" t="str">
        <f>+'LISTA DE INSUMOS'!B14</f>
        <v>Acarreo Horizontal (% mano obra)</v>
      </c>
      <c r="E163" s="108" t="str">
        <f>+'LISTA DE INSUMOS'!C14</f>
        <v>% MO</v>
      </c>
      <c r="F163" s="108">
        <v>0.05</v>
      </c>
      <c r="G163" s="108">
        <f>I162</f>
        <v>70167</v>
      </c>
      <c r="H163" s="108">
        <v>0</v>
      </c>
      <c r="I163" s="108">
        <f>ROUND((F163*G163),0)</f>
        <v>3508</v>
      </c>
      <c r="J163" s="313"/>
      <c r="K163" s="323"/>
    </row>
    <row r="164" spans="2:11" s="317" customFormat="1" ht="19.5" customHeight="1" thickTop="1" x14ac:dyDescent="0.2">
      <c r="B164" s="693" t="s">
        <v>1033</v>
      </c>
      <c r="C164" s="108" t="str">
        <f>+'LISTA DE INSUMOS'!A758</f>
        <v>EQU002</v>
      </c>
      <c r="D164" s="436" t="str">
        <f>+'LISTA DE INSUMOS'!B758</f>
        <v>Herramienta menor (% mano obra)</v>
      </c>
      <c r="E164" s="108" t="str">
        <f>+'LISTA DE INSUMOS'!C758</f>
        <v>%MO</v>
      </c>
      <c r="F164" s="108">
        <v>0.1</v>
      </c>
      <c r="G164" s="108">
        <f>I162</f>
        <v>70167</v>
      </c>
      <c r="H164" s="108">
        <v>0</v>
      </c>
      <c r="I164" s="108">
        <f>ROUND((F164*G164),0)</f>
        <v>7017</v>
      </c>
      <c r="J164" s="313"/>
      <c r="K164" s="323"/>
    </row>
    <row r="165" spans="2:11" s="317" customFormat="1" ht="18" customHeight="1" x14ac:dyDescent="0.2">
      <c r="B165" s="658"/>
      <c r="C165" s="108" t="s">
        <v>3145</v>
      </c>
      <c r="D165" s="436" t="s">
        <v>3150</v>
      </c>
      <c r="E165" s="108" t="s">
        <v>1074</v>
      </c>
      <c r="F165" s="108">
        <v>4</v>
      </c>
      <c r="G165" s="108">
        <f>+'LISTA DE INSUMOS'!E820</f>
        <v>20757.962193407995</v>
      </c>
      <c r="H165" s="108">
        <f>1/6</f>
        <v>0.16666666666666666</v>
      </c>
      <c r="I165" s="108">
        <f>ROUND((F165*G165*H165),0)</f>
        <v>13839</v>
      </c>
      <c r="J165" s="313"/>
      <c r="K165" s="323"/>
    </row>
    <row r="166" spans="2:11" s="317" customFormat="1" ht="26.25" customHeight="1" thickBot="1" x14ac:dyDescent="0.25">
      <c r="B166" s="694"/>
      <c r="C166" s="108" t="str">
        <f>+'LISTA DE INSUMOS'!A774</f>
        <v>EQU017</v>
      </c>
      <c r="D166" s="436" t="str">
        <f>+'LISTA DE INSUMOS'!B774</f>
        <v>Entibado (% mano obra)</v>
      </c>
      <c r="E166" s="108" t="str">
        <f>+'LISTA DE INSUMOS'!C774</f>
        <v>%MO</v>
      </c>
      <c r="F166" s="108">
        <v>0.08</v>
      </c>
      <c r="G166" s="108">
        <f>I162</f>
        <v>70167</v>
      </c>
      <c r="H166" s="108">
        <v>0</v>
      </c>
      <c r="I166" s="108">
        <f>ROUND((F166*G166),0)</f>
        <v>5613</v>
      </c>
      <c r="J166" s="313"/>
      <c r="K166" s="323"/>
    </row>
    <row r="167" spans="2:11" s="317" customFormat="1" ht="25.5" customHeight="1" thickBot="1" x14ac:dyDescent="0.25">
      <c r="B167" s="117" t="s">
        <v>1637</v>
      </c>
      <c r="C167" s="117"/>
      <c r="D167" s="494" t="s">
        <v>3157</v>
      </c>
      <c r="E167" s="117" t="s">
        <v>2586</v>
      </c>
      <c r="F167" s="117"/>
      <c r="G167" s="117">
        <f>ROUND(SUM(I167:I171),0)</f>
        <v>76083</v>
      </c>
      <c r="H167" s="117"/>
      <c r="I167" s="117"/>
      <c r="J167" s="313"/>
      <c r="K167" s="323"/>
    </row>
    <row r="168" spans="2:11" s="317" customFormat="1" ht="19.5" customHeight="1" thickTop="1" x14ac:dyDescent="0.2">
      <c r="B168" s="755" t="s">
        <v>1034</v>
      </c>
      <c r="C168" s="108" t="str">
        <f>+'LISTA DE INSUMOS'!A9</f>
        <v>MOB006</v>
      </c>
      <c r="D168" s="436" t="str">
        <f>+'LISTA DE INSUMOS'!B9</f>
        <v>Cuadrilla A 1 Of + 4 Ay (jornal + prestaciones)</v>
      </c>
      <c r="E168" s="436" t="str">
        <f>+'LISTA DE INSUMOS'!C9</f>
        <v>Día</v>
      </c>
      <c r="F168" s="436">
        <v>1</v>
      </c>
      <c r="G168" s="436">
        <f>+'LISTA DE INSUMOS'!E9</f>
        <v>491167</v>
      </c>
      <c r="H168" s="108">
        <f>1/8</f>
        <v>0.125</v>
      </c>
      <c r="I168" s="108">
        <f>ROUND((F168*G168*H168),0)</f>
        <v>61396</v>
      </c>
      <c r="J168" s="313"/>
      <c r="K168" s="323"/>
    </row>
    <row r="169" spans="2:11" s="317" customFormat="1" ht="21" customHeight="1" thickBot="1" x14ac:dyDescent="0.25">
      <c r="B169" s="754"/>
      <c r="C169" s="108" t="str">
        <f>+'LISTA DE INSUMOS'!A14</f>
        <v>MOB011</v>
      </c>
      <c r="D169" s="436" t="str">
        <f>+'LISTA DE INSUMOS'!B14</f>
        <v>Acarreo Horizontal (% mano obra)</v>
      </c>
      <c r="E169" s="436" t="str">
        <f>+'LISTA DE INSUMOS'!C14</f>
        <v>% MO</v>
      </c>
      <c r="F169" s="436">
        <v>0.05</v>
      </c>
      <c r="G169" s="436">
        <f>I168</f>
        <v>61396</v>
      </c>
      <c r="H169" s="108">
        <v>0</v>
      </c>
      <c r="I169" s="108">
        <f>ROUND((F169*G169),0)</f>
        <v>3070</v>
      </c>
      <c r="J169" s="313"/>
      <c r="K169" s="323"/>
    </row>
    <row r="170" spans="2:11" s="317" customFormat="1" ht="15" customHeight="1" thickTop="1" x14ac:dyDescent="0.2">
      <c r="B170" s="693" t="s">
        <v>1033</v>
      </c>
      <c r="C170" s="108" t="str">
        <f>+'LISTA DE INSUMOS'!A758</f>
        <v>EQU002</v>
      </c>
      <c r="D170" s="436" t="str">
        <f>+'LISTA DE INSUMOS'!B758</f>
        <v>Herramienta menor (% mano obra)</v>
      </c>
      <c r="E170" s="436" t="str">
        <f>+'LISTA DE INSUMOS'!C758</f>
        <v>%MO</v>
      </c>
      <c r="F170" s="436">
        <v>0.1</v>
      </c>
      <c r="G170" s="436">
        <f>I168</f>
        <v>61396</v>
      </c>
      <c r="H170" s="108">
        <v>0</v>
      </c>
      <c r="I170" s="108">
        <f>ROUND((F170*G170),0)</f>
        <v>6140</v>
      </c>
      <c r="J170" s="313"/>
      <c r="K170" s="323"/>
    </row>
    <row r="171" spans="2:11" s="317" customFormat="1" ht="27.75" customHeight="1" x14ac:dyDescent="0.2">
      <c r="B171" s="658"/>
      <c r="C171" s="108" t="str">
        <f>+'LISTA DE INSUMOS'!A773</f>
        <v>EQU016</v>
      </c>
      <c r="D171" s="436" t="str">
        <f>+'LISTA DE INSUMOS'!B773</f>
        <v>Motobomba sumergible 3" con manguera</v>
      </c>
      <c r="E171" s="436" t="str">
        <f>+'LISTA DE INSUMOS'!C773</f>
        <v>Día</v>
      </c>
      <c r="F171" s="436">
        <v>1</v>
      </c>
      <c r="G171" s="436">
        <f>'LISTA DE INSUMOS'!E773</f>
        <v>38341.394708759995</v>
      </c>
      <c r="H171" s="108">
        <f>1/7</f>
        <v>0.14285714285714285</v>
      </c>
      <c r="I171" s="108">
        <f>ROUND((F171*G171*H171),0)</f>
        <v>5477</v>
      </c>
      <c r="J171" s="313"/>
      <c r="K171" s="323"/>
    </row>
    <row r="172" spans="2:11" s="317" customFormat="1" ht="25.5" customHeight="1" thickBot="1" x14ac:dyDescent="0.25">
      <c r="B172" s="117" t="s">
        <v>1632</v>
      </c>
      <c r="C172" s="117"/>
      <c r="D172" s="494" t="s">
        <v>3158</v>
      </c>
      <c r="E172" s="117" t="s">
        <v>2586</v>
      </c>
      <c r="F172" s="117"/>
      <c r="G172" s="494">
        <f>SUM(I173:I178)</f>
        <v>105707</v>
      </c>
      <c r="H172" s="117"/>
      <c r="I172" s="117"/>
      <c r="J172" s="313"/>
      <c r="K172" s="323"/>
    </row>
    <row r="173" spans="2:11" s="317" customFormat="1" ht="23.25" customHeight="1" thickTop="1" x14ac:dyDescent="0.2">
      <c r="B173" s="755" t="s">
        <v>1034</v>
      </c>
      <c r="C173" s="108" t="str">
        <f>+'LISTA DE INSUMOS'!A9</f>
        <v>MOB006</v>
      </c>
      <c r="D173" s="436" t="str">
        <f>+'LISTA DE INSUMOS'!B9</f>
        <v>Cuadrilla A 1 Of + 4 Ay (jornal + prestaciones)</v>
      </c>
      <c r="E173" s="436" t="str">
        <f>+'LISTA DE INSUMOS'!C9</f>
        <v>Día</v>
      </c>
      <c r="F173" s="436">
        <v>1</v>
      </c>
      <c r="G173" s="436">
        <f>+'LISTA DE INSUMOS'!E9</f>
        <v>491167</v>
      </c>
      <c r="H173" s="108">
        <f>1/7</f>
        <v>0.14285714285714285</v>
      </c>
      <c r="I173" s="108">
        <f>ROUND((F173*G173*H173),0)</f>
        <v>70167</v>
      </c>
      <c r="J173" s="313"/>
      <c r="K173" s="323"/>
    </row>
    <row r="174" spans="2:11" s="317" customFormat="1" ht="21.75" customHeight="1" thickBot="1" x14ac:dyDescent="0.25">
      <c r="B174" s="754"/>
      <c r="C174" s="108" t="str">
        <f>+'LISTA DE INSUMOS'!A14</f>
        <v>MOB011</v>
      </c>
      <c r="D174" s="436" t="str">
        <f>+'LISTA DE INSUMOS'!B14</f>
        <v>Acarreo Horizontal (% mano obra)</v>
      </c>
      <c r="E174" s="436" t="str">
        <f>+'LISTA DE INSUMOS'!C14</f>
        <v>% MO</v>
      </c>
      <c r="F174" s="436">
        <v>0.05</v>
      </c>
      <c r="G174" s="436">
        <f>I173</f>
        <v>70167</v>
      </c>
      <c r="H174" s="108">
        <v>0</v>
      </c>
      <c r="I174" s="108">
        <f>ROUND((F174*G174),0)</f>
        <v>3508</v>
      </c>
      <c r="J174" s="313"/>
      <c r="K174" s="323"/>
    </row>
    <row r="175" spans="2:11" s="317" customFormat="1" ht="15.75" customHeight="1" thickTop="1" x14ac:dyDescent="0.2">
      <c r="B175" s="693" t="s">
        <v>1033</v>
      </c>
      <c r="C175" s="108" t="str">
        <f>+'LISTA DE INSUMOS'!A758</f>
        <v>EQU002</v>
      </c>
      <c r="D175" s="436" t="str">
        <f>+'LISTA DE INSUMOS'!B758</f>
        <v>Herramienta menor (% mano obra)</v>
      </c>
      <c r="E175" s="436" t="str">
        <f>+'LISTA DE INSUMOS'!C758</f>
        <v>%MO</v>
      </c>
      <c r="F175" s="436">
        <v>0.1</v>
      </c>
      <c r="G175" s="436">
        <f>I173</f>
        <v>70167</v>
      </c>
      <c r="H175" s="108">
        <v>0</v>
      </c>
      <c r="I175" s="108">
        <f>ROUND((F175*G175),0)</f>
        <v>7017</v>
      </c>
      <c r="J175" s="313"/>
      <c r="K175" s="323"/>
    </row>
    <row r="176" spans="2:11" s="317" customFormat="1" ht="23.25" customHeight="1" x14ac:dyDescent="0.2">
      <c r="B176" s="658"/>
      <c r="C176" s="108" t="str">
        <f>+'LISTA DE INSUMOS'!A773</f>
        <v>EQU016</v>
      </c>
      <c r="D176" s="436" t="str">
        <f>+'LISTA DE INSUMOS'!B773</f>
        <v>Motobomba sumergible 3" con manguera</v>
      </c>
      <c r="E176" s="436" t="str">
        <f>+'LISTA DE INSUMOS'!C773</f>
        <v>Día</v>
      </c>
      <c r="F176" s="436">
        <v>1</v>
      </c>
      <c r="G176" s="436">
        <f>'LISTA DE INSUMOS'!E773</f>
        <v>38341.394708759995</v>
      </c>
      <c r="H176" s="108">
        <f>1/5</f>
        <v>0.2</v>
      </c>
      <c r="I176" s="108">
        <f>ROUND((F176*G176*H176),0)</f>
        <v>7668</v>
      </c>
      <c r="J176" s="313"/>
      <c r="K176" s="323"/>
    </row>
    <row r="177" spans="2:12" s="317" customFormat="1" ht="23.25" customHeight="1" x14ac:dyDescent="0.2">
      <c r="B177" s="658"/>
      <c r="C177" s="108" t="s">
        <v>3145</v>
      </c>
      <c r="D177" s="436" t="s">
        <v>3150</v>
      </c>
      <c r="E177" s="436" t="s">
        <v>1074</v>
      </c>
      <c r="F177" s="436">
        <v>4</v>
      </c>
      <c r="G177" s="436">
        <f>+'LISTA DE INSUMOS'!E820</f>
        <v>20757.962193407995</v>
      </c>
      <c r="H177" s="108">
        <f>1/6</f>
        <v>0.16666666666666666</v>
      </c>
      <c r="I177" s="108">
        <f>ROUND((F177*G177*H177),0)</f>
        <v>13839</v>
      </c>
      <c r="J177" s="313"/>
      <c r="K177" s="323"/>
    </row>
    <row r="178" spans="2:12" s="317" customFormat="1" ht="20.25" customHeight="1" thickBot="1" x14ac:dyDescent="0.25">
      <c r="B178" s="694"/>
      <c r="C178" s="108" t="str">
        <f>+'LISTA DE INSUMOS'!A774</f>
        <v>EQU017</v>
      </c>
      <c r="D178" s="436" t="str">
        <f>+'LISTA DE INSUMOS'!B774</f>
        <v>Entibado (% mano obra)</v>
      </c>
      <c r="E178" s="436" t="str">
        <f>+'LISTA DE INSUMOS'!C774</f>
        <v>%MO</v>
      </c>
      <c r="F178" s="436">
        <v>0.05</v>
      </c>
      <c r="G178" s="436">
        <f>I173</f>
        <v>70167</v>
      </c>
      <c r="H178" s="108">
        <v>0</v>
      </c>
      <c r="I178" s="108">
        <f>ROUND((F178*G178),0)</f>
        <v>3508</v>
      </c>
      <c r="J178" s="313"/>
      <c r="K178" s="323"/>
    </row>
    <row r="179" spans="2:12" s="317" customFormat="1" ht="21" customHeight="1" thickBot="1" x14ac:dyDescent="0.25">
      <c r="B179" s="117" t="s">
        <v>1633</v>
      </c>
      <c r="C179" s="117"/>
      <c r="D179" s="494" t="s">
        <v>413</v>
      </c>
      <c r="E179" s="117" t="s">
        <v>2586</v>
      </c>
      <c r="F179" s="117"/>
      <c r="G179" s="117">
        <f>ROUND(SUM(I179:I185),0)</f>
        <v>126880</v>
      </c>
      <c r="H179" s="117"/>
      <c r="I179" s="117"/>
      <c r="J179" s="313"/>
      <c r="K179" s="323"/>
    </row>
    <row r="180" spans="2:12" s="317" customFormat="1" ht="30" customHeight="1" thickTop="1" x14ac:dyDescent="0.2">
      <c r="B180" s="755" t="s">
        <v>1034</v>
      </c>
      <c r="C180" s="108" t="str">
        <f>+'LISTA DE INSUMOS'!A9</f>
        <v>MOB006</v>
      </c>
      <c r="D180" s="436" t="str">
        <f>+'LISTA DE INSUMOS'!B9</f>
        <v>Cuadrilla A 1 Of + 4 Ay (jornal + prestaciones)</v>
      </c>
      <c r="E180" s="108" t="str">
        <f>+'LISTA DE INSUMOS'!C9</f>
        <v>Día</v>
      </c>
      <c r="F180" s="108">
        <v>1</v>
      </c>
      <c r="G180" s="108">
        <f>+'LISTA DE INSUMOS'!E9</f>
        <v>491167</v>
      </c>
      <c r="H180" s="108">
        <f>1/6</f>
        <v>0.16666666666666666</v>
      </c>
      <c r="I180" s="108">
        <f>ROUND((F180*G180*H180),0)</f>
        <v>81861</v>
      </c>
      <c r="J180" s="313"/>
      <c r="K180" s="323"/>
    </row>
    <row r="181" spans="2:12" s="317" customFormat="1" ht="24.75" customHeight="1" thickBot="1" x14ac:dyDescent="0.25">
      <c r="B181" s="754"/>
      <c r="C181" s="108" t="str">
        <f>+'LISTA DE INSUMOS'!A14</f>
        <v>MOB011</v>
      </c>
      <c r="D181" s="436" t="str">
        <f>+'LISTA DE INSUMOS'!B14</f>
        <v>Acarreo Horizontal (% mano obra)</v>
      </c>
      <c r="E181" s="108" t="str">
        <f>+'LISTA DE INSUMOS'!C14</f>
        <v>% MO</v>
      </c>
      <c r="F181" s="108">
        <v>0.05</v>
      </c>
      <c r="G181" s="108">
        <f>I180</f>
        <v>81861</v>
      </c>
      <c r="H181" s="108">
        <v>0</v>
      </c>
      <c r="I181" s="108">
        <f>ROUND((F181*G181),0)</f>
        <v>4093</v>
      </c>
      <c r="J181" s="313"/>
      <c r="K181" s="323"/>
    </row>
    <row r="182" spans="2:12" s="317" customFormat="1" ht="21" customHeight="1" thickTop="1" x14ac:dyDescent="0.2">
      <c r="B182" s="693" t="s">
        <v>1033</v>
      </c>
      <c r="C182" s="108" t="str">
        <f>+'LISTA DE INSUMOS'!A758</f>
        <v>EQU002</v>
      </c>
      <c r="D182" s="436" t="str">
        <f>+'LISTA DE INSUMOS'!B758</f>
        <v>Herramienta menor (% mano obra)</v>
      </c>
      <c r="E182" s="108" t="str">
        <f>+'LISTA DE INSUMOS'!C758</f>
        <v>%MO</v>
      </c>
      <c r="F182" s="108">
        <v>0.1</v>
      </c>
      <c r="G182" s="108">
        <f>I180</f>
        <v>81861</v>
      </c>
      <c r="H182" s="108">
        <v>0</v>
      </c>
      <c r="I182" s="108">
        <f>ROUND((F182*G182),0)</f>
        <v>8186</v>
      </c>
      <c r="J182" s="313"/>
      <c r="K182" s="323"/>
    </row>
    <row r="183" spans="2:12" s="317" customFormat="1" ht="27" customHeight="1" x14ac:dyDescent="0.2">
      <c r="B183" s="658"/>
      <c r="C183" s="108" t="str">
        <f>+'LISTA DE INSUMOS'!A773</f>
        <v>EQU016</v>
      </c>
      <c r="D183" s="436" t="str">
        <f>+'LISTA DE INSUMOS'!B773</f>
        <v>Motobomba sumergible 3" con manguera</v>
      </c>
      <c r="E183" s="108" t="str">
        <f>+'LISTA DE INSUMOS'!C773</f>
        <v>Día</v>
      </c>
      <c r="F183" s="108">
        <v>1</v>
      </c>
      <c r="G183" s="108">
        <f>'LISTA DE INSUMOS'!E773</f>
        <v>38341.394708759995</v>
      </c>
      <c r="H183" s="108">
        <f>1/4</f>
        <v>0.25</v>
      </c>
      <c r="I183" s="108">
        <f>ROUND((F183*G183*H183),0)</f>
        <v>9585</v>
      </c>
      <c r="J183" s="313"/>
      <c r="K183" s="323"/>
    </row>
    <row r="184" spans="2:12" s="317" customFormat="1" ht="27" customHeight="1" x14ac:dyDescent="0.2">
      <c r="B184" s="658"/>
      <c r="C184" s="108" t="s">
        <v>3145</v>
      </c>
      <c r="D184" s="436" t="s">
        <v>3150</v>
      </c>
      <c r="E184" s="108" t="s">
        <v>1074</v>
      </c>
      <c r="F184" s="108">
        <v>4</v>
      </c>
      <c r="G184" s="108">
        <f>+'LISTA DE INSUMOS'!E820</f>
        <v>20757.962193407995</v>
      </c>
      <c r="H184" s="108">
        <f>1/5</f>
        <v>0.2</v>
      </c>
      <c r="I184" s="108">
        <f>ROUND((F184*G184*H184),0)</f>
        <v>16606</v>
      </c>
      <c r="J184" s="313"/>
      <c r="K184" s="323"/>
    </row>
    <row r="185" spans="2:12" s="317" customFormat="1" ht="16.5" customHeight="1" thickBot="1" x14ac:dyDescent="0.25">
      <c r="B185" s="694"/>
      <c r="C185" s="108" t="str">
        <f>+'LISTA DE INSUMOS'!A774</f>
        <v>EQU017</v>
      </c>
      <c r="D185" s="436" t="str">
        <f>+'LISTA DE INSUMOS'!B774</f>
        <v>Entibado (% mano obra)</v>
      </c>
      <c r="E185" s="108" t="str">
        <f>+'LISTA DE INSUMOS'!C774</f>
        <v>%MO</v>
      </c>
      <c r="F185" s="108">
        <v>0.08</v>
      </c>
      <c r="G185" s="108">
        <f>I180</f>
        <v>81861</v>
      </c>
      <c r="H185" s="108">
        <v>0</v>
      </c>
      <c r="I185" s="108">
        <f>ROUND((F185*G185),0)</f>
        <v>6549</v>
      </c>
      <c r="J185" s="313"/>
      <c r="K185" s="323"/>
    </row>
    <row r="186" spans="2:12" s="317" customFormat="1" ht="27.75" customHeight="1" thickBot="1" x14ac:dyDescent="0.25">
      <c r="B186" s="117" t="s">
        <v>1634</v>
      </c>
      <c r="C186" s="117"/>
      <c r="D186" s="494" t="s">
        <v>2539</v>
      </c>
      <c r="E186" s="117" t="s">
        <v>2586</v>
      </c>
      <c r="F186" s="117"/>
      <c r="G186" s="117">
        <f>+SUM(I187:I190)</f>
        <v>181837</v>
      </c>
      <c r="H186" s="117"/>
      <c r="I186" s="117"/>
      <c r="J186" s="313"/>
      <c r="K186" s="323"/>
    </row>
    <row r="187" spans="2:12" s="317" customFormat="1" ht="20.25" customHeight="1" thickTop="1" x14ac:dyDescent="0.2">
      <c r="B187" s="755" t="s">
        <v>1034</v>
      </c>
      <c r="C187" s="108" t="str">
        <f>+'LISTA DE INSUMOS'!A14</f>
        <v>MOB011</v>
      </c>
      <c r="D187" s="436" t="str">
        <f>+'LISTA DE INSUMOS'!B14</f>
        <v>Acarreo Horizontal (% mano obra)</v>
      </c>
      <c r="E187" s="108" t="str">
        <f>+'LISTA DE INSUMOS'!C14</f>
        <v>% MO</v>
      </c>
      <c r="F187" s="108">
        <v>0.05</v>
      </c>
      <c r="G187" s="108">
        <f>+I188</f>
        <v>109148</v>
      </c>
      <c r="H187" s="108">
        <v>0</v>
      </c>
      <c r="I187" s="108">
        <f>ROUND((F187*G187),0)</f>
        <v>5457</v>
      </c>
      <c r="J187" s="313"/>
      <c r="K187" s="323"/>
    </row>
    <row r="188" spans="2:12" s="317" customFormat="1" ht="18.75" customHeight="1" thickBot="1" x14ac:dyDescent="0.25">
      <c r="B188" s="754"/>
      <c r="C188" s="108" t="str">
        <f>+'LISTA DE INSUMOS'!A21</f>
        <v>MOB018</v>
      </c>
      <c r="D188" s="436" t="str">
        <f>+'LISTA DE INSUMOS'!B21</f>
        <v>Cuadrilla H 4 Ay (jornal + prestaciones)</v>
      </c>
      <c r="E188" s="108" t="str">
        <f>+'LISTA DE INSUMOS'!C21</f>
        <v>Día</v>
      </c>
      <c r="F188" s="108">
        <v>1</v>
      </c>
      <c r="G188" s="108">
        <f>+'LISTA DE INSUMOS'!E21</f>
        <v>327444</v>
      </c>
      <c r="H188" s="108">
        <f>1/3</f>
        <v>0.33333333333333331</v>
      </c>
      <c r="I188" s="108">
        <f>ROUND((F188*G188*H188),0)</f>
        <v>109148</v>
      </c>
      <c r="J188" s="313"/>
      <c r="K188" s="323"/>
      <c r="L188" s="333"/>
    </row>
    <row r="189" spans="2:12" s="317" customFormat="1" ht="24.75" customHeight="1" thickTop="1" x14ac:dyDescent="0.2">
      <c r="B189" s="654" t="s">
        <v>1033</v>
      </c>
      <c r="C189" s="108" t="str">
        <f>+'LISTA DE INSUMOS'!A815</f>
        <v>EQU060</v>
      </c>
      <c r="D189" s="436" t="str">
        <f>+'LISTA DE INSUMOS'!B815</f>
        <v xml:space="preserve">Martillo electrico rotopercutor demolicion </v>
      </c>
      <c r="E189" s="108" t="str">
        <f>+'LISTA DE INSUMOS'!C815</f>
        <v>Día</v>
      </c>
      <c r="F189" s="108">
        <v>1</v>
      </c>
      <c r="G189" s="108">
        <f>+'LISTA DE INSUMOS'!E815</f>
        <v>140791.44622399998</v>
      </c>
      <c r="H189" s="108">
        <f>1/2.5</f>
        <v>0.4</v>
      </c>
      <c r="I189" s="108">
        <f>ROUND((F189*G189*H189),0)</f>
        <v>56317</v>
      </c>
      <c r="J189" s="313"/>
      <c r="K189" s="323"/>
    </row>
    <row r="190" spans="2:12" s="317" customFormat="1" ht="20.25" customHeight="1" x14ac:dyDescent="0.2">
      <c r="B190" s="654"/>
      <c r="C190" s="108" t="str">
        <f>+'LISTA DE INSUMOS'!A758</f>
        <v>EQU002</v>
      </c>
      <c r="D190" s="436" t="str">
        <f>+'LISTA DE INSUMOS'!B758</f>
        <v>Herramienta menor (% mano obra)</v>
      </c>
      <c r="E190" s="108" t="str">
        <f>+'LISTA DE INSUMOS'!C758</f>
        <v>%MO</v>
      </c>
      <c r="F190" s="108">
        <v>0.1</v>
      </c>
      <c r="G190" s="108">
        <f>+I188</f>
        <v>109148</v>
      </c>
      <c r="H190" s="108">
        <v>0</v>
      </c>
      <c r="I190" s="108">
        <f>ROUND((F190*G190),0)</f>
        <v>10915</v>
      </c>
      <c r="J190" s="313"/>
      <c r="K190" s="323"/>
    </row>
    <row r="191" spans="2:12" s="317" customFormat="1" ht="41.25" customHeight="1" thickBot="1" x14ac:dyDescent="0.25">
      <c r="B191" s="117" t="s">
        <v>1639</v>
      </c>
      <c r="C191" s="117"/>
      <c r="D191" s="494" t="s">
        <v>414</v>
      </c>
      <c r="E191" s="117" t="s">
        <v>2586</v>
      </c>
      <c r="F191" s="117"/>
      <c r="G191" s="117">
        <f>ROUND(SUM(I191:I196),0)</f>
        <v>43562</v>
      </c>
      <c r="H191" s="117"/>
      <c r="I191" s="117"/>
      <c r="J191" s="313"/>
      <c r="K191" s="323"/>
    </row>
    <row r="192" spans="2:12" s="317" customFormat="1" ht="23.25" customHeight="1" thickTop="1" x14ac:dyDescent="0.2">
      <c r="B192" s="755" t="s">
        <v>1034</v>
      </c>
      <c r="C192" s="108" t="str">
        <f>+'LISTA DE INSUMOS'!A9</f>
        <v>MOB006</v>
      </c>
      <c r="D192" s="436" t="str">
        <f>+'LISTA DE INSUMOS'!B9</f>
        <v>Cuadrilla A 1 Of + 4 Ay (jornal + prestaciones)</v>
      </c>
      <c r="E192" s="108" t="str">
        <f>+'LISTA DE INSUMOS'!C9</f>
        <v>Día</v>
      </c>
      <c r="F192" s="108">
        <v>1</v>
      </c>
      <c r="G192" s="108">
        <f>+'LISTA DE INSUMOS'!E9</f>
        <v>491167</v>
      </c>
      <c r="H192" s="108">
        <f>1/16</f>
        <v>6.25E-2</v>
      </c>
      <c r="I192" s="108">
        <f>ROUND((F192*G192*H192),0)</f>
        <v>30698</v>
      </c>
      <c r="J192" s="313"/>
      <c r="K192" s="323"/>
    </row>
    <row r="193" spans="2:13" s="317" customFormat="1" ht="21.75" customHeight="1" thickBot="1" x14ac:dyDescent="0.25">
      <c r="B193" s="754"/>
      <c r="C193" s="108" t="str">
        <f>+'LISTA DE INSUMOS'!A14</f>
        <v>MOB011</v>
      </c>
      <c r="D193" s="436" t="str">
        <f>+'LISTA DE INSUMOS'!B14</f>
        <v>Acarreo Horizontal (% mano obra)</v>
      </c>
      <c r="E193" s="108" t="str">
        <f>+'LISTA DE INSUMOS'!C14</f>
        <v>% MO</v>
      </c>
      <c r="F193" s="108">
        <v>0.05</v>
      </c>
      <c r="G193" s="108">
        <f>I192</f>
        <v>30698</v>
      </c>
      <c r="H193" s="108">
        <v>0</v>
      </c>
      <c r="I193" s="108">
        <f>ROUND((F193*G193),0)</f>
        <v>1535</v>
      </c>
      <c r="J193" s="313"/>
      <c r="K193" s="323"/>
    </row>
    <row r="194" spans="2:13" s="317" customFormat="1" ht="23.25" customHeight="1" thickTop="1" x14ac:dyDescent="0.2">
      <c r="B194" s="693" t="s">
        <v>1033</v>
      </c>
      <c r="C194" s="108" t="str">
        <f>+'LISTA DE INSUMOS'!A758</f>
        <v>EQU002</v>
      </c>
      <c r="D194" s="436" t="str">
        <f>+'LISTA DE INSUMOS'!B758</f>
        <v>Herramienta menor (% mano obra)</v>
      </c>
      <c r="E194" s="108" t="str">
        <f>+'LISTA DE INSUMOS'!C758</f>
        <v>%MO</v>
      </c>
      <c r="F194" s="108">
        <v>0.1</v>
      </c>
      <c r="G194" s="108">
        <f>I192</f>
        <v>30698</v>
      </c>
      <c r="H194" s="108">
        <v>0</v>
      </c>
      <c r="I194" s="108">
        <f>ROUND((F194*G194),0)</f>
        <v>3070</v>
      </c>
      <c r="J194" s="313"/>
      <c r="K194" s="323"/>
    </row>
    <row r="195" spans="2:13" s="317" customFormat="1" ht="23.25" customHeight="1" x14ac:dyDescent="0.2">
      <c r="B195" s="658"/>
      <c r="C195" s="108" t="s">
        <v>3145</v>
      </c>
      <c r="D195" s="436" t="s">
        <v>3150</v>
      </c>
      <c r="E195" s="108" t="s">
        <v>1074</v>
      </c>
      <c r="F195" s="108">
        <v>4</v>
      </c>
      <c r="G195" s="108">
        <f>+'LISTA DE INSUMOS'!E820</f>
        <v>20757.962193407995</v>
      </c>
      <c r="H195" s="108">
        <f>1/16</f>
        <v>6.25E-2</v>
      </c>
      <c r="I195" s="108">
        <f>ROUND((F195*G195*H195),0)</f>
        <v>5189</v>
      </c>
      <c r="J195" s="313"/>
      <c r="K195" s="323"/>
    </row>
    <row r="196" spans="2:13" s="317" customFormat="1" ht="20.25" customHeight="1" thickBot="1" x14ac:dyDescent="0.25">
      <c r="B196" s="694"/>
      <c r="C196" s="108" t="str">
        <f>+'LISTA DE INSUMOS'!A757</f>
        <v>EQU001</v>
      </c>
      <c r="D196" s="436" t="str">
        <f>+'LISTA DE INSUMOS'!B757</f>
        <v>Control de agua</v>
      </c>
      <c r="E196" s="108" t="str">
        <f>+'LISTA DE INSUMOS'!C757</f>
        <v>%MO</v>
      </c>
      <c r="F196" s="108">
        <v>0.1</v>
      </c>
      <c r="G196" s="108">
        <f>I192</f>
        <v>30698</v>
      </c>
      <c r="H196" s="108">
        <v>0</v>
      </c>
      <c r="I196" s="108">
        <f>ROUND((F196*G196),0)</f>
        <v>3070</v>
      </c>
      <c r="J196" s="313"/>
      <c r="K196" s="323"/>
    </row>
    <row r="197" spans="2:13" s="317" customFormat="1" ht="24.75" customHeight="1" thickBot="1" x14ac:dyDescent="0.25">
      <c r="B197" s="117" t="s">
        <v>1648</v>
      </c>
      <c r="C197" s="117"/>
      <c r="D197" s="494" t="s">
        <v>1322</v>
      </c>
      <c r="E197" s="117" t="s">
        <v>2586</v>
      </c>
      <c r="F197" s="117"/>
      <c r="G197" s="117">
        <f>ROUND(SUM(I197:I202),0)</f>
        <v>51538</v>
      </c>
      <c r="H197" s="117"/>
      <c r="I197" s="117"/>
      <c r="J197" s="117"/>
      <c r="K197" s="117"/>
      <c r="L197" s="117"/>
      <c r="M197" s="117"/>
    </row>
    <row r="198" spans="2:13" s="317" customFormat="1" ht="21.75" customHeight="1" thickTop="1" x14ac:dyDescent="0.2">
      <c r="B198" s="755" t="s">
        <v>1034</v>
      </c>
      <c r="C198" s="108" t="str">
        <f>+'LISTA DE INSUMOS'!A9</f>
        <v>MOB006</v>
      </c>
      <c r="D198" s="436" t="str">
        <f>+'LISTA DE INSUMOS'!B9</f>
        <v>Cuadrilla A 1 Of + 4 Ay (jornal + prestaciones)</v>
      </c>
      <c r="E198" s="108" t="str">
        <f>+'LISTA DE INSUMOS'!C9</f>
        <v>Día</v>
      </c>
      <c r="F198" s="108">
        <v>1</v>
      </c>
      <c r="G198" s="108">
        <f>+'LISTA DE INSUMOS'!E9</f>
        <v>491167</v>
      </c>
      <c r="H198" s="108">
        <f>1/14</f>
        <v>7.1428571428571425E-2</v>
      </c>
      <c r="I198" s="108">
        <f>ROUND((F198*G198*H198),0)</f>
        <v>35083</v>
      </c>
      <c r="J198" s="313"/>
      <c r="K198" s="323"/>
    </row>
    <row r="199" spans="2:13" s="317" customFormat="1" ht="20.25" customHeight="1" thickBot="1" x14ac:dyDescent="0.25">
      <c r="B199" s="754"/>
      <c r="C199" s="108" t="str">
        <f>+'LISTA DE INSUMOS'!A14</f>
        <v>MOB011</v>
      </c>
      <c r="D199" s="436" t="str">
        <f>+'LISTA DE INSUMOS'!B14</f>
        <v>Acarreo Horizontal (% mano obra)</v>
      </c>
      <c r="E199" s="108" t="str">
        <f>+'LISTA DE INSUMOS'!C14</f>
        <v>% MO</v>
      </c>
      <c r="F199" s="108">
        <v>0.1</v>
      </c>
      <c r="G199" s="108">
        <f>I198</f>
        <v>35083</v>
      </c>
      <c r="H199" s="108">
        <v>0</v>
      </c>
      <c r="I199" s="108">
        <f>ROUND((F199*G199),0)</f>
        <v>3508</v>
      </c>
      <c r="J199" s="313"/>
      <c r="K199" s="323"/>
    </row>
    <row r="200" spans="2:13" s="317" customFormat="1" ht="23.25" customHeight="1" thickTop="1" x14ac:dyDescent="0.2">
      <c r="B200" s="693" t="s">
        <v>1033</v>
      </c>
      <c r="C200" s="108" t="str">
        <f>+'LISTA DE INSUMOS'!A758</f>
        <v>EQU002</v>
      </c>
      <c r="D200" s="436" t="str">
        <f>+'LISTA DE INSUMOS'!B758</f>
        <v>Herramienta menor (% mano obra)</v>
      </c>
      <c r="E200" s="108" t="str">
        <f>+'LISTA DE INSUMOS'!C758</f>
        <v>%MO</v>
      </c>
      <c r="F200" s="108">
        <v>0.1</v>
      </c>
      <c r="G200" s="108">
        <f>I198</f>
        <v>35083</v>
      </c>
      <c r="H200" s="108">
        <v>0</v>
      </c>
      <c r="I200" s="108">
        <f>ROUND((F200*G200),0)</f>
        <v>3508</v>
      </c>
      <c r="J200" s="313"/>
      <c r="K200" s="323"/>
    </row>
    <row r="201" spans="2:13" s="317" customFormat="1" ht="23.25" customHeight="1" x14ac:dyDescent="0.2">
      <c r="B201" s="658"/>
      <c r="C201" s="108" t="s">
        <v>3145</v>
      </c>
      <c r="D201" s="436" t="s">
        <v>3150</v>
      </c>
      <c r="E201" s="108" t="s">
        <v>1074</v>
      </c>
      <c r="F201" s="108">
        <v>4</v>
      </c>
      <c r="G201" s="108">
        <f>+'LISTA DE INSUMOS'!$E$820</f>
        <v>20757.962193407995</v>
      </c>
      <c r="H201" s="108">
        <f>1/14</f>
        <v>7.1428571428571425E-2</v>
      </c>
      <c r="I201" s="108">
        <f>ROUND((F201*G201*H201),0)</f>
        <v>5931</v>
      </c>
      <c r="J201" s="313"/>
      <c r="K201" s="323"/>
    </row>
    <row r="202" spans="2:13" s="317" customFormat="1" ht="21" customHeight="1" thickBot="1" x14ac:dyDescent="0.25">
      <c r="B202" s="694"/>
      <c r="C202" s="108" t="str">
        <f>+'LISTA DE INSUMOS'!A757</f>
        <v>EQU001</v>
      </c>
      <c r="D202" s="436" t="str">
        <f>+'LISTA DE INSUMOS'!B757</f>
        <v>Control de agua</v>
      </c>
      <c r="E202" s="108" t="str">
        <f>+'LISTA DE INSUMOS'!C757</f>
        <v>%MO</v>
      </c>
      <c r="F202" s="108">
        <v>0.1</v>
      </c>
      <c r="G202" s="108">
        <f>I198</f>
        <v>35083</v>
      </c>
      <c r="H202" s="108">
        <v>0</v>
      </c>
      <c r="I202" s="108">
        <f>ROUND((F202*G202),0)</f>
        <v>3508</v>
      </c>
      <c r="J202" s="313"/>
      <c r="K202" s="323"/>
    </row>
    <row r="203" spans="2:13" s="317" customFormat="1" ht="32.25" customHeight="1" thickBot="1" x14ac:dyDescent="0.25">
      <c r="B203" s="117" t="s">
        <v>1646</v>
      </c>
      <c r="C203" s="117"/>
      <c r="D203" s="494" t="s">
        <v>1321</v>
      </c>
      <c r="E203" s="117" t="s">
        <v>2586</v>
      </c>
      <c r="F203" s="117"/>
      <c r="G203" s="117">
        <f>ROUND(SUM(I203:I209),0)</f>
        <v>194623</v>
      </c>
      <c r="H203" s="117"/>
      <c r="I203" s="117"/>
      <c r="J203" s="313"/>
      <c r="K203" s="323"/>
    </row>
    <row r="204" spans="2:13" s="317" customFormat="1" ht="21.75" customHeight="1" thickTop="1" x14ac:dyDescent="0.2">
      <c r="B204" s="755" t="s">
        <v>1034</v>
      </c>
      <c r="C204" s="108" t="str">
        <f>+'LISTA DE INSUMOS'!A21</f>
        <v>MOB018</v>
      </c>
      <c r="D204" s="436" t="str">
        <f>+'LISTA DE INSUMOS'!B21</f>
        <v>Cuadrilla H 4 Ay (jornal + prestaciones)</v>
      </c>
      <c r="E204" s="108" t="str">
        <f>+'LISTA DE INSUMOS'!C21</f>
        <v>Día</v>
      </c>
      <c r="F204" s="108">
        <v>1</v>
      </c>
      <c r="G204" s="108">
        <f>'LISTA DE INSUMOS'!E21</f>
        <v>327444</v>
      </c>
      <c r="H204" s="108">
        <f>1/3.5</f>
        <v>0.2857142857142857</v>
      </c>
      <c r="I204" s="108">
        <f>ROUND((F204*G204*H204),0)</f>
        <v>93555</v>
      </c>
      <c r="J204" s="313"/>
      <c r="K204" s="323"/>
    </row>
    <row r="205" spans="2:13" s="317" customFormat="1" ht="18" customHeight="1" thickBot="1" x14ac:dyDescent="0.25">
      <c r="B205" s="754"/>
      <c r="C205" s="108" t="str">
        <f>+'LISTA DE INSUMOS'!A14</f>
        <v>MOB011</v>
      </c>
      <c r="D205" s="436" t="str">
        <f>+'LISTA DE INSUMOS'!B14</f>
        <v>Acarreo Horizontal (% mano obra)</v>
      </c>
      <c r="E205" s="108" t="str">
        <f>+'LISTA DE INSUMOS'!C14</f>
        <v>% MO</v>
      </c>
      <c r="F205" s="108">
        <v>0.1</v>
      </c>
      <c r="G205" s="108">
        <f>I204</f>
        <v>93555</v>
      </c>
      <c r="H205" s="108">
        <v>0</v>
      </c>
      <c r="I205" s="108">
        <f>ROUND((F205*G205),0)</f>
        <v>9356</v>
      </c>
      <c r="J205" s="313"/>
      <c r="K205" s="323"/>
    </row>
    <row r="206" spans="2:13" s="317" customFormat="1" ht="25.5" customHeight="1" thickTop="1" x14ac:dyDescent="0.2">
      <c r="B206" s="693" t="s">
        <v>1033</v>
      </c>
      <c r="C206" s="108" t="str">
        <f>+'LISTA DE INSUMOS'!A758</f>
        <v>EQU002</v>
      </c>
      <c r="D206" s="436" t="str">
        <f>+'LISTA DE INSUMOS'!B758</f>
        <v>Herramienta menor (% mano obra)</v>
      </c>
      <c r="E206" s="108" t="str">
        <f>+'LISTA DE INSUMOS'!C758</f>
        <v>%MO</v>
      </c>
      <c r="F206" s="108">
        <v>0.1</v>
      </c>
      <c r="G206" s="108">
        <f>I204</f>
        <v>93555</v>
      </c>
      <c r="H206" s="108">
        <v>0</v>
      </c>
      <c r="I206" s="108">
        <f>ROUND((F206*G206),0)</f>
        <v>9356</v>
      </c>
      <c r="J206" s="313"/>
      <c r="K206" s="323"/>
    </row>
    <row r="207" spans="2:13" s="317" customFormat="1" ht="25.5" customHeight="1" x14ac:dyDescent="0.2">
      <c r="B207" s="658"/>
      <c r="C207" s="108" t="s">
        <v>2537</v>
      </c>
      <c r="D207" s="436" t="s">
        <v>2538</v>
      </c>
      <c r="E207" s="108" t="s">
        <v>2065</v>
      </c>
      <c r="F207" s="108">
        <v>1</v>
      </c>
      <c r="G207" s="108">
        <f>+'LISTA DE INSUMOS'!E815</f>
        <v>140791.44622399998</v>
      </c>
      <c r="H207" s="108">
        <v>0.35</v>
      </c>
      <c r="I207" s="108">
        <f>ROUND((F207*G207*H207),0)</f>
        <v>49277</v>
      </c>
      <c r="J207" s="313"/>
      <c r="K207" s="323"/>
    </row>
    <row r="208" spans="2:13" s="317" customFormat="1" ht="26.25" customHeight="1" x14ac:dyDescent="0.2">
      <c r="B208" s="658"/>
      <c r="C208" s="108" t="s">
        <v>3145</v>
      </c>
      <c r="D208" s="436" t="s">
        <v>3150</v>
      </c>
      <c r="E208" s="108" t="s">
        <v>1074</v>
      </c>
      <c r="F208" s="108">
        <v>4</v>
      </c>
      <c r="G208" s="108">
        <f>+'LISTA DE INSUMOS'!$E$820</f>
        <v>20757.962193407995</v>
      </c>
      <c r="H208" s="108">
        <f>1/3.5</f>
        <v>0.2857142857142857</v>
      </c>
      <c r="I208" s="108">
        <f>ROUND((F208*G208*H208),0)</f>
        <v>23723</v>
      </c>
      <c r="J208" s="313"/>
      <c r="K208" s="323"/>
    </row>
    <row r="209" spans="2:11" s="317" customFormat="1" ht="24.75" customHeight="1" thickBot="1" x14ac:dyDescent="0.25">
      <c r="B209" s="694"/>
      <c r="C209" s="108" t="str">
        <f>+'LISTA DE INSUMOS'!A757</f>
        <v>EQU001</v>
      </c>
      <c r="D209" s="436" t="str">
        <f>+'LISTA DE INSUMOS'!B757</f>
        <v>Control de agua</v>
      </c>
      <c r="E209" s="108" t="str">
        <f>+'LISTA DE INSUMOS'!C757</f>
        <v>%MO</v>
      </c>
      <c r="F209" s="108">
        <v>0.1</v>
      </c>
      <c r="G209" s="108">
        <f>I204</f>
        <v>93555</v>
      </c>
      <c r="H209" s="108">
        <v>0</v>
      </c>
      <c r="I209" s="108">
        <f>ROUND((F209*G209),0)</f>
        <v>9356</v>
      </c>
      <c r="J209" s="313"/>
      <c r="K209" s="323"/>
    </row>
    <row r="210" spans="2:11" ht="24.9" customHeight="1" thickBot="1" x14ac:dyDescent="0.25">
      <c r="B210" s="117" t="s">
        <v>1647</v>
      </c>
      <c r="C210" s="117"/>
      <c r="D210" s="112" t="s">
        <v>415</v>
      </c>
      <c r="E210" s="117" t="s">
        <v>2586</v>
      </c>
      <c r="F210" s="118"/>
      <c r="G210" s="119">
        <f>ROUND(SUM(I210:I213),0)</f>
        <v>7109</v>
      </c>
      <c r="H210" s="120"/>
      <c r="I210" s="119"/>
      <c r="J210" s="47"/>
      <c r="K210" s="143"/>
    </row>
    <row r="211" spans="2:11" ht="30" customHeight="1" thickTop="1" thickBot="1" x14ac:dyDescent="0.25">
      <c r="B211" s="165" t="s">
        <v>1310</v>
      </c>
      <c r="C211" s="166" t="str">
        <f>+B417</f>
        <v>ITE068</v>
      </c>
      <c r="D211" s="167" t="str">
        <f>+D417</f>
        <v>Transporte maquinaría pesada</v>
      </c>
      <c r="E211" s="108" t="str">
        <f>+E417</f>
        <v>Km</v>
      </c>
      <c r="F211" s="160">
        <v>60</v>
      </c>
      <c r="G211" s="141">
        <f>G417</f>
        <v>26702</v>
      </c>
      <c r="H211" s="142">
        <f>1/350</f>
        <v>2.8571428571428571E-3</v>
      </c>
      <c r="I211" s="141">
        <f>ROUND((F211*G211*H211),0)</f>
        <v>4577</v>
      </c>
      <c r="J211" s="47"/>
      <c r="K211" s="143"/>
    </row>
    <row r="212" spans="2:11" ht="24.9" customHeight="1" thickTop="1" thickBot="1" x14ac:dyDescent="0.25">
      <c r="B212" s="158" t="s">
        <v>1034</v>
      </c>
      <c r="C212" s="108" t="str">
        <f>+'LISTA DE INSUMOS'!A7</f>
        <v>MOB004</v>
      </c>
      <c r="D212" s="139" t="str">
        <f>+'LISTA DE INSUMOS'!B7</f>
        <v>Ayudante (jornal + prestaciones)</v>
      </c>
      <c r="E212" s="108" t="str">
        <f>+'LISTA DE INSUMOS'!C7</f>
        <v>Dia</v>
      </c>
      <c r="F212" s="140">
        <v>1</v>
      </c>
      <c r="G212" s="141">
        <f>+'LISTA DE INSUMOS'!E7</f>
        <v>81861</v>
      </c>
      <c r="H212" s="168">
        <f>1/600</f>
        <v>1.6666666666666668E-3</v>
      </c>
      <c r="I212" s="141">
        <f>ROUND((F212*G212*H212),0)</f>
        <v>136</v>
      </c>
      <c r="J212" s="47"/>
      <c r="K212" s="143"/>
    </row>
    <row r="213" spans="2:11" ht="24.9" customHeight="1" thickTop="1" thickBot="1" x14ac:dyDescent="0.25">
      <c r="B213" s="150" t="s">
        <v>1033</v>
      </c>
      <c r="C213" s="151" t="str">
        <f>+'LISTA DE INSUMOS'!A760</f>
        <v>EQU004</v>
      </c>
      <c r="D213" s="146" t="str">
        <f>+'LISTA DE INSUMOS'!B760</f>
        <v>Buldózer D65-8</v>
      </c>
      <c r="E213" s="145" t="str">
        <f>+'LISTA DE INSUMOS'!C760</f>
        <v>Hr</v>
      </c>
      <c r="F213" s="147">
        <v>1</v>
      </c>
      <c r="G213" s="148">
        <f>'LISTA DE INSUMOS'!E760</f>
        <v>191706.97354379998</v>
      </c>
      <c r="H213" s="154">
        <f>1/80</f>
        <v>1.2500000000000001E-2</v>
      </c>
      <c r="I213" s="148">
        <f>ROUND((F213*G213*H213),0)</f>
        <v>2396</v>
      </c>
      <c r="J213" s="47"/>
      <c r="K213" s="143"/>
    </row>
    <row r="214" spans="2:11" ht="24.9" customHeight="1" thickBot="1" x14ac:dyDescent="0.25">
      <c r="B214" s="117" t="s">
        <v>1631</v>
      </c>
      <c r="C214" s="117"/>
      <c r="D214" s="112" t="s">
        <v>1544</v>
      </c>
      <c r="E214" s="117" t="s">
        <v>2586</v>
      </c>
      <c r="F214" s="118"/>
      <c r="G214" s="119">
        <f>ROUND(SUM(I214:I217),0)</f>
        <v>13863</v>
      </c>
      <c r="H214" s="120"/>
      <c r="I214" s="119"/>
      <c r="J214" s="47"/>
      <c r="K214" s="143"/>
    </row>
    <row r="215" spans="2:11" ht="24.9" customHeight="1" thickTop="1" thickBot="1" x14ac:dyDescent="0.25">
      <c r="B215" s="165" t="s">
        <v>1310</v>
      </c>
      <c r="C215" s="166" t="str">
        <f>+B417</f>
        <v>ITE068</v>
      </c>
      <c r="D215" s="167" t="str">
        <f>+D417</f>
        <v>Transporte maquinaría pesada</v>
      </c>
      <c r="E215" s="108" t="str">
        <f>+E417</f>
        <v>Km</v>
      </c>
      <c r="F215" s="160">
        <v>60</v>
      </c>
      <c r="G215" s="141">
        <f>G417</f>
        <v>26702</v>
      </c>
      <c r="H215" s="168">
        <f>1/400</f>
        <v>2.5000000000000001E-3</v>
      </c>
      <c r="I215" s="141">
        <f>ROUND((F215*G215*H215),0)</f>
        <v>4005</v>
      </c>
      <c r="J215" s="47"/>
      <c r="K215" s="143"/>
    </row>
    <row r="216" spans="2:11" ht="24.9" customHeight="1" thickTop="1" thickBot="1" x14ac:dyDescent="0.25">
      <c r="B216" s="158" t="s">
        <v>1034</v>
      </c>
      <c r="C216" s="108" t="str">
        <f>+'LISTA DE INSUMOS'!A7</f>
        <v>MOB004</v>
      </c>
      <c r="D216" s="139" t="str">
        <f>+'LISTA DE INSUMOS'!B7</f>
        <v>Ayudante (jornal + prestaciones)</v>
      </c>
      <c r="E216" s="108" t="str">
        <f>+'LISTA DE INSUMOS'!C7</f>
        <v>Dia</v>
      </c>
      <c r="F216" s="140">
        <v>1</v>
      </c>
      <c r="G216" s="141">
        <f>+'LISTA DE INSUMOS'!E7</f>
        <v>81861</v>
      </c>
      <c r="H216" s="142">
        <f>1/300</f>
        <v>3.3333333333333335E-3</v>
      </c>
      <c r="I216" s="141">
        <f>ROUND((F216*G216*H216),0)</f>
        <v>273</v>
      </c>
      <c r="J216" s="47"/>
      <c r="K216" s="143"/>
    </row>
    <row r="217" spans="2:11" ht="24.9" customHeight="1" thickTop="1" thickBot="1" x14ac:dyDescent="0.25">
      <c r="B217" s="150" t="s">
        <v>1033</v>
      </c>
      <c r="C217" s="151" t="str">
        <f>+'LISTA DE INSUMOS'!A760</f>
        <v>EQU004</v>
      </c>
      <c r="D217" s="146" t="str">
        <f>+'LISTA DE INSUMOS'!B760</f>
        <v>Buldózer D65-8</v>
      </c>
      <c r="E217" s="145" t="str">
        <f>+'LISTA DE INSUMOS'!C760</f>
        <v>Hr</v>
      </c>
      <c r="F217" s="147">
        <v>1</v>
      </c>
      <c r="G217" s="148">
        <f>'LISTA DE INSUMOS'!E760</f>
        <v>191706.97354379998</v>
      </c>
      <c r="H217" s="145">
        <f>1/20</f>
        <v>0.05</v>
      </c>
      <c r="I217" s="148">
        <f>ROUND((F217*G217*H217),0)</f>
        <v>9585</v>
      </c>
      <c r="J217" s="47"/>
      <c r="K217" s="143"/>
    </row>
    <row r="218" spans="2:11" s="317" customFormat="1" ht="24.9" hidden="1" customHeight="1" x14ac:dyDescent="0.2">
      <c r="B218" s="319" t="s">
        <v>1629</v>
      </c>
      <c r="C218" s="319"/>
      <c r="D218" s="320" t="s">
        <v>416</v>
      </c>
      <c r="E218" s="319" t="s">
        <v>2586</v>
      </c>
      <c r="F218" s="321"/>
      <c r="G218" s="312">
        <f>ROUND(SUM(I218:I226),0)</f>
        <v>89057</v>
      </c>
      <c r="H218" s="326"/>
      <c r="I218" s="312"/>
      <c r="J218" s="313"/>
      <c r="K218" s="323"/>
    </row>
    <row r="219" spans="2:11" s="317" customFormat="1" ht="24.9" hidden="1" customHeight="1" x14ac:dyDescent="0.2">
      <c r="B219" s="691" t="s">
        <v>1035</v>
      </c>
      <c r="C219" s="322" t="str">
        <f>+'LISTA DE INSUMOS'!A58</f>
        <v>MAT026</v>
      </c>
      <c r="D219" s="324" t="str">
        <f>+'LISTA DE INSUMOS'!B58</f>
        <v>Dinamita indugel plus</v>
      </c>
      <c r="E219" s="322" t="str">
        <f>+'LISTA DE INSUMOS'!C58</f>
        <v>Kg</v>
      </c>
      <c r="F219" s="325">
        <v>0.6</v>
      </c>
      <c r="G219" s="312">
        <f>'LISTA DE INSUMOS'!E58</f>
        <v>17276.183208172071</v>
      </c>
      <c r="H219" s="322">
        <v>0</v>
      </c>
      <c r="I219" s="312">
        <f>ROUND((F219*G219),0)</f>
        <v>10366</v>
      </c>
      <c r="J219" s="313"/>
      <c r="K219" s="323"/>
    </row>
    <row r="220" spans="2:11" s="317" customFormat="1" ht="24.9" hidden="1" customHeight="1" x14ac:dyDescent="0.2">
      <c r="B220" s="691"/>
      <c r="C220" s="322" t="str">
        <f>+'LISTA DE INSUMOS'!A59</f>
        <v>MAT027</v>
      </c>
      <c r="D220" s="324" t="str">
        <f>+'LISTA DE INSUMOS'!B59</f>
        <v>Fulminante</v>
      </c>
      <c r="E220" s="322" t="str">
        <f>+'LISTA DE INSUMOS'!C59</f>
        <v>Un</v>
      </c>
      <c r="F220" s="325">
        <v>4</v>
      </c>
      <c r="G220" s="312">
        <f>'LISTA DE INSUMOS'!E59</f>
        <v>376.11789280343123</v>
      </c>
      <c r="H220" s="322">
        <v>0</v>
      </c>
      <c r="I220" s="312">
        <f>ROUND((F220*G220),0)</f>
        <v>1504</v>
      </c>
      <c r="J220" s="313"/>
      <c r="K220" s="323"/>
    </row>
    <row r="221" spans="2:11" s="317" customFormat="1" ht="24.9" hidden="1" customHeight="1" thickBot="1" x14ac:dyDescent="0.25">
      <c r="B221" s="692"/>
      <c r="C221" s="322" t="str">
        <f>+'LISTA DE INSUMOS'!A60</f>
        <v>MAT028</v>
      </c>
      <c r="D221" s="324" t="str">
        <f>+'LISTA DE INSUMOS'!B60</f>
        <v>Cordón detonante de 12 gm</v>
      </c>
      <c r="E221" s="322" t="str">
        <f>+'LISTA DE INSUMOS'!C60</f>
        <v>M</v>
      </c>
      <c r="F221" s="325">
        <v>3</v>
      </c>
      <c r="G221" s="312">
        <f>'LISTA DE INSUMOS'!E60</f>
        <v>2442.5521477701391</v>
      </c>
      <c r="H221" s="322">
        <v>0</v>
      </c>
      <c r="I221" s="312">
        <f>ROUND((F221*G221),0)</f>
        <v>7328</v>
      </c>
      <c r="J221" s="313"/>
      <c r="K221" s="323"/>
    </row>
    <row r="222" spans="2:11" s="317" customFormat="1" ht="24.9" hidden="1" customHeight="1" thickTop="1" thickBot="1" x14ac:dyDescent="0.25">
      <c r="B222" s="334" t="s">
        <v>1310</v>
      </c>
      <c r="C222" s="319" t="str">
        <f>+B417</f>
        <v>ITE068</v>
      </c>
      <c r="D222" s="320" t="str">
        <f>+D417</f>
        <v>Transporte maquinaría pesada</v>
      </c>
      <c r="E222" s="322" t="str">
        <f>+E417</f>
        <v>Km</v>
      </c>
      <c r="F222" s="332">
        <v>60</v>
      </c>
      <c r="G222" s="312">
        <f>G417</f>
        <v>26702</v>
      </c>
      <c r="H222" s="326">
        <f>1/200</f>
        <v>5.0000000000000001E-3</v>
      </c>
      <c r="I222" s="312">
        <f>ROUND((F222*G222*H222),0)</f>
        <v>8011</v>
      </c>
      <c r="J222" s="313"/>
      <c r="K222" s="323"/>
    </row>
    <row r="223" spans="2:11" s="317" customFormat="1" ht="24.9" hidden="1" customHeight="1" thickTop="1" x14ac:dyDescent="0.2">
      <c r="B223" s="714" t="s">
        <v>1034</v>
      </c>
      <c r="C223" s="322" t="str">
        <f>+'LISTA DE INSUMOS'!A10</f>
        <v>MOB007</v>
      </c>
      <c r="D223" s="324" t="str">
        <f>+'LISTA DE INSUMOS'!B10</f>
        <v>Cuadrilla B 1 Min + 2 Ay (jornal + prestaciones)</v>
      </c>
      <c r="E223" s="322" t="str">
        <f>+'LISTA DE INSUMOS'!C10</f>
        <v>Día</v>
      </c>
      <c r="F223" s="325">
        <v>1</v>
      </c>
      <c r="G223" s="312">
        <f>'LISTA DE INSUMOS'!E10</f>
        <v>412454</v>
      </c>
      <c r="H223" s="326">
        <f>1/10</f>
        <v>0.1</v>
      </c>
      <c r="I223" s="312">
        <f>ROUND((F223*G223*H223),0)</f>
        <v>41245</v>
      </c>
      <c r="J223" s="313"/>
      <c r="K223" s="323"/>
    </row>
    <row r="224" spans="2:11" s="317" customFormat="1" ht="24.9" hidden="1" customHeight="1" thickBot="1" x14ac:dyDescent="0.25">
      <c r="B224" s="715"/>
      <c r="C224" s="322" t="str">
        <f>+'LISTA DE INSUMOS'!A7</f>
        <v>MOB004</v>
      </c>
      <c r="D224" s="324" t="str">
        <f>+'LISTA DE INSUMOS'!B7</f>
        <v>Ayudante (jornal + prestaciones)</v>
      </c>
      <c r="E224" s="322" t="str">
        <f>+'LISTA DE INSUMOS'!C7</f>
        <v>Dia</v>
      </c>
      <c r="F224" s="325">
        <v>1</v>
      </c>
      <c r="G224" s="312">
        <f>+'LISTA DE INSUMOS'!E7</f>
        <v>81861</v>
      </c>
      <c r="H224" s="335">
        <f>1/10</f>
        <v>0.1</v>
      </c>
      <c r="I224" s="312">
        <f>ROUND((F224*G224*H224),0)</f>
        <v>8186</v>
      </c>
      <c r="J224" s="313"/>
      <c r="K224" s="323"/>
    </row>
    <row r="225" spans="2:11" s="317" customFormat="1" ht="24.9" hidden="1" customHeight="1" thickTop="1" x14ac:dyDescent="0.2">
      <c r="B225" s="693" t="s">
        <v>1033</v>
      </c>
      <c r="C225" s="322" t="str">
        <f>+'LISTA DE INSUMOS'!A758</f>
        <v>EQU002</v>
      </c>
      <c r="D225" s="324" t="str">
        <f>+'LISTA DE INSUMOS'!B758</f>
        <v>Herramienta menor (% mano obra)</v>
      </c>
      <c r="E225" s="322" t="str">
        <f>+'LISTA DE INSUMOS'!C758</f>
        <v>%MO</v>
      </c>
      <c r="F225" s="325">
        <v>0.15</v>
      </c>
      <c r="G225" s="312">
        <f>I223</f>
        <v>41245</v>
      </c>
      <c r="H225" s="322">
        <v>0</v>
      </c>
      <c r="I225" s="312">
        <f>ROUND((F225*G225),0)</f>
        <v>6187</v>
      </c>
      <c r="J225" s="313"/>
      <c r="K225" s="323"/>
    </row>
    <row r="226" spans="2:11" s="317" customFormat="1" ht="24.9" hidden="1" customHeight="1" thickBot="1" x14ac:dyDescent="0.25">
      <c r="B226" s="694"/>
      <c r="C226" s="329" t="str">
        <f>+'LISTA DE INSUMOS'!A781</f>
        <v>EQU024</v>
      </c>
      <c r="D226" s="328" t="str">
        <f>+'LISTA DE INSUMOS'!B781</f>
        <v>Retroexcavadora de orugas  capacidad 0,9 M3</v>
      </c>
      <c r="E226" s="329" t="str">
        <f>+'LISTA DE INSUMOS'!C781</f>
        <v>Hr</v>
      </c>
      <c r="F226" s="330">
        <v>1</v>
      </c>
      <c r="G226" s="331">
        <f>'LISTA DE INSUMOS'!E781</f>
        <v>186912.78205599997</v>
      </c>
      <c r="H226" s="336">
        <f>1/30</f>
        <v>3.3333333333333333E-2</v>
      </c>
      <c r="I226" s="331">
        <f>ROUND((F226*G226*H226),0)</f>
        <v>6230</v>
      </c>
      <c r="J226" s="313"/>
      <c r="K226" s="323"/>
    </row>
    <row r="227" spans="2:11" s="317" customFormat="1" ht="24.9" customHeight="1" thickBot="1" x14ac:dyDescent="0.25">
      <c r="B227" s="117" t="s">
        <v>3283</v>
      </c>
      <c r="C227" s="117"/>
      <c r="D227" s="112" t="s">
        <v>3309</v>
      </c>
      <c r="E227" s="117" t="s">
        <v>2586</v>
      </c>
      <c r="F227" s="118"/>
      <c r="G227" s="119">
        <f>ROUND(SUM(I227:I230),0)</f>
        <v>17629</v>
      </c>
      <c r="H227" s="120"/>
      <c r="I227" s="119"/>
      <c r="J227" s="313"/>
      <c r="K227" s="323"/>
    </row>
    <row r="228" spans="2:11" s="317" customFormat="1" ht="24.9" customHeight="1" thickTop="1" thickBot="1" x14ac:dyDescent="0.25">
      <c r="B228" s="165" t="s">
        <v>1310</v>
      </c>
      <c r="C228" s="166" t="str">
        <f>+B417</f>
        <v>ITE068</v>
      </c>
      <c r="D228" s="167" t="str">
        <f>+D417</f>
        <v>Transporte maquinaría pesada</v>
      </c>
      <c r="E228" s="108" t="str">
        <f>+E430</f>
        <v>Día</v>
      </c>
      <c r="F228" s="160">
        <v>60</v>
      </c>
      <c r="G228" s="141">
        <f>G417</f>
        <v>26702</v>
      </c>
      <c r="H228" s="168">
        <f>1/400</f>
        <v>2.5000000000000001E-3</v>
      </c>
      <c r="I228" s="141">
        <f>ROUND((F228*G228*H228),0)</f>
        <v>4005</v>
      </c>
      <c r="J228" s="313"/>
      <c r="K228" s="323"/>
    </row>
    <row r="229" spans="2:11" s="317" customFormat="1" ht="24.9" customHeight="1" thickTop="1" thickBot="1" x14ac:dyDescent="0.25">
      <c r="B229" s="158" t="s">
        <v>1034</v>
      </c>
      <c r="C229" s="108" t="str">
        <f>+'LISTA DE INSUMOS'!A7</f>
        <v>MOB004</v>
      </c>
      <c r="D229" s="139" t="str">
        <f>+'LISTA DE INSUMOS'!B7</f>
        <v>Ayudante (jornal + prestaciones)</v>
      </c>
      <c r="E229" s="108" t="str">
        <f>+'LISTA DE INSUMOS'!C20</f>
        <v>Día</v>
      </c>
      <c r="F229" s="140">
        <v>1</v>
      </c>
      <c r="G229" s="141">
        <f>+'LISTA DE INSUMOS'!E7</f>
        <v>81861</v>
      </c>
      <c r="H229" s="142">
        <f>1/300</f>
        <v>3.3333333333333335E-3</v>
      </c>
      <c r="I229" s="141">
        <f>ROUND((F229*G229*H229),0)</f>
        <v>273</v>
      </c>
      <c r="J229" s="313"/>
      <c r="K229" s="323"/>
    </row>
    <row r="230" spans="2:11" s="317" customFormat="1" ht="24.9" customHeight="1" thickTop="1" thickBot="1" x14ac:dyDescent="0.25">
      <c r="B230" s="150" t="s">
        <v>1033</v>
      </c>
      <c r="C230" s="151" t="str">
        <f>+'LISTA DE INSUMOS'!A781</f>
        <v>EQU024</v>
      </c>
      <c r="D230" s="146" t="str">
        <f>+'LISTA DE INSUMOS'!B781</f>
        <v>Retroexcavadora de orugas  capacidad 0,9 M3</v>
      </c>
      <c r="E230" s="145" t="str">
        <f>+'LISTA DE INSUMOS'!C774</f>
        <v>%MO</v>
      </c>
      <c r="F230" s="147">
        <v>1</v>
      </c>
      <c r="G230" s="148">
        <f>'LISTA DE INSUMOS'!E781</f>
        <v>186912.78205599997</v>
      </c>
      <c r="H230" s="145">
        <f>1/14</f>
        <v>7.1428571428571425E-2</v>
      </c>
      <c r="I230" s="148">
        <f>ROUND((F230*G230*H230),0)</f>
        <v>13351</v>
      </c>
      <c r="J230" s="313"/>
      <c r="K230" s="323"/>
    </row>
    <row r="231" spans="2:11" ht="24.9" customHeight="1" x14ac:dyDescent="0.2">
      <c r="B231" s="117" t="s">
        <v>1629</v>
      </c>
      <c r="C231" s="117"/>
      <c r="D231" s="112" t="s">
        <v>1323</v>
      </c>
      <c r="E231" s="117" t="s">
        <v>2586</v>
      </c>
      <c r="F231" s="149"/>
      <c r="G231" s="119">
        <f>ROUND(SUM(I231:I241),0)</f>
        <v>253440</v>
      </c>
      <c r="H231" s="120"/>
      <c r="I231" s="119"/>
      <c r="J231" s="47"/>
      <c r="K231" s="143"/>
    </row>
    <row r="232" spans="2:11" ht="30" customHeight="1" x14ac:dyDescent="0.2">
      <c r="B232" s="672" t="s">
        <v>1035</v>
      </c>
      <c r="C232" s="108" t="str">
        <f>+'LISTA DE INSUMOS'!A30</f>
        <v>MAT001</v>
      </c>
      <c r="D232" s="139" t="str">
        <f>+'LISTA DE INSUMOS'!B30</f>
        <v>Cemento gris saco por 50 kilos, incluye cargue, descargue y transporte</v>
      </c>
      <c r="E232" s="108" t="str">
        <f>+'LISTA DE INSUMOS'!C30</f>
        <v>Sc</v>
      </c>
      <c r="F232" s="140">
        <v>2</v>
      </c>
      <c r="G232" s="141">
        <f>'LISTA DE INSUMOS'!E30</f>
        <v>34500</v>
      </c>
      <c r="H232" s="108">
        <v>1.05</v>
      </c>
      <c r="I232" s="141">
        <f>ROUND((F232*G232*H232),0)</f>
        <v>72450</v>
      </c>
      <c r="J232" s="47"/>
      <c r="K232" s="143"/>
    </row>
    <row r="233" spans="2:11" ht="30" customHeight="1" x14ac:dyDescent="0.2">
      <c r="B233" s="672"/>
      <c r="C233" s="125" t="str">
        <f>+'LISTA DE INSUMOS'!A299</f>
        <v>MAT271</v>
      </c>
      <c r="D233" s="155" t="str">
        <f>+'LISTA DE INSUMOS'!B299</f>
        <v>Afirmado</v>
      </c>
      <c r="E233" s="125" t="str">
        <f>+'LISTA DE INSUMOS'!C299</f>
        <v>M3</v>
      </c>
      <c r="F233" s="159">
        <v>1</v>
      </c>
      <c r="G233" s="170">
        <f>'LISTA DE INSUMOS'!E299</f>
        <v>55402.97659875</v>
      </c>
      <c r="H233" s="108">
        <v>1.25</v>
      </c>
      <c r="I233" s="141">
        <f>ROUND((F233*G233*H233),0)</f>
        <v>69254</v>
      </c>
      <c r="J233" s="47"/>
      <c r="K233" s="143"/>
    </row>
    <row r="234" spans="2:11" ht="30" customHeight="1" thickBot="1" x14ac:dyDescent="0.25">
      <c r="B234" s="673"/>
      <c r="C234" s="108" t="str">
        <f>+'LISTA DE INSUMOS'!A42</f>
        <v>MAT013</v>
      </c>
      <c r="D234" s="139" t="str">
        <f>+'LISTA DE INSUMOS'!B42</f>
        <v xml:space="preserve">Agua </v>
      </c>
      <c r="E234" s="108" t="str">
        <f>+'LISTA DE INSUMOS'!C42</f>
        <v>Lt</v>
      </c>
      <c r="F234" s="140">
        <v>30</v>
      </c>
      <c r="G234" s="141">
        <f>'LISTA DE INSUMOS'!E42</f>
        <v>96.828790046226644</v>
      </c>
      <c r="H234" s="108">
        <v>0</v>
      </c>
      <c r="I234" s="141">
        <f>ROUND((F234*G234),0)</f>
        <v>2905</v>
      </c>
      <c r="J234" s="47"/>
      <c r="K234" s="143"/>
    </row>
    <row r="235" spans="2:11" ht="30" customHeight="1" thickTop="1" thickBot="1" x14ac:dyDescent="0.25">
      <c r="B235" s="169" t="s">
        <v>1310</v>
      </c>
      <c r="C235" s="108" t="str">
        <f>+B336</f>
        <v>ITE056</v>
      </c>
      <c r="D235" s="167" t="str">
        <f>+D336</f>
        <v xml:space="preserve">Transporte material &lt; 40 Km </v>
      </c>
      <c r="E235" s="166" t="str">
        <f>+E336</f>
        <v>M3-Km</v>
      </c>
      <c r="F235" s="140">
        <v>15</v>
      </c>
      <c r="G235" s="141">
        <f>$G$336</f>
        <v>1634</v>
      </c>
      <c r="H235" s="108">
        <v>0</v>
      </c>
      <c r="I235" s="141">
        <f>ROUND((F235*G235),0)</f>
        <v>24510</v>
      </c>
      <c r="J235" s="47"/>
      <c r="K235" s="143"/>
    </row>
    <row r="236" spans="2:11" ht="24.9" customHeight="1" thickTop="1" x14ac:dyDescent="0.2">
      <c r="B236" s="678" t="s">
        <v>1034</v>
      </c>
      <c r="C236" s="108" t="str">
        <f>+'LISTA DE INSUMOS'!A16</f>
        <v>MOB013</v>
      </c>
      <c r="D236" s="139" t="str">
        <f>+'LISTA DE INSUMOS'!B16</f>
        <v>Cuadrilla C 1 Of + 7 Ay (jornal + prestaciones)</v>
      </c>
      <c r="E236" s="108" t="str">
        <f>+'LISTA DE INSUMOS'!C16</f>
        <v>Día</v>
      </c>
      <c r="F236" s="140">
        <v>1</v>
      </c>
      <c r="G236" s="141">
        <f>'LISTA DE INSUMOS'!E16</f>
        <v>736750</v>
      </c>
      <c r="H236" s="108">
        <f>1/12</f>
        <v>8.3333333333333329E-2</v>
      </c>
      <c r="I236" s="141">
        <f>ROUND((F236*G236*H236),0)</f>
        <v>61396</v>
      </c>
      <c r="J236" s="47"/>
      <c r="K236" s="143"/>
    </row>
    <row r="237" spans="2:11" ht="24.9" customHeight="1" thickBot="1" x14ac:dyDescent="0.25">
      <c r="B237" s="705"/>
      <c r="C237" s="108" t="str">
        <f>+'LISTA DE INSUMOS'!A14</f>
        <v>MOB011</v>
      </c>
      <c r="D237" s="139" t="str">
        <f>+'LISTA DE INSUMOS'!B14</f>
        <v>Acarreo Horizontal (% mano obra)</v>
      </c>
      <c r="E237" s="108" t="str">
        <f>+'LISTA DE INSUMOS'!C14</f>
        <v>% MO</v>
      </c>
      <c r="F237" s="140">
        <v>0.1</v>
      </c>
      <c r="G237" s="141">
        <f>I236</f>
        <v>61396</v>
      </c>
      <c r="H237" s="108">
        <v>0</v>
      </c>
      <c r="I237" s="141">
        <f>ROUND((F237*G237),0)</f>
        <v>6140</v>
      </c>
      <c r="J237" s="47"/>
      <c r="K237" s="143"/>
    </row>
    <row r="238" spans="2:11" ht="24.9" customHeight="1" thickTop="1" x14ac:dyDescent="0.2">
      <c r="B238" s="674" t="s">
        <v>1033</v>
      </c>
      <c r="C238" s="108" t="str">
        <f>+'LISTA DE INSUMOS'!A758</f>
        <v>EQU002</v>
      </c>
      <c r="D238" s="139" t="str">
        <f>+'LISTA DE INSUMOS'!B758</f>
        <v>Herramienta menor (% mano obra)</v>
      </c>
      <c r="E238" s="108" t="str">
        <f>+'LISTA DE INSUMOS'!C758</f>
        <v>%MO</v>
      </c>
      <c r="F238" s="140">
        <v>0.1</v>
      </c>
      <c r="G238" s="141">
        <f>I236</f>
        <v>61396</v>
      </c>
      <c r="H238" s="108">
        <v>0</v>
      </c>
      <c r="I238" s="141">
        <f>ROUND((F238*G238),0)</f>
        <v>6140</v>
      </c>
      <c r="J238" s="47"/>
      <c r="K238" s="143"/>
    </row>
    <row r="239" spans="2:11" ht="24.9" customHeight="1" x14ac:dyDescent="0.2">
      <c r="B239" s="679"/>
      <c r="C239" s="108" t="str">
        <f>+'LISTA DE INSUMOS'!A759</f>
        <v>EQU003</v>
      </c>
      <c r="D239" s="139" t="str">
        <f>+'LISTA DE INSUMOS'!B759</f>
        <v>Concretadora gasolina 1 o 1 1/2 sacos</v>
      </c>
      <c r="E239" s="108" t="str">
        <f>+'LISTA DE INSUMOS'!C759</f>
        <v>Día</v>
      </c>
      <c r="F239" s="140">
        <v>1</v>
      </c>
      <c r="G239" s="141">
        <f>'LISTA DE INSUMOS'!E759</f>
        <v>49716.008472358793</v>
      </c>
      <c r="H239" s="108">
        <f>1/15</f>
        <v>6.6666666666666666E-2</v>
      </c>
      <c r="I239" s="141">
        <f>ROUND((F239*G239*H239),0)</f>
        <v>3314</v>
      </c>
      <c r="J239" s="47"/>
      <c r="K239" s="143"/>
    </row>
    <row r="240" spans="2:11" ht="24.9" customHeight="1" thickBot="1" x14ac:dyDescent="0.25">
      <c r="B240" s="675"/>
      <c r="C240" s="108" t="str">
        <f>+'LISTA DE INSUMOS'!A769</f>
        <v>EQU012</v>
      </c>
      <c r="D240" s="139" t="str">
        <f>+'LISTA DE INSUMOS'!B769</f>
        <v xml:space="preserve">Vibrocompactador manual </v>
      </c>
      <c r="E240" s="108" t="str">
        <f>+'LISTA DE INSUMOS'!C769</f>
        <v>Día</v>
      </c>
      <c r="F240" s="160">
        <v>1</v>
      </c>
      <c r="G240" s="141">
        <f>'LISTA DE INSUMOS'!E769</f>
        <v>83697.986602732781</v>
      </c>
      <c r="H240" s="108">
        <f>1/15</f>
        <v>6.6666666666666666E-2</v>
      </c>
      <c r="I240" s="141">
        <f>ROUND((F240*G240*H240),0)</f>
        <v>5580</v>
      </c>
      <c r="J240" s="47"/>
      <c r="K240" s="143"/>
    </row>
    <row r="241" spans="2:11" ht="30" customHeight="1" thickTop="1" thickBot="1" x14ac:dyDescent="0.25">
      <c r="B241" s="171" t="s">
        <v>421</v>
      </c>
      <c r="C241" s="145" t="str">
        <f>+'LISTA DE INSUMOS'!A824</f>
        <v>ESY002</v>
      </c>
      <c r="D241" s="146" t="str">
        <f>+'LISTA DE INSUMOS'!B824</f>
        <v>Toma de densidades</v>
      </c>
      <c r="E241" s="145" t="str">
        <f>+'LISTA DE INSUMOS'!C824</f>
        <v>Un</v>
      </c>
      <c r="F241" s="435">
        <f>1/40</f>
        <v>2.5000000000000001E-2</v>
      </c>
      <c r="G241" s="173">
        <f>'LISTA DE INSUMOS'!E824</f>
        <v>70022.270999999993</v>
      </c>
      <c r="H241" s="174">
        <v>0</v>
      </c>
      <c r="I241" s="148">
        <f>ROUND((F241*G241),0)</f>
        <v>1751</v>
      </c>
      <c r="J241" s="47"/>
      <c r="K241" s="143"/>
    </row>
    <row r="242" spans="2:11" ht="30" customHeight="1" thickTop="1" thickBot="1" x14ac:dyDescent="0.25">
      <c r="B242" s="169" t="s">
        <v>1629</v>
      </c>
      <c r="C242" s="169"/>
      <c r="D242" s="503" t="s">
        <v>3252</v>
      </c>
      <c r="E242" s="169" t="s">
        <v>1432</v>
      </c>
      <c r="F242" s="169"/>
      <c r="G242" s="505">
        <f>SUM(I243:I252)</f>
        <v>207785.5844498243</v>
      </c>
      <c r="H242" s="169"/>
      <c r="I242" s="169"/>
      <c r="J242" s="47"/>
      <c r="K242" s="143"/>
    </row>
    <row r="243" spans="2:11" ht="30" customHeight="1" thickTop="1" x14ac:dyDescent="0.2">
      <c r="B243" s="672" t="s">
        <v>1035</v>
      </c>
      <c r="C243" s="108" t="s">
        <v>2110</v>
      </c>
      <c r="D243" s="139" t="s">
        <v>2111</v>
      </c>
      <c r="E243" s="108" t="s">
        <v>2112</v>
      </c>
      <c r="F243" s="502">
        <v>0.8</v>
      </c>
      <c r="G243" s="510">
        <f>'LISTA DE INSUMOS'!E30</f>
        <v>34500</v>
      </c>
      <c r="H243" s="278">
        <v>1.05</v>
      </c>
      <c r="I243" s="141">
        <f>H243*G243*F243</f>
        <v>28980</v>
      </c>
      <c r="J243" s="47"/>
      <c r="K243" s="143"/>
    </row>
    <row r="244" spans="2:11" ht="30" customHeight="1" x14ac:dyDescent="0.2">
      <c r="B244" s="672"/>
      <c r="C244" s="108" t="s">
        <v>2128</v>
      </c>
      <c r="D244" s="139" t="s">
        <v>2129</v>
      </c>
      <c r="E244" s="108" t="s">
        <v>1432</v>
      </c>
      <c r="F244" s="502">
        <v>1</v>
      </c>
      <c r="G244" s="510">
        <f>'LISTA DE INSUMOS'!E299</f>
        <v>55402.97659875</v>
      </c>
      <c r="H244" s="278">
        <v>1.25</v>
      </c>
      <c r="I244" s="141">
        <f>H244*G244*F244</f>
        <v>69253.720748437496</v>
      </c>
      <c r="J244" s="47"/>
      <c r="K244" s="143"/>
    </row>
    <row r="245" spans="2:11" ht="30" customHeight="1" thickBot="1" x14ac:dyDescent="0.25">
      <c r="B245" s="673"/>
      <c r="C245" s="108" t="s">
        <v>2113</v>
      </c>
      <c r="D245" s="139" t="s">
        <v>1248</v>
      </c>
      <c r="E245" s="108" t="s">
        <v>2114</v>
      </c>
      <c r="F245" s="502">
        <v>30</v>
      </c>
      <c r="G245" s="504">
        <f>+'LISTA DE INSUMOS'!E42</f>
        <v>96.828790046226644</v>
      </c>
      <c r="H245" s="278">
        <v>0</v>
      </c>
      <c r="I245" s="141">
        <f>G245*F245</f>
        <v>2904.8637013867992</v>
      </c>
      <c r="J245" s="47"/>
      <c r="K245" s="143"/>
    </row>
    <row r="246" spans="2:11" ht="30" customHeight="1" thickTop="1" thickBot="1" x14ac:dyDescent="0.25">
      <c r="B246" s="169" t="s">
        <v>1310</v>
      </c>
      <c r="C246" s="108" t="s">
        <v>1943</v>
      </c>
      <c r="D246" s="139" t="s">
        <v>2435</v>
      </c>
      <c r="E246" s="108" t="s">
        <v>3251</v>
      </c>
      <c r="F246" s="502">
        <v>15</v>
      </c>
      <c r="G246" s="141">
        <f>$G$336</f>
        <v>1634</v>
      </c>
      <c r="H246" s="278">
        <v>0</v>
      </c>
      <c r="I246" s="141">
        <f>G246*F246</f>
        <v>24510</v>
      </c>
      <c r="J246" s="47"/>
      <c r="K246" s="143"/>
    </row>
    <row r="247" spans="2:11" ht="30" customHeight="1" thickTop="1" x14ac:dyDescent="0.2">
      <c r="B247" s="678" t="s">
        <v>1034</v>
      </c>
      <c r="C247" s="108" t="s">
        <v>2115</v>
      </c>
      <c r="D247" s="139" t="s">
        <v>2116</v>
      </c>
      <c r="E247" s="108" t="s">
        <v>2065</v>
      </c>
      <c r="F247" s="502">
        <v>1</v>
      </c>
      <c r="G247" s="141">
        <f>'ANÁLISIS MANO DE OBRA'!E36</f>
        <v>736750</v>
      </c>
      <c r="H247" s="278">
        <v>8.3333333333333329E-2</v>
      </c>
      <c r="I247" s="141">
        <f>H247*G247*F247</f>
        <v>61395.833333333328</v>
      </c>
      <c r="J247" s="47"/>
      <c r="K247" s="143"/>
    </row>
    <row r="248" spans="2:11" ht="30" customHeight="1" thickBot="1" x14ac:dyDescent="0.25">
      <c r="B248" s="705"/>
      <c r="C248" s="108" t="s">
        <v>1015</v>
      </c>
      <c r="D248" s="139" t="s">
        <v>2524</v>
      </c>
      <c r="E248" s="108" t="s">
        <v>1016</v>
      </c>
      <c r="F248" s="502">
        <v>0.1</v>
      </c>
      <c r="G248" s="141">
        <f>I247</f>
        <v>61395.833333333328</v>
      </c>
      <c r="H248" s="278">
        <v>0</v>
      </c>
      <c r="I248" s="141">
        <f>G248*F248</f>
        <v>6139.583333333333</v>
      </c>
      <c r="J248" s="47"/>
      <c r="K248" s="143"/>
    </row>
    <row r="249" spans="2:11" ht="30" customHeight="1" thickTop="1" x14ac:dyDescent="0.2">
      <c r="B249" s="674" t="s">
        <v>1033</v>
      </c>
      <c r="C249" s="108" t="s">
        <v>1017</v>
      </c>
      <c r="D249" s="139" t="s">
        <v>1029</v>
      </c>
      <c r="E249" s="108" t="s">
        <v>2066</v>
      </c>
      <c r="F249" s="502">
        <v>0.1</v>
      </c>
      <c r="G249" s="141">
        <f>I247</f>
        <v>61395.833333333328</v>
      </c>
      <c r="H249" s="278">
        <v>0</v>
      </c>
      <c r="I249" s="141">
        <f>G249*F249</f>
        <v>6139.583333333333</v>
      </c>
      <c r="J249" s="47"/>
      <c r="K249" s="143"/>
    </row>
    <row r="250" spans="2:11" ht="30" customHeight="1" x14ac:dyDescent="0.2">
      <c r="B250" s="679"/>
      <c r="C250" s="108" t="s">
        <v>2117</v>
      </c>
      <c r="D250" s="139" t="s">
        <v>1278</v>
      </c>
      <c r="E250" s="108" t="s">
        <v>2065</v>
      </c>
      <c r="F250" s="502">
        <v>1</v>
      </c>
      <c r="G250" s="510">
        <f>'LISTA DE INSUMOS'!E759</f>
        <v>49716.008472358793</v>
      </c>
      <c r="H250" s="278">
        <v>6.6666666666666666E-2</v>
      </c>
      <c r="I250" s="141">
        <v>2731</v>
      </c>
      <c r="J250" s="47"/>
      <c r="K250" s="143"/>
    </row>
    <row r="251" spans="2:11" ht="30" customHeight="1" thickBot="1" x14ac:dyDescent="0.25">
      <c r="B251" s="675"/>
      <c r="C251" s="108" t="s">
        <v>2118</v>
      </c>
      <c r="D251" s="139" t="s">
        <v>1280</v>
      </c>
      <c r="E251" s="108" t="s">
        <v>2065</v>
      </c>
      <c r="F251" s="502">
        <v>1</v>
      </c>
      <c r="G251" s="510">
        <f>'LISTA DE INSUMOS'!E769</f>
        <v>83697.986602732781</v>
      </c>
      <c r="H251" s="278">
        <v>6.6666666666666666E-2</v>
      </c>
      <c r="I251" s="141">
        <v>2731</v>
      </c>
      <c r="J251" s="47"/>
      <c r="K251" s="143"/>
    </row>
    <row r="252" spans="2:11" ht="30" customHeight="1" thickTop="1" x14ac:dyDescent="0.2">
      <c r="B252" s="501" t="s">
        <v>421</v>
      </c>
      <c r="C252" s="108" t="s">
        <v>419</v>
      </c>
      <c r="D252" s="139" t="s">
        <v>420</v>
      </c>
      <c r="E252" s="108" t="s">
        <v>1435</v>
      </c>
      <c r="F252" s="502">
        <v>0.05</v>
      </c>
      <c r="G252" s="47">
        <v>60000</v>
      </c>
      <c r="H252" s="278">
        <v>0</v>
      </c>
      <c r="I252" s="141">
        <f>G252*F252</f>
        <v>3000</v>
      </c>
      <c r="J252" s="47"/>
      <c r="K252" s="143"/>
    </row>
    <row r="253" spans="2:11" ht="30" customHeight="1" x14ac:dyDescent="0.2">
      <c r="B253" s="117" t="s">
        <v>1630</v>
      </c>
      <c r="C253" s="117"/>
      <c r="D253" s="112" t="s">
        <v>1324</v>
      </c>
      <c r="E253" s="117" t="s">
        <v>2586</v>
      </c>
      <c r="F253" s="118"/>
      <c r="G253" s="119">
        <f>ROUND(SUM(I253:I257),0)</f>
        <v>36417</v>
      </c>
      <c r="H253" s="120"/>
      <c r="I253" s="119"/>
      <c r="J253" s="47"/>
      <c r="K253" s="143"/>
    </row>
    <row r="254" spans="2:11" ht="30" customHeight="1" x14ac:dyDescent="0.2">
      <c r="B254" s="678" t="s">
        <v>1034</v>
      </c>
      <c r="C254" s="108" t="str">
        <f>+'LISTA DE INSUMOS'!A9</f>
        <v>MOB006</v>
      </c>
      <c r="D254" s="139" t="str">
        <f>+'LISTA DE INSUMOS'!B9</f>
        <v>Cuadrilla A 1 Of + 4 Ay (jornal + prestaciones)</v>
      </c>
      <c r="E254" s="108" t="str">
        <f>+'LISTA DE INSUMOS'!C9</f>
        <v>Día</v>
      </c>
      <c r="F254" s="140">
        <v>1</v>
      </c>
      <c r="G254" s="141">
        <f>'LISTA DE INSUMOS'!E9</f>
        <v>491167</v>
      </c>
      <c r="H254" s="142">
        <f>1/18</f>
        <v>5.5555555555555552E-2</v>
      </c>
      <c r="I254" s="141">
        <f>ROUND((F254*G254*H254),0)</f>
        <v>27287</v>
      </c>
      <c r="J254" s="47"/>
      <c r="K254" s="143"/>
    </row>
    <row r="255" spans="2:11" ht="30" customHeight="1" x14ac:dyDescent="0.2">
      <c r="B255" s="678"/>
      <c r="C255" s="108" t="str">
        <f>+'LISTA DE INSUMOS'!A14</f>
        <v>MOB011</v>
      </c>
      <c r="D255" s="139" t="str">
        <f>+'LISTA DE INSUMOS'!B14</f>
        <v>Acarreo Horizontal (% mano obra)</v>
      </c>
      <c r="E255" s="108" t="str">
        <f>+'LISTA DE INSUMOS'!C14</f>
        <v>% MO</v>
      </c>
      <c r="F255" s="140">
        <v>0.1</v>
      </c>
      <c r="G255" s="141">
        <f>I254</f>
        <v>27287</v>
      </c>
      <c r="H255" s="108">
        <v>0</v>
      </c>
      <c r="I255" s="141">
        <f>ROUND((F255*G255),0)</f>
        <v>2729</v>
      </c>
      <c r="J255" s="47"/>
      <c r="K255" s="143"/>
    </row>
    <row r="256" spans="2:11" ht="24.9" customHeight="1" x14ac:dyDescent="0.2">
      <c r="B256" s="679" t="s">
        <v>1033</v>
      </c>
      <c r="C256" s="108" t="str">
        <f>+'LISTA DE INSUMOS'!A758</f>
        <v>EQU002</v>
      </c>
      <c r="D256" s="139" t="str">
        <f>+'LISTA DE INSUMOS'!B758</f>
        <v>Herramienta menor (% mano obra)</v>
      </c>
      <c r="E256" s="108" t="str">
        <f>+'LISTA DE INSUMOS'!C758</f>
        <v>%MO</v>
      </c>
      <c r="F256" s="160">
        <v>0.1</v>
      </c>
      <c r="G256" s="141">
        <f>I254</f>
        <v>27287</v>
      </c>
      <c r="H256" s="108">
        <v>0</v>
      </c>
      <c r="I256" s="141">
        <f>ROUND((F256*G256),0)</f>
        <v>2729</v>
      </c>
      <c r="J256" s="47"/>
      <c r="K256" s="143"/>
    </row>
    <row r="257" spans="2:12" ht="24.9" customHeight="1" x14ac:dyDescent="0.2">
      <c r="B257" s="679"/>
      <c r="C257" s="125" t="str">
        <f>+'LISTA DE INSUMOS'!A791</f>
        <v>EQU034</v>
      </c>
      <c r="D257" s="155" t="str">
        <f>+'LISTA DE INSUMOS'!B791</f>
        <v>Compactador  manual (canguro)</v>
      </c>
      <c r="E257" s="125" t="str">
        <f>+'LISTA DE INSUMOS'!C791</f>
        <v>Día</v>
      </c>
      <c r="F257" s="160">
        <v>1</v>
      </c>
      <c r="G257" s="141">
        <f>'LISTA DE INSUMOS'!E791</f>
        <v>58744.017217600012</v>
      </c>
      <c r="H257" s="142">
        <f>1/16</f>
        <v>6.25E-2</v>
      </c>
      <c r="I257" s="141">
        <f>ROUND((F257*G257*H257),0)</f>
        <v>3672</v>
      </c>
      <c r="J257" s="47"/>
      <c r="K257" s="143"/>
    </row>
    <row r="258" spans="2:12" ht="24.9" customHeight="1" x14ac:dyDescent="0.2">
      <c r="B258" s="117" t="s">
        <v>1546</v>
      </c>
      <c r="C258" s="117"/>
      <c r="D258" s="112" t="s">
        <v>2624</v>
      </c>
      <c r="E258" s="117" t="s">
        <v>2586</v>
      </c>
      <c r="F258" s="118"/>
      <c r="G258" s="119">
        <f>ROUND(SUM(I258:I265),0)</f>
        <v>79588</v>
      </c>
      <c r="H258" s="120"/>
      <c r="I258" s="119"/>
      <c r="J258" s="47"/>
      <c r="K258" s="143"/>
    </row>
    <row r="259" spans="2:12" ht="24.9" customHeight="1" thickBot="1" x14ac:dyDescent="0.25">
      <c r="B259" s="175" t="s">
        <v>1325</v>
      </c>
      <c r="C259" s="108" t="str">
        <f>+'LISTA DE INSUMOS'!A204</f>
        <v>MAT164</v>
      </c>
      <c r="D259" s="139" t="str">
        <f>+'LISTA DE INSUMOS'!B204</f>
        <v>Tierra no vegetal</v>
      </c>
      <c r="E259" s="108" t="str">
        <f>+'LISTA DE INSUMOS'!C204</f>
        <v>M3</v>
      </c>
      <c r="F259" s="140">
        <v>1</v>
      </c>
      <c r="G259" s="141">
        <f>'LISTA DE INSUMOS'!E204</f>
        <v>13083.720718109247</v>
      </c>
      <c r="H259" s="108">
        <v>1.3</v>
      </c>
      <c r="I259" s="141">
        <f>ROUND((F259*G259*H259),0)</f>
        <v>17009</v>
      </c>
      <c r="J259" s="47"/>
      <c r="K259" s="143"/>
    </row>
    <row r="260" spans="2:12" ht="24.9" customHeight="1" thickTop="1" x14ac:dyDescent="0.2">
      <c r="B260" s="701" t="s">
        <v>1310</v>
      </c>
      <c r="C260" s="108" t="str">
        <f>+B210</f>
        <v>ITE040</v>
      </c>
      <c r="D260" s="139" t="str">
        <f>+D210</f>
        <v>Corte en material común con máquina</v>
      </c>
      <c r="E260" s="108" t="str">
        <f>+E210</f>
        <v>M3</v>
      </c>
      <c r="F260" s="140">
        <v>1</v>
      </c>
      <c r="G260" s="141">
        <f>G210</f>
        <v>7109</v>
      </c>
      <c r="H260" s="108">
        <v>0</v>
      </c>
      <c r="I260" s="141">
        <f>ROUND((F260*G260),0)</f>
        <v>7109</v>
      </c>
      <c r="J260" s="47"/>
      <c r="K260" s="143"/>
    </row>
    <row r="261" spans="2:12" ht="24.9" customHeight="1" x14ac:dyDescent="0.2">
      <c r="B261" s="702"/>
      <c r="C261" s="108" t="str">
        <f>+B331</f>
        <v>ITE054</v>
      </c>
      <c r="D261" s="139" t="str">
        <f>+D331</f>
        <v>Cargue mecánico de material</v>
      </c>
      <c r="E261" s="108" t="str">
        <f>+E331</f>
        <v>M3</v>
      </c>
      <c r="F261" s="140">
        <v>1</v>
      </c>
      <c r="G261" s="141">
        <f>G331</f>
        <v>5613</v>
      </c>
      <c r="H261" s="108">
        <v>0</v>
      </c>
      <c r="I261" s="141">
        <f>ROUND((F261*G261),0)</f>
        <v>5613</v>
      </c>
      <c r="J261" s="47"/>
      <c r="K261" s="143"/>
    </row>
    <row r="262" spans="2:12" ht="24.9" customHeight="1" x14ac:dyDescent="0.2">
      <c r="B262" s="678" t="s">
        <v>1034</v>
      </c>
      <c r="C262" s="108" t="str">
        <f>+'LISTA DE INSUMOS'!A9</f>
        <v>MOB006</v>
      </c>
      <c r="D262" s="139" t="str">
        <f>+'LISTA DE INSUMOS'!B9</f>
        <v>Cuadrilla A 1 Of + 4 Ay (jornal + prestaciones)</v>
      </c>
      <c r="E262" s="108" t="str">
        <f>+'LISTA DE INSUMOS'!C9</f>
        <v>Día</v>
      </c>
      <c r="F262" s="140">
        <v>1</v>
      </c>
      <c r="G262" s="141">
        <f>'LISTA DE INSUMOS'!E9</f>
        <v>491167</v>
      </c>
      <c r="H262" s="142">
        <f>1/13</f>
        <v>7.6923076923076927E-2</v>
      </c>
      <c r="I262" s="141">
        <f>ROUND((F262*G262*H262),0)</f>
        <v>37782</v>
      </c>
      <c r="J262" s="47"/>
      <c r="K262" s="143"/>
    </row>
    <row r="263" spans="2:12" ht="24.9" customHeight="1" thickBot="1" x14ac:dyDescent="0.25">
      <c r="B263" s="705"/>
      <c r="C263" s="108" t="str">
        <f>+'LISTA DE INSUMOS'!A14</f>
        <v>MOB011</v>
      </c>
      <c r="D263" s="139" t="str">
        <f>+'LISTA DE INSUMOS'!B14</f>
        <v>Acarreo Horizontal (% mano obra)</v>
      </c>
      <c r="E263" s="108" t="str">
        <f>+'LISTA DE INSUMOS'!C14</f>
        <v>% MO</v>
      </c>
      <c r="F263" s="140">
        <v>0.1</v>
      </c>
      <c r="G263" s="141">
        <f>I262</f>
        <v>37782</v>
      </c>
      <c r="H263" s="108">
        <v>0</v>
      </c>
      <c r="I263" s="141">
        <f>ROUND((F263*G263),0)</f>
        <v>3778</v>
      </c>
      <c r="J263" s="47"/>
      <c r="K263" s="143"/>
    </row>
    <row r="264" spans="2:12" ht="24.9" customHeight="1" thickTop="1" x14ac:dyDescent="0.2">
      <c r="B264" s="674" t="s">
        <v>1033</v>
      </c>
      <c r="C264" s="108" t="str">
        <f>+'LISTA DE INSUMOS'!A758</f>
        <v>EQU002</v>
      </c>
      <c r="D264" s="139" t="str">
        <f>+'LISTA DE INSUMOS'!B758</f>
        <v>Herramienta menor (% mano obra)</v>
      </c>
      <c r="E264" s="108" t="str">
        <f>+'LISTA DE INSUMOS'!C758</f>
        <v>%MO</v>
      </c>
      <c r="F264" s="140">
        <v>0.1</v>
      </c>
      <c r="G264" s="141">
        <f>I262</f>
        <v>37782</v>
      </c>
      <c r="H264" s="108">
        <v>0</v>
      </c>
      <c r="I264" s="141">
        <f>ROUND((F264*G264),0)</f>
        <v>3778</v>
      </c>
      <c r="J264" s="47"/>
      <c r="K264" s="143"/>
    </row>
    <row r="265" spans="2:12" ht="24.9" customHeight="1" thickBot="1" x14ac:dyDescent="0.25">
      <c r="B265" s="675"/>
      <c r="C265" s="125" t="str">
        <f>+'LISTA DE INSUMOS'!A791</f>
        <v>EQU034</v>
      </c>
      <c r="D265" s="155" t="str">
        <f>+'LISTA DE INSUMOS'!B791</f>
        <v>Compactador  manual (canguro)</v>
      </c>
      <c r="E265" s="125" t="str">
        <f>+'LISTA DE INSUMOS'!C791</f>
        <v>Día</v>
      </c>
      <c r="F265" s="176">
        <v>1</v>
      </c>
      <c r="G265" s="170">
        <f>'LISTA DE INSUMOS'!E791</f>
        <v>58744.017217600012</v>
      </c>
      <c r="H265" s="142">
        <f>1/13</f>
        <v>7.6923076923076927E-2</v>
      </c>
      <c r="I265" s="141">
        <f>ROUND((F265*G265*H265),0)</f>
        <v>4519</v>
      </c>
      <c r="J265" s="47"/>
      <c r="K265" s="143"/>
    </row>
    <row r="266" spans="2:12" ht="24.9" customHeight="1" thickTop="1" x14ac:dyDescent="0.2">
      <c r="B266" s="117" t="s">
        <v>1543</v>
      </c>
      <c r="C266" s="117"/>
      <c r="D266" s="112" t="s">
        <v>1734</v>
      </c>
      <c r="E266" s="117" t="s">
        <v>2586</v>
      </c>
      <c r="F266" s="118"/>
      <c r="G266" s="119">
        <f>ROUND(SUM(I266:I272),0)</f>
        <v>189590</v>
      </c>
      <c r="H266" s="120"/>
      <c r="I266" s="119"/>
      <c r="J266" s="47">
        <f>81138-21840</f>
        <v>59298</v>
      </c>
      <c r="K266" s="143"/>
      <c r="L266" s="284"/>
    </row>
    <row r="267" spans="2:12" ht="24.9" customHeight="1" thickBot="1" x14ac:dyDescent="0.25">
      <c r="B267" s="175" t="s">
        <v>1325</v>
      </c>
      <c r="C267" s="108" t="s">
        <v>2121</v>
      </c>
      <c r="D267" s="139" t="str">
        <f>'LISTA DE INSUMOS'!B39</f>
        <v>Material granular seleccionado Tipo BG A</v>
      </c>
      <c r="E267" s="108" t="s">
        <v>2586</v>
      </c>
      <c r="F267" s="140">
        <v>1</v>
      </c>
      <c r="G267" s="141">
        <f>'LISTA DE INSUMOS'!E39</f>
        <v>109264.84647000002</v>
      </c>
      <c r="H267" s="108">
        <v>1.25</v>
      </c>
      <c r="I267" s="141">
        <f>ROUND((F267*G267*H267),0)</f>
        <v>136581</v>
      </c>
      <c r="J267" s="47"/>
      <c r="K267" s="143"/>
    </row>
    <row r="268" spans="2:12" ht="24.9" customHeight="1" thickTop="1" x14ac:dyDescent="0.2">
      <c r="B268" s="678" t="s">
        <v>1034</v>
      </c>
      <c r="C268" s="108" t="str">
        <f>+'LISTA DE INSUMOS'!A9</f>
        <v>MOB006</v>
      </c>
      <c r="D268" s="139" t="str">
        <f>+'LISTA DE INSUMOS'!B9</f>
        <v>Cuadrilla A 1 Of + 4 Ay (jornal + prestaciones)</v>
      </c>
      <c r="E268" s="108" t="s">
        <v>2065</v>
      </c>
      <c r="F268" s="140">
        <v>1</v>
      </c>
      <c r="G268" s="141">
        <f>'LISTA DE INSUMOS'!E9</f>
        <v>491167</v>
      </c>
      <c r="H268" s="142">
        <v>7.6999999999999999E-2</v>
      </c>
      <c r="I268" s="141">
        <f>ROUND((F268*G268*H268),0)</f>
        <v>37820</v>
      </c>
      <c r="J268" s="47"/>
      <c r="K268" s="143"/>
    </row>
    <row r="269" spans="2:12" ht="24.9" customHeight="1" thickBot="1" x14ac:dyDescent="0.25">
      <c r="B269" s="705"/>
      <c r="C269" s="108" t="str">
        <f>+'LISTA DE INSUMOS'!A14</f>
        <v>MOB011</v>
      </c>
      <c r="D269" s="139" t="str">
        <f>+'LISTA DE INSUMOS'!B14</f>
        <v>Acarreo Horizontal (% mano obra)</v>
      </c>
      <c r="E269" s="108" t="str">
        <f>+'LISTA DE INSUMOS'!C14</f>
        <v>% MO</v>
      </c>
      <c r="F269" s="140">
        <v>0.1</v>
      </c>
      <c r="G269" s="141">
        <f>I268</f>
        <v>37820</v>
      </c>
      <c r="H269" s="108">
        <v>0</v>
      </c>
      <c r="I269" s="141">
        <f>ROUND((F269*G269),0)</f>
        <v>3782</v>
      </c>
      <c r="J269" s="47"/>
      <c r="K269" s="143"/>
    </row>
    <row r="270" spans="2:12" ht="24.9" customHeight="1" thickTop="1" x14ac:dyDescent="0.2">
      <c r="B270" s="674" t="s">
        <v>3259</v>
      </c>
      <c r="C270" s="108" t="str">
        <f>+'LISTA DE INSUMOS'!A758</f>
        <v>EQU002</v>
      </c>
      <c r="D270" s="139" t="str">
        <f>+'LISTA DE INSUMOS'!B758</f>
        <v>Herramienta menor (% mano obra)</v>
      </c>
      <c r="E270" s="108" t="str">
        <f>+'LISTA DE INSUMOS'!C758</f>
        <v>%MO</v>
      </c>
      <c r="F270" s="140">
        <v>0.1</v>
      </c>
      <c r="G270" s="141">
        <f>I268</f>
        <v>37820</v>
      </c>
      <c r="H270" s="108">
        <v>0</v>
      </c>
      <c r="I270" s="141">
        <f>ROUND((F270*G270),0)</f>
        <v>3782</v>
      </c>
      <c r="J270" s="47"/>
      <c r="K270" s="143"/>
    </row>
    <row r="271" spans="2:12" ht="24.9" customHeight="1" thickBot="1" x14ac:dyDescent="0.25">
      <c r="B271" s="675"/>
      <c r="C271" s="125" t="str">
        <f>+'LISTA DE INSUMOS'!A791</f>
        <v>EQU034</v>
      </c>
      <c r="D271" s="155" t="str">
        <f>+'LISTA DE INSUMOS'!B791</f>
        <v>Compactador  manual (canguro)</v>
      </c>
      <c r="E271" s="125" t="str">
        <f>+'LISTA DE INSUMOS'!C791</f>
        <v>Día</v>
      </c>
      <c r="F271" s="176">
        <v>1</v>
      </c>
      <c r="G271" s="170">
        <f>'LISTA DE INSUMOS'!E791</f>
        <v>58744.017217600012</v>
      </c>
      <c r="H271" s="108">
        <f>1/10</f>
        <v>0.1</v>
      </c>
      <c r="I271" s="141">
        <f>ROUND((F271*G271*H271),0)</f>
        <v>5874</v>
      </c>
      <c r="J271" s="47"/>
      <c r="K271" s="143"/>
    </row>
    <row r="272" spans="2:12" ht="24.9" customHeight="1" thickTop="1" thickBot="1" x14ac:dyDescent="0.25">
      <c r="B272" s="171" t="s">
        <v>421</v>
      </c>
      <c r="C272" s="145" t="str">
        <f>+'LISTA DE INSUMOS'!A824</f>
        <v>ESY002</v>
      </c>
      <c r="D272" s="146" t="str">
        <f>+'LISTA DE INSUMOS'!B824</f>
        <v>Toma de densidades</v>
      </c>
      <c r="E272" s="145" t="str">
        <f>+'LISTA DE INSUMOS'!C824</f>
        <v>Un</v>
      </c>
      <c r="F272" s="435">
        <f>1/40</f>
        <v>2.5000000000000001E-2</v>
      </c>
      <c r="G272" s="173">
        <f>'LISTA DE INSUMOS'!E824</f>
        <v>70022.270999999993</v>
      </c>
      <c r="H272" s="174">
        <v>0</v>
      </c>
      <c r="I272" s="148">
        <f>ROUND((F272*G272),0)</f>
        <v>1751</v>
      </c>
      <c r="J272" s="47"/>
      <c r="K272" s="143"/>
    </row>
    <row r="273" spans="2:11" ht="24.9" customHeight="1" x14ac:dyDescent="0.2">
      <c r="B273" s="117" t="s">
        <v>1545</v>
      </c>
      <c r="C273" s="117"/>
      <c r="D273" s="112" t="s">
        <v>1326</v>
      </c>
      <c r="E273" s="117" t="s">
        <v>2586</v>
      </c>
      <c r="F273" s="118"/>
      <c r="G273" s="119">
        <f>ROUND(SUM(I273:I279),0)</f>
        <v>116815</v>
      </c>
      <c r="H273" s="120"/>
      <c r="I273" s="119"/>
      <c r="J273" s="47"/>
      <c r="K273" s="143"/>
    </row>
    <row r="274" spans="2:11" ht="24.9" customHeight="1" thickBot="1" x14ac:dyDescent="0.25">
      <c r="B274" s="175" t="s">
        <v>1325</v>
      </c>
      <c r="C274" s="125" t="str">
        <f>+'LISTA DE INSUMOS'!A299</f>
        <v>MAT271</v>
      </c>
      <c r="D274" s="155" t="str">
        <f>+'LISTA DE INSUMOS'!B299</f>
        <v>Afirmado</v>
      </c>
      <c r="E274" s="125" t="str">
        <f>+'LISTA DE INSUMOS'!C299</f>
        <v>M3</v>
      </c>
      <c r="F274" s="159">
        <v>1</v>
      </c>
      <c r="G274" s="141">
        <f>'LISTA DE INSUMOS'!E299</f>
        <v>55402.97659875</v>
      </c>
      <c r="H274" s="108">
        <v>1.3</v>
      </c>
      <c r="I274" s="141">
        <f>ROUND((F274*G274*H274),0)</f>
        <v>72024</v>
      </c>
      <c r="J274" s="47"/>
      <c r="K274" s="143"/>
    </row>
    <row r="275" spans="2:11" ht="24.9" customHeight="1" thickTop="1" x14ac:dyDescent="0.2">
      <c r="B275" s="678" t="s">
        <v>1034</v>
      </c>
      <c r="C275" s="108" t="str">
        <f>+'LISTA DE INSUMOS'!A9</f>
        <v>MOB006</v>
      </c>
      <c r="D275" s="139" t="str">
        <f>+'LISTA DE INSUMOS'!B9</f>
        <v>Cuadrilla A 1 Of + 4 Ay (jornal + prestaciones)</v>
      </c>
      <c r="E275" s="108" t="str">
        <f>+'LISTA DE INSUMOS'!C9</f>
        <v>Día</v>
      </c>
      <c r="F275" s="140">
        <v>1</v>
      </c>
      <c r="G275" s="141">
        <f>'LISTA DE INSUMOS'!E9</f>
        <v>491167</v>
      </c>
      <c r="H275" s="108">
        <f>1/17</f>
        <v>5.8823529411764705E-2</v>
      </c>
      <c r="I275" s="141">
        <f>ROUND((F275*G275*H275),0)</f>
        <v>28892</v>
      </c>
      <c r="J275" s="47"/>
      <c r="K275" s="143"/>
    </row>
    <row r="276" spans="2:11" ht="24.9" customHeight="1" thickBot="1" x14ac:dyDescent="0.25">
      <c r="B276" s="705"/>
      <c r="C276" s="108" t="str">
        <f>+'LISTA DE INSUMOS'!A14</f>
        <v>MOB011</v>
      </c>
      <c r="D276" s="139" t="str">
        <f>+'LISTA DE INSUMOS'!B14</f>
        <v>Acarreo Horizontal (% mano obra)</v>
      </c>
      <c r="E276" s="108" t="str">
        <f>+'LISTA DE INSUMOS'!C14</f>
        <v>% MO</v>
      </c>
      <c r="F276" s="140">
        <v>0.1</v>
      </c>
      <c r="G276" s="141">
        <f>I275</f>
        <v>28892</v>
      </c>
      <c r="H276" s="108">
        <v>0</v>
      </c>
      <c r="I276" s="141">
        <f>ROUND((F276*G276),0)</f>
        <v>2889</v>
      </c>
      <c r="J276" s="47"/>
      <c r="K276" s="143"/>
    </row>
    <row r="277" spans="2:11" ht="24.9" customHeight="1" thickTop="1" x14ac:dyDescent="0.2">
      <c r="B277" s="674" t="s">
        <v>1033</v>
      </c>
      <c r="C277" s="108" t="str">
        <f>+'LISTA DE INSUMOS'!A758</f>
        <v>EQU002</v>
      </c>
      <c r="D277" s="139" t="str">
        <f>+'LISTA DE INSUMOS'!B758</f>
        <v>Herramienta menor (% mano obra)</v>
      </c>
      <c r="E277" s="108" t="str">
        <f>+'LISTA DE INSUMOS'!C758</f>
        <v>%MO</v>
      </c>
      <c r="F277" s="140">
        <v>0.1</v>
      </c>
      <c r="G277" s="141">
        <f>I275</f>
        <v>28892</v>
      </c>
      <c r="H277" s="108">
        <v>0</v>
      </c>
      <c r="I277" s="141">
        <f>ROUND((F277*G277),0)</f>
        <v>2889</v>
      </c>
      <c r="J277" s="47"/>
      <c r="K277" s="143"/>
    </row>
    <row r="278" spans="2:11" ht="24.9" customHeight="1" thickBot="1" x14ac:dyDescent="0.25">
      <c r="B278" s="675"/>
      <c r="C278" s="108" t="str">
        <f>+'LISTA DE INSUMOS'!A769</f>
        <v>EQU012</v>
      </c>
      <c r="D278" s="139" t="str">
        <f>+'LISTA DE INSUMOS'!B769</f>
        <v xml:space="preserve">Vibrocompactador manual </v>
      </c>
      <c r="E278" s="108" t="str">
        <f>+'LISTA DE INSUMOS'!C769</f>
        <v>Día</v>
      </c>
      <c r="F278" s="160">
        <v>1</v>
      </c>
      <c r="G278" s="141">
        <f>'LISTA DE INSUMOS'!E769</f>
        <v>83697.986602732781</v>
      </c>
      <c r="H278" s="108">
        <f>1/10</f>
        <v>0.1</v>
      </c>
      <c r="I278" s="141">
        <f>ROUND((F278*G278*H278),0)</f>
        <v>8370</v>
      </c>
      <c r="J278" s="47"/>
      <c r="K278" s="143"/>
    </row>
    <row r="279" spans="2:11" ht="24.9" customHeight="1" thickTop="1" thickBot="1" x14ac:dyDescent="0.25">
      <c r="B279" s="171" t="s">
        <v>421</v>
      </c>
      <c r="C279" s="145" t="str">
        <f>+'LISTA DE INSUMOS'!A824</f>
        <v>ESY002</v>
      </c>
      <c r="D279" s="146" t="str">
        <f>+'LISTA DE INSUMOS'!B824</f>
        <v>Toma de densidades</v>
      </c>
      <c r="E279" s="145" t="str">
        <f>+'LISTA DE INSUMOS'!C824</f>
        <v>Un</v>
      </c>
      <c r="F279" s="172">
        <f>1/40</f>
        <v>2.5000000000000001E-2</v>
      </c>
      <c r="G279" s="173">
        <f>'LISTA DE INSUMOS'!E824</f>
        <v>70022.270999999993</v>
      </c>
      <c r="H279" s="174">
        <v>0</v>
      </c>
      <c r="I279" s="148">
        <f>ROUND((F279*G279),0)</f>
        <v>1751</v>
      </c>
      <c r="J279" s="47"/>
      <c r="K279" s="143"/>
    </row>
    <row r="280" spans="2:11" ht="24.9" customHeight="1" x14ac:dyDescent="0.2">
      <c r="B280" s="117" t="s">
        <v>1915</v>
      </c>
      <c r="C280" s="117"/>
      <c r="D280" s="112" t="s">
        <v>1327</v>
      </c>
      <c r="E280" s="117" t="s">
        <v>2585</v>
      </c>
      <c r="F280" s="149"/>
      <c r="G280" s="119">
        <f>ROUND(SUM(I280:I286),0)</f>
        <v>16493</v>
      </c>
      <c r="H280" s="120"/>
      <c r="I280" s="119"/>
      <c r="J280" s="47"/>
      <c r="K280" s="143"/>
    </row>
    <row r="281" spans="2:11" ht="24.9" customHeight="1" thickBot="1" x14ac:dyDescent="0.25">
      <c r="B281" s="175" t="s">
        <v>1325</v>
      </c>
      <c r="C281" s="125" t="str">
        <f>+'LISTA DE INSUMOS'!A299</f>
        <v>MAT271</v>
      </c>
      <c r="D281" s="155" t="str">
        <f>+'LISTA DE INSUMOS'!B299</f>
        <v>Afirmado</v>
      </c>
      <c r="E281" s="125" t="str">
        <f>+'LISTA DE INSUMOS'!C299</f>
        <v>M3</v>
      </c>
      <c r="F281" s="159">
        <v>0.1</v>
      </c>
      <c r="G281" s="141">
        <f>'LISTA DE INSUMOS'!E299</f>
        <v>55402.97659875</v>
      </c>
      <c r="H281" s="108">
        <v>1.3</v>
      </c>
      <c r="I281" s="141">
        <f>ROUND((F281*G281*H281),0)</f>
        <v>7202</v>
      </c>
      <c r="J281" s="47"/>
      <c r="K281" s="143"/>
    </row>
    <row r="282" spans="2:11" ht="24.9" customHeight="1" thickTop="1" x14ac:dyDescent="0.2">
      <c r="B282" s="678" t="s">
        <v>1034</v>
      </c>
      <c r="C282" s="108" t="str">
        <f>+'LISTA DE INSUMOS'!A9</f>
        <v>MOB006</v>
      </c>
      <c r="D282" s="139" t="str">
        <f>+'LISTA DE INSUMOS'!B9</f>
        <v>Cuadrilla A 1 Of + 4 Ay (jornal + prestaciones)</v>
      </c>
      <c r="E282" s="108" t="str">
        <f>+'LISTA DE INSUMOS'!C9</f>
        <v>Día</v>
      </c>
      <c r="F282" s="140">
        <v>1</v>
      </c>
      <c r="G282" s="141">
        <f>'LISTA DE INSUMOS'!E9</f>
        <v>491167</v>
      </c>
      <c r="H282" s="142">
        <f>1/70</f>
        <v>1.4285714285714285E-2</v>
      </c>
      <c r="I282" s="141">
        <f>ROUND((F282*G282*H282),0)</f>
        <v>7017</v>
      </c>
      <c r="J282" s="47"/>
      <c r="K282" s="143"/>
    </row>
    <row r="283" spans="2:11" ht="24.9" customHeight="1" thickBot="1" x14ac:dyDescent="0.25">
      <c r="B283" s="705"/>
      <c r="C283" s="108" t="str">
        <f>+'LISTA DE INSUMOS'!A14</f>
        <v>MOB011</v>
      </c>
      <c r="D283" s="139" t="str">
        <f>+'LISTA DE INSUMOS'!B14</f>
        <v>Acarreo Horizontal (% mano obra)</v>
      </c>
      <c r="E283" s="108" t="str">
        <f>+'LISTA DE INSUMOS'!C14</f>
        <v>% MO</v>
      </c>
      <c r="F283" s="140">
        <v>0.05</v>
      </c>
      <c r="G283" s="141">
        <f>I282</f>
        <v>7017</v>
      </c>
      <c r="H283" s="108">
        <v>0</v>
      </c>
      <c r="I283" s="141">
        <f>ROUND((F283*G283),0)</f>
        <v>351</v>
      </c>
      <c r="J283" s="47"/>
      <c r="K283" s="143"/>
    </row>
    <row r="284" spans="2:11" ht="24.9" customHeight="1" thickTop="1" x14ac:dyDescent="0.2">
      <c r="B284" s="674" t="s">
        <v>1033</v>
      </c>
      <c r="C284" s="108" t="str">
        <f>+'LISTA DE INSUMOS'!A758</f>
        <v>EQU002</v>
      </c>
      <c r="D284" s="139" t="str">
        <f>+'LISTA DE INSUMOS'!B758</f>
        <v>Herramienta menor (% mano obra)</v>
      </c>
      <c r="E284" s="108" t="str">
        <f>+'LISTA DE INSUMOS'!C758</f>
        <v>%MO</v>
      </c>
      <c r="F284" s="140">
        <v>0.1</v>
      </c>
      <c r="G284" s="141">
        <f>I282</f>
        <v>7017</v>
      </c>
      <c r="H284" s="108">
        <v>0</v>
      </c>
      <c r="I284" s="141">
        <f>ROUND((F284*G284),0)</f>
        <v>702</v>
      </c>
      <c r="J284" s="47"/>
      <c r="K284" s="143"/>
    </row>
    <row r="285" spans="2:11" ht="24.9" customHeight="1" thickBot="1" x14ac:dyDescent="0.25">
      <c r="B285" s="675"/>
      <c r="C285" s="108" t="str">
        <f>+'LISTA DE INSUMOS'!A769</f>
        <v>EQU012</v>
      </c>
      <c r="D285" s="139" t="str">
        <f>+'LISTA DE INSUMOS'!B769</f>
        <v xml:space="preserve">Vibrocompactador manual </v>
      </c>
      <c r="E285" s="108" t="str">
        <f>+'LISTA DE INSUMOS'!C769</f>
        <v>Día</v>
      </c>
      <c r="F285" s="160">
        <v>1</v>
      </c>
      <c r="G285" s="141">
        <f>'LISTA DE INSUMOS'!E769</f>
        <v>83697.986602732781</v>
      </c>
      <c r="H285" s="142">
        <f>1/80</f>
        <v>1.2500000000000001E-2</v>
      </c>
      <c r="I285" s="141">
        <f>ROUND((F285*G285*H285),0)</f>
        <v>1046</v>
      </c>
      <c r="J285" s="47"/>
      <c r="K285" s="143"/>
    </row>
    <row r="286" spans="2:11" ht="24.9" customHeight="1" thickTop="1" thickBot="1" x14ac:dyDescent="0.25">
      <c r="B286" s="171" t="s">
        <v>421</v>
      </c>
      <c r="C286" s="145" t="str">
        <f>+'LISTA DE INSUMOS'!A824</f>
        <v>ESY002</v>
      </c>
      <c r="D286" s="146" t="str">
        <f>+'LISTA DE INSUMOS'!B824</f>
        <v>Toma de densidades</v>
      </c>
      <c r="E286" s="145" t="str">
        <f>+'LISTA DE INSUMOS'!C824</f>
        <v>Un</v>
      </c>
      <c r="F286" s="172">
        <f>1/40*0.1</f>
        <v>2.5000000000000005E-3</v>
      </c>
      <c r="G286" s="173">
        <f>'LISTA DE INSUMOS'!E824</f>
        <v>70022.270999999993</v>
      </c>
      <c r="H286" s="174">
        <v>0</v>
      </c>
      <c r="I286" s="148">
        <f>ROUND((F286*G286),0)</f>
        <v>175</v>
      </c>
      <c r="J286" s="47"/>
      <c r="K286" s="143"/>
    </row>
    <row r="287" spans="2:11" ht="24.9" customHeight="1" thickBot="1" x14ac:dyDescent="0.25">
      <c r="B287" s="117" t="s">
        <v>1732</v>
      </c>
      <c r="C287" s="117"/>
      <c r="D287" s="112" t="s">
        <v>3159</v>
      </c>
      <c r="E287" s="117" t="s">
        <v>2586</v>
      </c>
      <c r="F287" s="118"/>
      <c r="G287" s="119">
        <f>ROUND(SUM(I287:I292),0)</f>
        <v>12007</v>
      </c>
      <c r="H287" s="120"/>
      <c r="I287" s="119"/>
      <c r="J287" s="47"/>
      <c r="K287" s="143"/>
    </row>
    <row r="288" spans="2:11" ht="24.9" customHeight="1" thickTop="1" thickBot="1" x14ac:dyDescent="0.25">
      <c r="B288" s="169" t="s">
        <v>1310</v>
      </c>
      <c r="C288" s="166" t="str">
        <f>+B417</f>
        <v>ITE068</v>
      </c>
      <c r="D288" s="167" t="str">
        <f>+D417</f>
        <v>Transporte maquinaría pesada</v>
      </c>
      <c r="E288" s="108" t="str">
        <f>+E417</f>
        <v>Km</v>
      </c>
      <c r="F288" s="160">
        <v>60</v>
      </c>
      <c r="G288" s="141">
        <f>G417</f>
        <v>26702</v>
      </c>
      <c r="H288" s="168">
        <f>1/350</f>
        <v>2.8571428571428571E-3</v>
      </c>
      <c r="I288" s="141">
        <f>ROUND((F288*G288*H288),0)</f>
        <v>4577</v>
      </c>
      <c r="J288" s="47"/>
      <c r="K288" s="143"/>
    </row>
    <row r="289" spans="2:11" ht="24.9" customHeight="1" thickTop="1" thickBot="1" x14ac:dyDescent="0.25">
      <c r="B289" s="158" t="s">
        <v>1034</v>
      </c>
      <c r="C289" s="108" t="str">
        <f>+'LISTA DE INSUMOS'!A7</f>
        <v>MOB004</v>
      </c>
      <c r="D289" s="139" t="str">
        <f>+'LISTA DE INSUMOS'!B7</f>
        <v>Ayudante (jornal + prestaciones)</v>
      </c>
      <c r="E289" s="108" t="str">
        <f>+'LISTA DE INSUMOS'!C7</f>
        <v>Dia</v>
      </c>
      <c r="F289" s="140">
        <v>1</v>
      </c>
      <c r="G289" s="141">
        <f>+'LISTA DE INSUMOS'!E7</f>
        <v>81861</v>
      </c>
      <c r="H289" s="168">
        <f>1/60</f>
        <v>1.6666666666666666E-2</v>
      </c>
      <c r="I289" s="141">
        <f>ROUND((F289*G289*H289),0)</f>
        <v>1364</v>
      </c>
      <c r="J289" s="47"/>
      <c r="K289" s="143"/>
    </row>
    <row r="290" spans="2:11" ht="24.9" customHeight="1" thickTop="1" x14ac:dyDescent="0.2">
      <c r="B290" s="674" t="s">
        <v>1033</v>
      </c>
      <c r="C290" s="108" t="str">
        <f>+'LISTA DE INSUMOS'!A760</f>
        <v>EQU004</v>
      </c>
      <c r="D290" s="139" t="str">
        <f>+'LISTA DE INSUMOS'!B760</f>
        <v>Buldózer D65-8</v>
      </c>
      <c r="E290" s="108" t="str">
        <f>+'LISTA DE INSUMOS'!C760</f>
        <v>Hr</v>
      </c>
      <c r="F290" s="140">
        <v>1</v>
      </c>
      <c r="G290" s="141">
        <f>'LISTA DE INSUMOS'!E760</f>
        <v>191706.97354379998</v>
      </c>
      <c r="H290" s="168">
        <f>1/80</f>
        <v>1.2500000000000001E-2</v>
      </c>
      <c r="I290" s="141">
        <f>ROUND((F290*G290*H290),0)</f>
        <v>2396</v>
      </c>
      <c r="J290" s="47"/>
      <c r="K290" s="143"/>
    </row>
    <row r="291" spans="2:11" ht="24.9" customHeight="1" thickBot="1" x14ac:dyDescent="0.25">
      <c r="B291" s="675"/>
      <c r="C291" s="108" t="str">
        <f>+'LISTA DE INSUMOS'!A779</f>
        <v>EQU022</v>
      </c>
      <c r="D291" s="139" t="str">
        <f>+'LISTA DE INSUMOS'!B779</f>
        <v>Compactador neumático  con tractor</v>
      </c>
      <c r="E291" s="108" t="str">
        <f>+'LISTA DE INSUMOS'!C779</f>
        <v>Hr</v>
      </c>
      <c r="F291" s="160">
        <v>1</v>
      </c>
      <c r="G291" s="141">
        <f>'LISTA DE INSUMOS'!E779</f>
        <v>153535.49954600004</v>
      </c>
      <c r="H291" s="168">
        <f>1/80</f>
        <v>1.2500000000000001E-2</v>
      </c>
      <c r="I291" s="141">
        <f>ROUND((F291*G291*H291),0)</f>
        <v>1919</v>
      </c>
      <c r="J291" s="47"/>
      <c r="K291" s="143"/>
    </row>
    <row r="292" spans="2:11" ht="24.9" customHeight="1" thickTop="1" thickBot="1" x14ac:dyDescent="0.25">
      <c r="B292" s="177" t="s">
        <v>421</v>
      </c>
      <c r="C292" s="145" t="str">
        <f>+'LISTA DE INSUMOS'!A824</f>
        <v>ESY002</v>
      </c>
      <c r="D292" s="146" t="str">
        <f>+'LISTA DE INSUMOS'!B824</f>
        <v>Toma de densidades</v>
      </c>
      <c r="E292" s="145" t="str">
        <f>+'LISTA DE INSUMOS'!C824</f>
        <v>Un</v>
      </c>
      <c r="F292" s="172">
        <f>1/40</f>
        <v>2.5000000000000001E-2</v>
      </c>
      <c r="G292" s="173">
        <f>'LISTA DE INSUMOS'!E824</f>
        <v>70022.270999999993</v>
      </c>
      <c r="H292" s="174">
        <v>0</v>
      </c>
      <c r="I292" s="148">
        <f>ROUND((F292*G292),0)</f>
        <v>1751</v>
      </c>
      <c r="J292" s="47"/>
      <c r="K292" s="143"/>
    </row>
    <row r="293" spans="2:11" ht="24.9" customHeight="1" x14ac:dyDescent="0.2">
      <c r="B293" s="117" t="s">
        <v>1735</v>
      </c>
      <c r="C293" s="117"/>
      <c r="D293" s="112" t="s">
        <v>3160</v>
      </c>
      <c r="E293" s="117" t="s">
        <v>2586</v>
      </c>
      <c r="F293" s="118"/>
      <c r="G293" s="119">
        <f>ROUND(SUM(I293:I301),0)</f>
        <v>44172</v>
      </c>
      <c r="H293" s="120"/>
      <c r="I293" s="119"/>
      <c r="J293" s="47"/>
      <c r="K293" s="143"/>
    </row>
    <row r="294" spans="2:11" ht="24.9" customHeight="1" thickBot="1" x14ac:dyDescent="0.25">
      <c r="B294" s="178" t="s">
        <v>1325</v>
      </c>
      <c r="C294" s="108" t="str">
        <f>+'LISTA DE INSUMOS'!A204</f>
        <v>MAT164</v>
      </c>
      <c r="D294" s="139" t="str">
        <f>+'LISTA DE INSUMOS'!B204</f>
        <v>Tierra no vegetal</v>
      </c>
      <c r="E294" s="108" t="str">
        <f>+'LISTA DE INSUMOS'!C204</f>
        <v>M3</v>
      </c>
      <c r="F294" s="140">
        <v>1</v>
      </c>
      <c r="G294" s="141">
        <f>'LISTA DE INSUMOS'!E204</f>
        <v>13083.720718109247</v>
      </c>
      <c r="H294" s="108">
        <v>1.3</v>
      </c>
      <c r="I294" s="141">
        <f>ROUND((F294*G294*H294),0)</f>
        <v>17009</v>
      </c>
      <c r="J294" s="47"/>
      <c r="K294" s="143"/>
    </row>
    <row r="295" spans="2:11" ht="24.9" customHeight="1" thickTop="1" x14ac:dyDescent="0.2">
      <c r="B295" s="701" t="s">
        <v>1310</v>
      </c>
      <c r="C295" s="108" t="str">
        <f>+B210</f>
        <v>ITE040</v>
      </c>
      <c r="D295" s="139" t="str">
        <f>+D210</f>
        <v>Corte en material común con máquina</v>
      </c>
      <c r="E295" s="108" t="str">
        <f>+E210</f>
        <v>M3</v>
      </c>
      <c r="F295" s="140">
        <v>1</v>
      </c>
      <c r="G295" s="141">
        <f>G210</f>
        <v>7109</v>
      </c>
      <c r="H295" s="108">
        <v>0</v>
      </c>
      <c r="I295" s="141">
        <f>ROUND((F295*G295),0)</f>
        <v>7109</v>
      </c>
      <c r="J295" s="47"/>
      <c r="K295" s="143"/>
    </row>
    <row r="296" spans="2:11" ht="24.9" customHeight="1" x14ac:dyDescent="0.2">
      <c r="B296" s="702"/>
      <c r="C296" s="108" t="str">
        <f>+B331</f>
        <v>ITE054</v>
      </c>
      <c r="D296" s="139" t="str">
        <f>+D331</f>
        <v>Cargue mecánico de material</v>
      </c>
      <c r="E296" s="108" t="str">
        <f>+E331</f>
        <v>M3</v>
      </c>
      <c r="F296" s="140">
        <v>1.3</v>
      </c>
      <c r="G296" s="141">
        <f>G331</f>
        <v>5613</v>
      </c>
      <c r="H296" s="108">
        <v>0</v>
      </c>
      <c r="I296" s="141">
        <f>ROUND((F296*G296),0)</f>
        <v>7297</v>
      </c>
      <c r="J296" s="47"/>
      <c r="K296" s="143"/>
    </row>
    <row r="297" spans="2:11" ht="24.9" customHeight="1" x14ac:dyDescent="0.2">
      <c r="B297" s="702"/>
      <c r="C297" s="166" t="str">
        <f>+B417</f>
        <v>ITE068</v>
      </c>
      <c r="D297" s="167" t="str">
        <f>+D417</f>
        <v>Transporte maquinaría pesada</v>
      </c>
      <c r="E297" s="108" t="str">
        <f>+E417</f>
        <v>Km</v>
      </c>
      <c r="F297" s="160">
        <v>60</v>
      </c>
      <c r="G297" s="141">
        <f>G417</f>
        <v>26702</v>
      </c>
      <c r="H297" s="142">
        <f>1/400</f>
        <v>2.5000000000000001E-3</v>
      </c>
      <c r="I297" s="141">
        <f>ROUND((F297*G297*H297),0)</f>
        <v>4005</v>
      </c>
      <c r="J297" s="47"/>
      <c r="K297" s="143"/>
    </row>
    <row r="298" spans="2:11" ht="24.9" customHeight="1" thickBot="1" x14ac:dyDescent="0.25">
      <c r="B298" s="703"/>
      <c r="C298" s="108" t="str">
        <f>+B336</f>
        <v>ITE056</v>
      </c>
      <c r="D298" s="139" t="str">
        <f>+D336</f>
        <v xml:space="preserve">Transporte material &lt; 40 Km </v>
      </c>
      <c r="E298" s="108" t="str">
        <f>+E336</f>
        <v>M3-Km</v>
      </c>
      <c r="F298" s="140">
        <v>1</v>
      </c>
      <c r="G298" s="141">
        <f>+G336</f>
        <v>1634</v>
      </c>
      <c r="H298" s="108">
        <v>0</v>
      </c>
      <c r="I298" s="141">
        <f>ROUND((F298*G298),0)</f>
        <v>1634</v>
      </c>
      <c r="J298" s="47"/>
      <c r="K298" s="143"/>
    </row>
    <row r="299" spans="2:11" ht="24.9" customHeight="1" thickTop="1" thickBot="1" x14ac:dyDescent="0.25">
      <c r="B299" s="158" t="s">
        <v>1034</v>
      </c>
      <c r="C299" s="108" t="str">
        <f>+'LISTA DE INSUMOS'!A7</f>
        <v>MOB004</v>
      </c>
      <c r="D299" s="139" t="str">
        <f>+'LISTA DE INSUMOS'!B7</f>
        <v>Ayudante (jornal + prestaciones)</v>
      </c>
      <c r="E299" s="108" t="str">
        <f>+'LISTA DE INSUMOS'!C7</f>
        <v>Dia</v>
      </c>
      <c r="F299" s="140">
        <v>1</v>
      </c>
      <c r="G299" s="141">
        <f>+'LISTA DE INSUMOS'!E7</f>
        <v>81861</v>
      </c>
      <c r="H299" s="168">
        <f>1/60</f>
        <v>1.6666666666666666E-2</v>
      </c>
      <c r="I299" s="141">
        <f>ROUND((F299*G299*H299),0)</f>
        <v>1364</v>
      </c>
      <c r="J299" s="47"/>
      <c r="K299" s="143"/>
    </row>
    <row r="300" spans="2:11" ht="24.9" customHeight="1" thickTop="1" x14ac:dyDescent="0.2">
      <c r="B300" s="674" t="s">
        <v>1033</v>
      </c>
      <c r="C300" s="108" t="str">
        <f>+'LISTA DE INSUMOS'!A760</f>
        <v>EQU004</v>
      </c>
      <c r="D300" s="139" t="str">
        <f>+'LISTA DE INSUMOS'!B760</f>
        <v>Buldózer D65-8</v>
      </c>
      <c r="E300" s="108" t="str">
        <f>+'LISTA DE INSUMOS'!C760</f>
        <v>Hr</v>
      </c>
      <c r="F300" s="140">
        <v>1</v>
      </c>
      <c r="G300" s="141">
        <f>'LISTA DE INSUMOS'!E760</f>
        <v>191706.97354379998</v>
      </c>
      <c r="H300" s="168">
        <f>1/60</f>
        <v>1.6666666666666666E-2</v>
      </c>
      <c r="I300" s="141">
        <f>ROUND((F300*G300*H300),0)</f>
        <v>3195</v>
      </c>
      <c r="J300" s="47"/>
      <c r="K300" s="143"/>
    </row>
    <row r="301" spans="2:11" ht="24.9" customHeight="1" thickBot="1" x14ac:dyDescent="0.25">
      <c r="B301" s="675"/>
      <c r="C301" s="108" t="str">
        <f>+'LISTA DE INSUMOS'!A779</f>
        <v>EQU022</v>
      </c>
      <c r="D301" s="139" t="str">
        <f>+'LISTA DE INSUMOS'!B779</f>
        <v>Compactador neumático  con tractor</v>
      </c>
      <c r="E301" s="108" t="str">
        <f>+'LISTA DE INSUMOS'!C779</f>
        <v>Hr</v>
      </c>
      <c r="F301" s="160">
        <v>1</v>
      </c>
      <c r="G301" s="141">
        <f>'LISTA DE INSUMOS'!E779</f>
        <v>153535.49954600004</v>
      </c>
      <c r="H301" s="168">
        <f>1/60</f>
        <v>1.6666666666666666E-2</v>
      </c>
      <c r="I301" s="141">
        <f>ROUND((F301*G301*H301),0)</f>
        <v>2559</v>
      </c>
      <c r="J301" s="47"/>
      <c r="K301" s="143"/>
    </row>
    <row r="302" spans="2:11" ht="24.9" customHeight="1" thickTop="1" x14ac:dyDescent="0.2">
      <c r="B302" s="117" t="s">
        <v>1733</v>
      </c>
      <c r="C302" s="117"/>
      <c r="D302" s="112" t="s">
        <v>71</v>
      </c>
      <c r="E302" s="117" t="s">
        <v>2586</v>
      </c>
      <c r="F302" s="118"/>
      <c r="G302" s="119">
        <f>ROUND(SUM(I302:I309),0)</f>
        <v>188628</v>
      </c>
      <c r="H302" s="120"/>
      <c r="I302" s="119"/>
      <c r="J302" s="47"/>
      <c r="K302" s="143"/>
    </row>
    <row r="303" spans="2:11" ht="24.9" customHeight="1" thickBot="1" x14ac:dyDescent="0.25">
      <c r="B303" s="175" t="s">
        <v>1325</v>
      </c>
      <c r="C303" s="108" t="str">
        <f>+'LISTA DE INSUMOS'!A269</f>
        <v>MAT239</v>
      </c>
      <c r="D303" s="139" t="str">
        <f>+'LISTA DE INSUMOS'!B269</f>
        <v>Material granular SBG A TIPO INVIAS</v>
      </c>
      <c r="E303" s="108" t="str">
        <f>+'LISTA DE INSUMOS'!C269</f>
        <v>M3</v>
      </c>
      <c r="F303" s="140">
        <v>1</v>
      </c>
      <c r="G303" s="141">
        <f>'LISTA DE INSUMOS'!E269</f>
        <v>104650.06690874998</v>
      </c>
      <c r="H303" s="108">
        <v>1.3</v>
      </c>
      <c r="I303" s="141">
        <f t="shared" ref="I303:I308" si="2">ROUND((F303*G303*H303),0)</f>
        <v>136045</v>
      </c>
      <c r="J303" s="47"/>
      <c r="K303" s="143"/>
    </row>
    <row r="304" spans="2:11" ht="24.9" customHeight="1" thickTop="1" thickBot="1" x14ac:dyDescent="0.25">
      <c r="B304" s="169" t="s">
        <v>1310</v>
      </c>
      <c r="C304" s="166" t="str">
        <f>+B417</f>
        <v>ITE068</v>
      </c>
      <c r="D304" s="167" t="str">
        <f>+D417</f>
        <v>Transporte maquinaría pesada</v>
      </c>
      <c r="E304" s="108" t="str">
        <f>+E417</f>
        <v>Km</v>
      </c>
      <c r="F304" s="160">
        <v>60</v>
      </c>
      <c r="G304" s="141">
        <f>G417</f>
        <v>26702</v>
      </c>
      <c r="H304" s="142">
        <f>1/200</f>
        <v>5.0000000000000001E-3</v>
      </c>
      <c r="I304" s="141">
        <f t="shared" si="2"/>
        <v>8011</v>
      </c>
      <c r="J304" s="47"/>
      <c r="K304" s="143"/>
    </row>
    <row r="305" spans="2:12" ht="24.9" customHeight="1" thickTop="1" thickBot="1" x14ac:dyDescent="0.25">
      <c r="B305" s="158" t="s">
        <v>1034</v>
      </c>
      <c r="C305" s="108" t="str">
        <f>+'LISTA DE INSUMOS'!A9</f>
        <v>MOB006</v>
      </c>
      <c r="D305" s="139" t="str">
        <f>+'LISTA DE INSUMOS'!B9</f>
        <v>Cuadrilla A 1 Of + 4 Ay (jornal + prestaciones)</v>
      </c>
      <c r="E305" s="108" t="str">
        <f>+'LISTA DE INSUMOS'!C9</f>
        <v>Día</v>
      </c>
      <c r="F305" s="140">
        <v>1</v>
      </c>
      <c r="G305" s="141">
        <f>'LISTA DE INSUMOS'!E9</f>
        <v>491167</v>
      </c>
      <c r="H305" s="142">
        <f>1/20</f>
        <v>0.05</v>
      </c>
      <c r="I305" s="141">
        <f t="shared" si="2"/>
        <v>24558</v>
      </c>
      <c r="J305" s="47"/>
      <c r="K305" s="143"/>
    </row>
    <row r="306" spans="2:12" ht="24.9" customHeight="1" thickTop="1" x14ac:dyDescent="0.2">
      <c r="B306" s="674" t="s">
        <v>1033</v>
      </c>
      <c r="C306" s="108" t="str">
        <f>+'LISTA DE INSUMOS'!A764</f>
        <v>EQU008</v>
      </c>
      <c r="D306" s="139" t="str">
        <f>+'LISTA DE INSUMOS'!B764</f>
        <v xml:space="preserve">Motoniveladora </v>
      </c>
      <c r="E306" s="108" t="str">
        <f>+'LISTA DE INSUMOS'!C764</f>
        <v>Hr</v>
      </c>
      <c r="F306" s="140">
        <v>1</v>
      </c>
      <c r="G306" s="141">
        <f>'LISTA DE INSUMOS'!E764</f>
        <v>176527.98966364568</v>
      </c>
      <c r="H306" s="142">
        <f>1/20</f>
        <v>0.05</v>
      </c>
      <c r="I306" s="141">
        <f t="shared" si="2"/>
        <v>8826</v>
      </c>
      <c r="J306" s="47"/>
      <c r="K306" s="143"/>
    </row>
    <row r="307" spans="2:12" ht="24.9" customHeight="1" x14ac:dyDescent="0.2">
      <c r="B307" s="679"/>
      <c r="C307" s="108" t="str">
        <f>+'LISTA DE INSUMOS'!A770</f>
        <v>EQU013</v>
      </c>
      <c r="D307" s="139" t="str">
        <f>+'LISTA DE INSUMOS'!B770</f>
        <v>Cilindro compactador vibratorio Dynapac 7 ton</v>
      </c>
      <c r="E307" s="108" t="str">
        <f>+'LISTA DE INSUMOS'!C770</f>
        <v>Hr</v>
      </c>
      <c r="F307" s="140">
        <v>1</v>
      </c>
      <c r="G307" s="141">
        <f>'LISTA DE INSUMOS'!E770</f>
        <v>108633.95167481998</v>
      </c>
      <c r="H307" s="142">
        <f>1/20</f>
        <v>0.05</v>
      </c>
      <c r="I307" s="141">
        <f t="shared" si="2"/>
        <v>5432</v>
      </c>
      <c r="J307" s="47"/>
      <c r="K307" s="143"/>
      <c r="L307" s="179"/>
    </row>
    <row r="308" spans="2:12" ht="24.9" customHeight="1" thickBot="1" x14ac:dyDescent="0.25">
      <c r="B308" s="675"/>
      <c r="C308" s="108" t="str">
        <f>+'LISTA DE INSUMOS'!A780</f>
        <v>EQU023</v>
      </c>
      <c r="D308" s="139" t="str">
        <f>+'LISTA DE INSUMOS'!B780</f>
        <v>Carrotanque agua</v>
      </c>
      <c r="E308" s="108" t="str">
        <f>+'LISTA DE INSUMOS'!C780</f>
        <v>Hr</v>
      </c>
      <c r="F308" s="160">
        <v>1</v>
      </c>
      <c r="G308" s="141">
        <f>'LISTA DE INSUMOS'!E780</f>
        <v>80105.478023999996</v>
      </c>
      <c r="H308" s="142">
        <f>1/20</f>
        <v>0.05</v>
      </c>
      <c r="I308" s="141">
        <f t="shared" si="2"/>
        <v>4005</v>
      </c>
      <c r="J308" s="47"/>
      <c r="K308" s="143"/>
    </row>
    <row r="309" spans="2:12" ht="24.9" customHeight="1" thickTop="1" thickBot="1" x14ac:dyDescent="0.25">
      <c r="B309" s="171" t="s">
        <v>421</v>
      </c>
      <c r="C309" s="145" t="str">
        <f>+'LISTA DE INSUMOS'!A824</f>
        <v>ESY002</v>
      </c>
      <c r="D309" s="146" t="str">
        <f>+'LISTA DE INSUMOS'!B824</f>
        <v>Toma de densidades</v>
      </c>
      <c r="E309" s="145" t="str">
        <f>+'LISTA DE INSUMOS'!C824</f>
        <v>Un</v>
      </c>
      <c r="F309" s="172">
        <v>2.5000000000000001E-2</v>
      </c>
      <c r="G309" s="173">
        <f>'LISTA DE INSUMOS'!E824</f>
        <v>70022.270999999993</v>
      </c>
      <c r="H309" s="174">
        <v>0</v>
      </c>
      <c r="I309" s="148">
        <f>ROUND((F309*G309),0)</f>
        <v>1751</v>
      </c>
      <c r="J309" s="47"/>
      <c r="K309" s="143"/>
    </row>
    <row r="310" spans="2:12" ht="24.9" customHeight="1" x14ac:dyDescent="0.2">
      <c r="B310" s="117" t="s">
        <v>1731</v>
      </c>
      <c r="C310" s="117"/>
      <c r="D310" s="112" t="s">
        <v>72</v>
      </c>
      <c r="E310" s="117" t="s">
        <v>2586</v>
      </c>
      <c r="F310" s="118"/>
      <c r="G310" s="119">
        <f>ROUND(SUM(I310:I317),0)</f>
        <v>90825</v>
      </c>
      <c r="H310" s="120"/>
      <c r="I310" s="119"/>
      <c r="J310" s="47"/>
      <c r="K310" s="143"/>
    </row>
    <row r="311" spans="2:12" ht="24.9" customHeight="1" thickBot="1" x14ac:dyDescent="0.25">
      <c r="B311" s="175" t="s">
        <v>1325</v>
      </c>
      <c r="C311" s="108" t="str">
        <f>+'LISTA DE INSUMOS'!A299</f>
        <v>MAT271</v>
      </c>
      <c r="D311" s="139" t="str">
        <f>+'LISTA DE INSUMOS'!B299</f>
        <v>Afirmado</v>
      </c>
      <c r="E311" s="108" t="str">
        <f>+'LISTA DE INSUMOS'!C299</f>
        <v>M3</v>
      </c>
      <c r="F311" s="140">
        <v>1</v>
      </c>
      <c r="G311" s="141">
        <f>'LISTA DE INSUMOS'!E299</f>
        <v>55402.97659875</v>
      </c>
      <c r="H311" s="108">
        <v>1.3</v>
      </c>
      <c r="I311" s="141">
        <f t="shared" ref="I311:I328" si="3">ROUND((F311*G311*H311),0)</f>
        <v>72024</v>
      </c>
      <c r="J311" s="47"/>
      <c r="K311" s="143"/>
    </row>
    <row r="312" spans="2:12" ht="24.9" customHeight="1" thickTop="1" thickBot="1" x14ac:dyDescent="0.25">
      <c r="B312" s="169" t="s">
        <v>1310</v>
      </c>
      <c r="C312" s="166" t="str">
        <f>+B417</f>
        <v>ITE068</v>
      </c>
      <c r="D312" s="167" t="str">
        <f>+D417</f>
        <v>Transporte maquinaría pesada</v>
      </c>
      <c r="E312" s="108" t="str">
        <f>+E417</f>
        <v>Km</v>
      </c>
      <c r="F312" s="160">
        <v>60</v>
      </c>
      <c r="G312" s="141">
        <f>G417</f>
        <v>26702</v>
      </c>
      <c r="H312" s="142">
        <f>1/400</f>
        <v>2.5000000000000001E-3</v>
      </c>
      <c r="I312" s="141">
        <f>ROUND((F312*G312*H312),0)</f>
        <v>4005</v>
      </c>
      <c r="J312" s="47"/>
      <c r="K312" s="143"/>
    </row>
    <row r="313" spans="2:12" ht="24.9" customHeight="1" thickTop="1" thickBot="1" x14ac:dyDescent="0.25">
      <c r="B313" s="158" t="s">
        <v>1034</v>
      </c>
      <c r="C313" s="108" t="str">
        <f>+'LISTA DE INSUMOS'!A9</f>
        <v>MOB006</v>
      </c>
      <c r="D313" s="139" t="str">
        <f>+'LISTA DE INSUMOS'!B9</f>
        <v>Cuadrilla A 1 Of + 4 Ay (jornal + prestaciones)</v>
      </c>
      <c r="E313" s="108" t="str">
        <f>+'LISTA DE INSUMOS'!C9</f>
        <v>Día</v>
      </c>
      <c r="F313" s="140">
        <v>1</v>
      </c>
      <c r="G313" s="141">
        <f>'LISTA DE INSUMOS'!E9</f>
        <v>491167</v>
      </c>
      <c r="H313" s="142">
        <f>1/80</f>
        <v>1.2500000000000001E-2</v>
      </c>
      <c r="I313" s="141">
        <f t="shared" si="3"/>
        <v>6140</v>
      </c>
      <c r="J313" s="47"/>
      <c r="K313" s="143"/>
    </row>
    <row r="314" spans="2:12" ht="24.9" customHeight="1" thickTop="1" x14ac:dyDescent="0.2">
      <c r="B314" s="674" t="s">
        <v>1033</v>
      </c>
      <c r="C314" s="108" t="str">
        <f>+'LISTA DE INSUMOS'!A758</f>
        <v>EQU002</v>
      </c>
      <c r="D314" s="139" t="str">
        <f>+'LISTA DE INSUMOS'!B758</f>
        <v>Herramienta menor (% mano obra)</v>
      </c>
      <c r="E314" s="108" t="str">
        <f>+'LISTA DE INSUMOS'!C758</f>
        <v>%MO</v>
      </c>
      <c r="F314" s="140">
        <v>0.1</v>
      </c>
      <c r="G314" s="141">
        <f>I313</f>
        <v>6140</v>
      </c>
      <c r="H314" s="108">
        <v>0</v>
      </c>
      <c r="I314" s="141">
        <f>ROUND((F314*G314),0)</f>
        <v>614</v>
      </c>
      <c r="J314" s="47"/>
      <c r="K314" s="143"/>
    </row>
    <row r="315" spans="2:12" ht="24.9" customHeight="1" x14ac:dyDescent="0.2">
      <c r="B315" s="679"/>
      <c r="C315" s="108" t="str">
        <f>+'LISTA DE INSUMOS'!A770</f>
        <v>EQU013</v>
      </c>
      <c r="D315" s="139" t="str">
        <f>+'LISTA DE INSUMOS'!B770</f>
        <v>Cilindro compactador vibratorio Dynapac 7 ton</v>
      </c>
      <c r="E315" s="108" t="str">
        <f>+'LISTA DE INSUMOS'!C770</f>
        <v>Hr</v>
      </c>
      <c r="F315" s="140">
        <v>1</v>
      </c>
      <c r="G315" s="141">
        <f>'LISTA DE INSUMOS'!E770</f>
        <v>108633.95167481998</v>
      </c>
      <c r="H315" s="142">
        <f>1/30</f>
        <v>3.3333333333333333E-2</v>
      </c>
      <c r="I315" s="141">
        <f t="shared" si="3"/>
        <v>3621</v>
      </c>
      <c r="J315" s="47"/>
      <c r="K315" s="143"/>
    </row>
    <row r="316" spans="2:12" ht="24.9" customHeight="1" thickBot="1" x14ac:dyDescent="0.25">
      <c r="B316" s="675"/>
      <c r="C316" s="108" t="str">
        <f>+'LISTA DE INSUMOS'!A780</f>
        <v>EQU023</v>
      </c>
      <c r="D316" s="139" t="str">
        <f>+'LISTA DE INSUMOS'!B780</f>
        <v>Carrotanque agua</v>
      </c>
      <c r="E316" s="108" t="str">
        <f>+'LISTA DE INSUMOS'!C780</f>
        <v>Hr</v>
      </c>
      <c r="F316" s="160">
        <v>1</v>
      </c>
      <c r="G316" s="141">
        <f>'LISTA DE INSUMOS'!E780</f>
        <v>80105.478023999996</v>
      </c>
      <c r="H316" s="142">
        <f>1/30</f>
        <v>3.3333333333333333E-2</v>
      </c>
      <c r="I316" s="141">
        <f>ROUND((F316*G316*H316),0)</f>
        <v>2670</v>
      </c>
      <c r="J316" s="47"/>
      <c r="K316" s="143"/>
    </row>
    <row r="317" spans="2:12" ht="24.9" customHeight="1" thickTop="1" thickBot="1" x14ac:dyDescent="0.25">
      <c r="B317" s="171" t="s">
        <v>421</v>
      </c>
      <c r="C317" s="145" t="str">
        <f>+'LISTA DE INSUMOS'!A824</f>
        <v>ESY002</v>
      </c>
      <c r="D317" s="146" t="str">
        <f>+'LISTA DE INSUMOS'!B824</f>
        <v>Toma de densidades</v>
      </c>
      <c r="E317" s="145" t="str">
        <f>+'LISTA DE INSUMOS'!C824</f>
        <v>Un</v>
      </c>
      <c r="F317" s="172">
        <f>1/40</f>
        <v>2.5000000000000001E-2</v>
      </c>
      <c r="G317" s="173">
        <f>'LISTA DE INSUMOS'!E824</f>
        <v>70022.270999999993</v>
      </c>
      <c r="H317" s="174">
        <v>0</v>
      </c>
      <c r="I317" s="148">
        <f>ROUND((F317*G317),0)</f>
        <v>1751</v>
      </c>
      <c r="J317" s="47"/>
      <c r="K317" s="143"/>
    </row>
    <row r="318" spans="2:12" ht="24.9" customHeight="1" x14ac:dyDescent="0.2">
      <c r="B318" s="117" t="s">
        <v>1429</v>
      </c>
      <c r="C318" s="117"/>
      <c r="D318" s="112" t="s">
        <v>1451</v>
      </c>
      <c r="E318" s="117" t="s">
        <v>2586</v>
      </c>
      <c r="F318" s="118"/>
      <c r="G318" s="119">
        <f>ROUND(SUM(I318:I325),0)</f>
        <v>141837</v>
      </c>
      <c r="H318" s="120"/>
      <c r="I318" s="119"/>
      <c r="J318" s="47"/>
      <c r="K318" s="143"/>
    </row>
    <row r="319" spans="2:12" ht="24.9" customHeight="1" thickBot="1" x14ac:dyDescent="0.25">
      <c r="B319" s="175" t="s">
        <v>1325</v>
      </c>
      <c r="C319" s="108" t="str">
        <f>+'LISTA DE INSUMOS'!A205</f>
        <v>MAT165</v>
      </c>
      <c r="D319" s="139" t="str">
        <f>+'LISTA DE INSUMOS'!B205</f>
        <v>Material granular tipo BG A</v>
      </c>
      <c r="E319" s="108" t="str">
        <f>+'LISTA DE INSUMOS'!C205</f>
        <v>M3</v>
      </c>
      <c r="F319" s="140">
        <v>1</v>
      </c>
      <c r="G319" s="141">
        <f>'LISTA DE INSUMOS'!E205</f>
        <v>79637.100387123661</v>
      </c>
      <c r="H319" s="108">
        <v>1.3</v>
      </c>
      <c r="I319" s="141">
        <f t="shared" si="3"/>
        <v>103528</v>
      </c>
      <c r="J319" s="47"/>
      <c r="K319" s="143"/>
    </row>
    <row r="320" spans="2:12" ht="24.9" customHeight="1" thickTop="1" thickBot="1" x14ac:dyDescent="0.25">
      <c r="B320" s="169" t="s">
        <v>1310</v>
      </c>
      <c r="C320" s="166" t="str">
        <f>+B417</f>
        <v>ITE068</v>
      </c>
      <c r="D320" s="167" t="str">
        <f>+D417</f>
        <v>Transporte maquinaría pesada</v>
      </c>
      <c r="E320" s="108" t="str">
        <f>+E417</f>
        <v>Km</v>
      </c>
      <c r="F320" s="160">
        <v>60</v>
      </c>
      <c r="G320" s="141">
        <f>G417</f>
        <v>26702</v>
      </c>
      <c r="H320" s="168">
        <f>1/200</f>
        <v>5.0000000000000001E-3</v>
      </c>
      <c r="I320" s="141">
        <f>ROUND((F320*G320*H320),0)</f>
        <v>8011</v>
      </c>
      <c r="J320" s="47"/>
      <c r="K320" s="143"/>
    </row>
    <row r="321" spans="2:39" ht="24.9" customHeight="1" thickTop="1" thickBot="1" x14ac:dyDescent="0.25">
      <c r="B321" s="158" t="s">
        <v>1034</v>
      </c>
      <c r="C321" s="108" t="str">
        <f>+'LISTA DE INSUMOS'!A9</f>
        <v>MOB006</v>
      </c>
      <c r="D321" s="139" t="str">
        <f>+'LISTA DE INSUMOS'!B9</f>
        <v>Cuadrilla A 1 Of + 4 Ay (jornal + prestaciones)</v>
      </c>
      <c r="E321" s="108" t="str">
        <f>+'LISTA DE INSUMOS'!C9</f>
        <v>Día</v>
      </c>
      <c r="F321" s="140">
        <v>1</v>
      </c>
      <c r="G321" s="141">
        <f>'LISTA DE INSUMOS'!E9</f>
        <v>491167</v>
      </c>
      <c r="H321" s="142">
        <f>1/30</f>
        <v>3.3333333333333333E-2</v>
      </c>
      <c r="I321" s="141">
        <f t="shared" si="3"/>
        <v>16372</v>
      </c>
      <c r="J321" s="47"/>
      <c r="K321" s="143"/>
    </row>
    <row r="322" spans="2:39" ht="24.9" customHeight="1" thickTop="1" x14ac:dyDescent="0.2">
      <c r="B322" s="674" t="s">
        <v>1033</v>
      </c>
      <c r="C322" s="108" t="str">
        <f>+'LISTA DE INSUMOS'!A764</f>
        <v>EQU008</v>
      </c>
      <c r="D322" s="139" t="str">
        <f>+'LISTA DE INSUMOS'!B764</f>
        <v xml:space="preserve">Motoniveladora </v>
      </c>
      <c r="E322" s="108" t="str">
        <f>+'LISTA DE INSUMOS'!C764</f>
        <v>Hr</v>
      </c>
      <c r="F322" s="140">
        <v>1</v>
      </c>
      <c r="G322" s="141">
        <f>'LISTA DE INSUMOS'!E764</f>
        <v>176527.98966364568</v>
      </c>
      <c r="H322" s="142">
        <f>1/30</f>
        <v>3.3333333333333333E-2</v>
      </c>
      <c r="I322" s="141">
        <f t="shared" si="3"/>
        <v>5884</v>
      </c>
      <c r="J322" s="47"/>
      <c r="K322" s="143"/>
    </row>
    <row r="323" spans="2:39" ht="24.9" customHeight="1" x14ac:dyDescent="0.2">
      <c r="B323" s="679"/>
      <c r="C323" s="108" t="str">
        <f>+'LISTA DE INSUMOS'!A770</f>
        <v>EQU013</v>
      </c>
      <c r="D323" s="139" t="str">
        <f>+'LISTA DE INSUMOS'!B770</f>
        <v>Cilindro compactador vibratorio Dynapac 7 ton</v>
      </c>
      <c r="E323" s="108" t="str">
        <f>+'LISTA DE INSUMOS'!C770</f>
        <v>Hr</v>
      </c>
      <c r="F323" s="140">
        <v>1</v>
      </c>
      <c r="G323" s="141">
        <f>'LISTA DE INSUMOS'!E770</f>
        <v>108633.95167481998</v>
      </c>
      <c r="H323" s="142">
        <f>1/30</f>
        <v>3.3333333333333333E-2</v>
      </c>
      <c r="I323" s="141">
        <f t="shared" si="3"/>
        <v>3621</v>
      </c>
      <c r="J323" s="47"/>
      <c r="K323" s="143"/>
    </row>
    <row r="324" spans="2:39" ht="24.9" customHeight="1" thickBot="1" x14ac:dyDescent="0.25">
      <c r="B324" s="675"/>
      <c r="C324" s="108" t="str">
        <f>+'LISTA DE INSUMOS'!A780</f>
        <v>EQU023</v>
      </c>
      <c r="D324" s="139" t="str">
        <f>+'LISTA DE INSUMOS'!B780</f>
        <v>Carrotanque agua</v>
      </c>
      <c r="E324" s="108" t="str">
        <f>+'LISTA DE INSUMOS'!C780</f>
        <v>Hr</v>
      </c>
      <c r="F324" s="160">
        <v>1</v>
      </c>
      <c r="G324" s="141">
        <f>'LISTA DE INSUMOS'!E780</f>
        <v>80105.478023999996</v>
      </c>
      <c r="H324" s="142">
        <f>1/30</f>
        <v>3.3333333333333333E-2</v>
      </c>
      <c r="I324" s="141">
        <f>ROUND((F324*G324*H324),0)</f>
        <v>2670</v>
      </c>
      <c r="J324" s="47"/>
      <c r="K324" s="143"/>
    </row>
    <row r="325" spans="2:39" ht="24.9" customHeight="1" thickTop="1" thickBot="1" x14ac:dyDescent="0.25">
      <c r="B325" s="171" t="s">
        <v>421</v>
      </c>
      <c r="C325" s="145" t="str">
        <f>+'LISTA DE INSUMOS'!A824</f>
        <v>ESY002</v>
      </c>
      <c r="D325" s="146" t="str">
        <f>+'LISTA DE INSUMOS'!B824</f>
        <v>Toma de densidades</v>
      </c>
      <c r="E325" s="145" t="str">
        <f>+'LISTA DE INSUMOS'!C824</f>
        <v>Un</v>
      </c>
      <c r="F325" s="172">
        <f>1/40</f>
        <v>2.5000000000000001E-2</v>
      </c>
      <c r="G325" s="173">
        <f>'LISTA DE INSUMOS'!E824</f>
        <v>70022.270999999993</v>
      </c>
      <c r="H325" s="174">
        <v>0</v>
      </c>
      <c r="I325" s="148">
        <f>ROUND((F325*G325),0)</f>
        <v>1751</v>
      </c>
      <c r="J325" s="47"/>
      <c r="K325" s="143"/>
    </row>
    <row r="326" spans="2:39" ht="24.9" customHeight="1" x14ac:dyDescent="0.2">
      <c r="B326" s="117" t="s">
        <v>1963</v>
      </c>
      <c r="C326" s="117"/>
      <c r="D326" s="112" t="s">
        <v>1328</v>
      </c>
      <c r="E326" s="117" t="s">
        <v>2586</v>
      </c>
      <c r="F326" s="118"/>
      <c r="G326" s="119">
        <f>ROUND(SUM(I326:I330),0)</f>
        <v>157659</v>
      </c>
      <c r="H326" s="120"/>
      <c r="I326" s="119"/>
      <c r="J326" s="47"/>
      <c r="K326" s="143"/>
    </row>
    <row r="327" spans="2:39" ht="24.9" customHeight="1" thickBot="1" x14ac:dyDescent="0.25">
      <c r="B327" s="175" t="s">
        <v>1325</v>
      </c>
      <c r="C327" s="108" t="str">
        <f>+'LISTA DE INSUMOS'!A38</f>
        <v>MAT009</v>
      </c>
      <c r="D327" s="139" t="str">
        <f>+'LISTA DE INSUMOS'!B38</f>
        <v>Material seleccionado para filtro</v>
      </c>
      <c r="E327" s="108" t="str">
        <f>+'LISTA DE INSUMOS'!C38</f>
        <v>M3</v>
      </c>
      <c r="F327" s="140">
        <v>1</v>
      </c>
      <c r="G327" s="141">
        <f>'LISTA DE INSUMOS'!E38</f>
        <v>112536.56002875</v>
      </c>
      <c r="H327" s="108">
        <v>1.1499999999999999</v>
      </c>
      <c r="I327" s="141">
        <f t="shared" si="3"/>
        <v>129417</v>
      </c>
      <c r="J327" s="47"/>
      <c r="K327" s="143"/>
    </row>
    <row r="328" spans="2:39" ht="24.9" customHeight="1" thickTop="1" x14ac:dyDescent="0.2">
      <c r="B328" s="678" t="s">
        <v>1034</v>
      </c>
      <c r="C328" s="108" t="str">
        <f>+'LISTA DE INSUMOS'!A9</f>
        <v>MOB006</v>
      </c>
      <c r="D328" s="139" t="str">
        <f>+'LISTA DE INSUMOS'!B9</f>
        <v>Cuadrilla A 1 Of + 4 Ay (jornal + prestaciones)</v>
      </c>
      <c r="E328" s="108" t="str">
        <f>+'LISTA DE INSUMOS'!C9</f>
        <v>Día</v>
      </c>
      <c r="F328" s="140">
        <v>1</v>
      </c>
      <c r="G328" s="141">
        <f>'LISTA DE INSUMOS'!E9</f>
        <v>491167</v>
      </c>
      <c r="H328" s="108">
        <f>1/20</f>
        <v>0.05</v>
      </c>
      <c r="I328" s="141">
        <f t="shared" si="3"/>
        <v>24558</v>
      </c>
      <c r="J328" s="47"/>
      <c r="K328" s="143"/>
    </row>
    <row r="329" spans="2:39" ht="24.9" customHeight="1" thickBot="1" x14ac:dyDescent="0.25">
      <c r="B329" s="705"/>
      <c r="C329" s="108" t="str">
        <f>+'LISTA DE INSUMOS'!A14</f>
        <v>MOB011</v>
      </c>
      <c r="D329" s="139" t="str">
        <f>+'LISTA DE INSUMOS'!B14</f>
        <v>Acarreo Horizontal (% mano obra)</v>
      </c>
      <c r="E329" s="108" t="str">
        <f>+'LISTA DE INSUMOS'!C14</f>
        <v>% MO</v>
      </c>
      <c r="F329" s="140">
        <v>0.05</v>
      </c>
      <c r="G329" s="141">
        <f>I328</f>
        <v>24558</v>
      </c>
      <c r="H329" s="108">
        <v>0</v>
      </c>
      <c r="I329" s="141">
        <f>ROUND((F329*G329),0)</f>
        <v>1228</v>
      </c>
      <c r="J329" s="47"/>
      <c r="K329" s="143"/>
    </row>
    <row r="330" spans="2:39" ht="24.9" customHeight="1" thickTop="1" thickBot="1" x14ac:dyDescent="0.25">
      <c r="B330" s="150" t="s">
        <v>1033</v>
      </c>
      <c r="C330" s="151" t="str">
        <f>+'LISTA DE INSUMOS'!A758</f>
        <v>EQU002</v>
      </c>
      <c r="D330" s="146" t="str">
        <f>+'LISTA DE INSUMOS'!B758</f>
        <v>Herramienta menor (% mano obra)</v>
      </c>
      <c r="E330" s="145" t="str">
        <f>+'LISTA DE INSUMOS'!C758</f>
        <v>%MO</v>
      </c>
      <c r="F330" s="147">
        <v>0.1</v>
      </c>
      <c r="G330" s="148">
        <f>I328</f>
        <v>24558</v>
      </c>
      <c r="H330" s="145">
        <v>0</v>
      </c>
      <c r="I330" s="148">
        <f>ROUND((F330*G330),0)</f>
        <v>2456</v>
      </c>
      <c r="J330" s="47"/>
      <c r="K330" s="143"/>
    </row>
    <row r="331" spans="2:39" ht="24.9" customHeight="1" thickBot="1" x14ac:dyDescent="0.25">
      <c r="B331" s="117" t="s">
        <v>1964</v>
      </c>
      <c r="C331" s="117"/>
      <c r="D331" s="112" t="s">
        <v>422</v>
      </c>
      <c r="E331" s="117" t="s">
        <v>2586</v>
      </c>
      <c r="F331" s="118"/>
      <c r="G331" s="119">
        <f>ROUND(SUM(I331:I333),0)</f>
        <v>5613</v>
      </c>
      <c r="H331" s="120"/>
      <c r="I331" s="119"/>
      <c r="J331" s="47"/>
      <c r="K331" s="143"/>
    </row>
    <row r="332" spans="2:39" ht="24.9" customHeight="1" thickTop="1" thickBot="1" x14ac:dyDescent="0.25">
      <c r="B332" s="158" t="s">
        <v>1034</v>
      </c>
      <c r="C332" s="108" t="str">
        <f>+'LISTA DE INSUMOS'!A7</f>
        <v>MOB004</v>
      </c>
      <c r="D332" s="139" t="str">
        <f>+'LISTA DE INSUMOS'!B7</f>
        <v>Ayudante (jornal + prestaciones)</v>
      </c>
      <c r="E332" s="108" t="str">
        <f>+'LISTA DE INSUMOS'!C7</f>
        <v>Dia</v>
      </c>
      <c r="F332" s="140">
        <v>1</v>
      </c>
      <c r="G332" s="141">
        <f>+'LISTA DE INSUMOS'!E7</f>
        <v>81861</v>
      </c>
      <c r="H332" s="142">
        <f>1/300</f>
        <v>3.3333333333333335E-3</v>
      </c>
      <c r="I332" s="141">
        <f>ROUND((F332*G332*H332),0)</f>
        <v>273</v>
      </c>
      <c r="J332" s="47"/>
      <c r="K332" s="143"/>
    </row>
    <row r="333" spans="2:39" ht="24.9" customHeight="1" thickTop="1" thickBot="1" x14ac:dyDescent="0.25">
      <c r="B333" s="150" t="s">
        <v>1033</v>
      </c>
      <c r="C333" s="151" t="str">
        <f>+'LISTA DE INSUMOS'!A781</f>
        <v>EQU024</v>
      </c>
      <c r="D333" s="146" t="str">
        <f>+'LISTA DE INSUMOS'!B781</f>
        <v>Retroexcavadora de orugas  capacidad 0,9 M3</v>
      </c>
      <c r="E333" s="145" t="str">
        <f>+'LISTA DE INSUMOS'!C765</f>
        <v>Hr</v>
      </c>
      <c r="F333" s="147">
        <v>1</v>
      </c>
      <c r="G333" s="148">
        <f>'LISTA DE INSUMOS'!E781</f>
        <v>186912.78205599997</v>
      </c>
      <c r="H333" s="154">
        <f>1/35</f>
        <v>2.8571428571428571E-2</v>
      </c>
      <c r="I333" s="148">
        <f>ROUND((F333*G333*H333),0)</f>
        <v>5340</v>
      </c>
      <c r="J333" s="47"/>
      <c r="K333" s="143"/>
    </row>
    <row r="334" spans="2:39" ht="24.9" customHeight="1" x14ac:dyDescent="0.2">
      <c r="B334" s="117" t="s">
        <v>1942</v>
      </c>
      <c r="C334" s="117"/>
      <c r="D334" s="112" t="s">
        <v>2434</v>
      </c>
      <c r="E334" s="117" t="s">
        <v>2587</v>
      </c>
      <c r="F334" s="118"/>
      <c r="G334" s="119">
        <f>ROUND(SUM(I334:I335),0)</f>
        <v>1797</v>
      </c>
      <c r="H334" s="120"/>
      <c r="I334" s="119"/>
      <c r="J334" s="47"/>
      <c r="K334" s="143"/>
    </row>
    <row r="335" spans="2:39" ht="24.9" customHeight="1" thickBot="1" x14ac:dyDescent="0.25">
      <c r="B335" s="157" t="s">
        <v>1033</v>
      </c>
      <c r="C335" s="151" t="str">
        <f>+'LISTA DE INSUMOS'!A766</f>
        <v>EQU010</v>
      </c>
      <c r="D335" s="146" t="str">
        <f>+'LISTA DE INSUMOS'!B766</f>
        <v>Volqueta 7 m3</v>
      </c>
      <c r="E335" s="145" t="str">
        <f>+'LISTA DE INSUMOS'!C766</f>
        <v>Hr</v>
      </c>
      <c r="F335" s="147">
        <v>1</v>
      </c>
      <c r="G335" s="148">
        <f>'LISTA DE INSUMOS'!E766</f>
        <v>89861.914449999997</v>
      </c>
      <c r="H335" s="154">
        <f>1/50</f>
        <v>0.02</v>
      </c>
      <c r="I335" s="148">
        <f>ROUND((F335*G335*H335),0)</f>
        <v>1797</v>
      </c>
      <c r="J335" s="47"/>
      <c r="K335" s="143"/>
    </row>
    <row r="336" spans="2:39" ht="24.9" customHeight="1" x14ac:dyDescent="0.2">
      <c r="B336" s="117" t="s">
        <v>1943</v>
      </c>
      <c r="C336" s="117"/>
      <c r="D336" s="112" t="s">
        <v>2435</v>
      </c>
      <c r="E336" s="117" t="s">
        <v>2587</v>
      </c>
      <c r="F336" s="118"/>
      <c r="G336" s="119">
        <f>ROUND(SUM(I336:I337),0)</f>
        <v>1634</v>
      </c>
      <c r="H336" s="120"/>
      <c r="I336" s="119"/>
      <c r="J336" s="47">
        <v>1400</v>
      </c>
      <c r="K336" s="143"/>
      <c r="L336" s="104">
        <v>1360</v>
      </c>
      <c r="Q336" s="104">
        <v>1421</v>
      </c>
      <c r="S336" s="104">
        <v>960</v>
      </c>
      <c r="U336" s="104">
        <v>1270</v>
      </c>
      <c r="V336" s="104">
        <v>2178</v>
      </c>
      <c r="AA336" s="104">
        <v>1100</v>
      </c>
      <c r="AB336" s="104">
        <v>1100</v>
      </c>
      <c r="AD336" s="104">
        <v>1478</v>
      </c>
      <c r="AK336" s="104">
        <v>1000</v>
      </c>
      <c r="AL336" s="104">
        <v>700</v>
      </c>
      <c r="AM336" s="104">
        <v>1182</v>
      </c>
    </row>
    <row r="337" spans="2:11" ht="24.9" customHeight="1" thickBot="1" x14ac:dyDescent="0.25">
      <c r="B337" s="157" t="s">
        <v>1033</v>
      </c>
      <c r="C337" s="151" t="str">
        <f>+'LISTA DE INSUMOS'!A766</f>
        <v>EQU010</v>
      </c>
      <c r="D337" s="146" t="str">
        <f>+'LISTA DE INSUMOS'!B766</f>
        <v>Volqueta 7 m3</v>
      </c>
      <c r="E337" s="145" t="str">
        <f>+'LISTA DE INSUMOS'!C766</f>
        <v>Hr</v>
      </c>
      <c r="F337" s="147">
        <v>1</v>
      </c>
      <c r="G337" s="148">
        <f>'LISTA DE INSUMOS'!E766</f>
        <v>89861.914449999997</v>
      </c>
      <c r="H337" s="154">
        <f>1/55</f>
        <v>1.8181818181818181E-2</v>
      </c>
      <c r="I337" s="148">
        <f>ROUND((F337*G337*H337),0)</f>
        <v>1634</v>
      </c>
      <c r="J337" s="47"/>
      <c r="K337" s="143">
        <v>1100</v>
      </c>
    </row>
    <row r="338" spans="2:11" ht="24.75" customHeight="1" x14ac:dyDescent="0.2">
      <c r="B338" s="117" t="s">
        <v>1450</v>
      </c>
      <c r="C338" s="117"/>
      <c r="D338" s="112" t="s">
        <v>1971</v>
      </c>
      <c r="E338" s="117" t="s">
        <v>2587</v>
      </c>
      <c r="F338" s="118"/>
      <c r="G338" s="119">
        <f>ROUND(SUM(I338:I339),0)</f>
        <v>1707</v>
      </c>
      <c r="H338" s="120"/>
      <c r="I338" s="119"/>
      <c r="J338" s="47"/>
      <c r="K338" s="143"/>
    </row>
    <row r="339" spans="2:11" ht="24.9" customHeight="1" thickBot="1" x14ac:dyDescent="0.25">
      <c r="B339" s="157" t="s">
        <v>1033</v>
      </c>
      <c r="C339" s="151" t="str">
        <f>+'LISTA DE INSUMOS'!A766</f>
        <v>EQU010</v>
      </c>
      <c r="D339" s="146" t="str">
        <f>+'LISTA DE INSUMOS'!B766</f>
        <v>Volqueta 7 m3</v>
      </c>
      <c r="E339" s="145" t="str">
        <f>+'LISTA DE INSUMOS'!C766</f>
        <v>Hr</v>
      </c>
      <c r="F339" s="147">
        <v>1</v>
      </c>
      <c r="G339" s="148">
        <f>'LISTA DE INSUMOS'!E766</f>
        <v>89861.914449999997</v>
      </c>
      <c r="H339" s="154">
        <v>1.9E-2</v>
      </c>
      <c r="I339" s="148">
        <f>ROUND((F339*G339*H339),0)</f>
        <v>1707</v>
      </c>
      <c r="J339" s="47"/>
      <c r="K339" s="143"/>
    </row>
    <row r="340" spans="2:11" ht="24.9" customHeight="1" thickBot="1" x14ac:dyDescent="0.25">
      <c r="B340" s="117" t="s">
        <v>1744</v>
      </c>
      <c r="C340" s="117"/>
      <c r="D340" s="112" t="s">
        <v>3163</v>
      </c>
      <c r="E340" s="117" t="s">
        <v>2586</v>
      </c>
      <c r="F340" s="118"/>
      <c r="G340" s="119">
        <f>ROUND(SUM(I340:I344),0)</f>
        <v>52880</v>
      </c>
      <c r="H340" s="120"/>
      <c r="I340" s="119"/>
      <c r="J340" s="47"/>
      <c r="K340" s="143"/>
    </row>
    <row r="341" spans="2:11" ht="24.9" customHeight="1" thickTop="1" thickBot="1" x14ac:dyDescent="0.25">
      <c r="B341" s="165" t="s">
        <v>1310</v>
      </c>
      <c r="C341" s="180" t="str">
        <f>+B336</f>
        <v>ITE056</v>
      </c>
      <c r="D341" s="181" t="str">
        <f>+D336</f>
        <v xml:space="preserve">Transporte material &lt; 40 Km </v>
      </c>
      <c r="E341" s="180" t="str">
        <f>+E336</f>
        <v>M3-Km</v>
      </c>
      <c r="F341" s="163">
        <v>15</v>
      </c>
      <c r="G341" s="164">
        <f>G336</f>
        <v>1634</v>
      </c>
      <c r="H341" s="161">
        <v>0</v>
      </c>
      <c r="I341" s="164">
        <f>ROUND((F341*G341),0)</f>
        <v>24510</v>
      </c>
      <c r="J341" s="47"/>
      <c r="K341" s="143"/>
    </row>
    <row r="342" spans="2:11" ht="24.9" customHeight="1" thickTop="1" thickBot="1" x14ac:dyDescent="0.25">
      <c r="B342" s="158" t="s">
        <v>1034</v>
      </c>
      <c r="C342" s="161" t="str">
        <f>+'LISTA DE INSUMOS'!A21</f>
        <v>MOB018</v>
      </c>
      <c r="D342" s="162" t="str">
        <f>+'LISTA DE INSUMOS'!B21</f>
        <v>Cuadrilla H 4 Ay (jornal + prestaciones)</v>
      </c>
      <c r="E342" s="161" t="str">
        <f>+'LISTA DE INSUMOS'!C21</f>
        <v>Día</v>
      </c>
      <c r="F342" s="182">
        <v>1</v>
      </c>
      <c r="G342" s="164">
        <f>'LISTA DE INSUMOS'!E21</f>
        <v>327444</v>
      </c>
      <c r="H342" s="183">
        <f>1/20</f>
        <v>0.05</v>
      </c>
      <c r="I342" s="164">
        <f>H342*G342+F342</f>
        <v>16373.2</v>
      </c>
      <c r="J342" s="47"/>
      <c r="K342" s="143"/>
    </row>
    <row r="343" spans="2:11" ht="24.9" customHeight="1" thickTop="1" x14ac:dyDescent="0.2">
      <c r="B343" s="670" t="s">
        <v>1033</v>
      </c>
      <c r="C343" s="161" t="str">
        <f>'LISTA DE INSUMOS'!A821</f>
        <v>EQU066</v>
      </c>
      <c r="D343" s="162" t="str">
        <f>'LISTA DE INSUMOS'!B821</f>
        <v xml:space="preserve">Costo sitio de disposiciòn </v>
      </c>
      <c r="E343" s="161" t="s">
        <v>1432</v>
      </c>
      <c r="F343" s="182">
        <v>1</v>
      </c>
      <c r="G343" s="164">
        <f>'LISTA DE INSUMOS'!E821</f>
        <v>11670.378499999999</v>
      </c>
      <c r="H343" s="183">
        <v>1</v>
      </c>
      <c r="I343" s="164">
        <f>ROUND((F343*G343*H343),0)</f>
        <v>11670</v>
      </c>
      <c r="J343" s="47"/>
      <c r="K343" s="143"/>
    </row>
    <row r="344" spans="2:11" ht="24.9" customHeight="1" thickBot="1" x14ac:dyDescent="0.25">
      <c r="B344" s="750"/>
      <c r="C344" s="184" t="str">
        <f>+'LISTA DE INSUMOS'!A758</f>
        <v>EQU002</v>
      </c>
      <c r="D344" s="185" t="str">
        <f>+'LISTA DE INSUMOS'!B758</f>
        <v>Herramienta menor (% mano obra)</v>
      </c>
      <c r="E344" s="186" t="str">
        <f>+'LISTA DE INSUMOS'!C758</f>
        <v>%MO</v>
      </c>
      <c r="F344" s="187">
        <v>0.02</v>
      </c>
      <c r="G344" s="188">
        <f>I342</f>
        <v>16373.2</v>
      </c>
      <c r="H344" s="186">
        <v>0</v>
      </c>
      <c r="I344" s="188">
        <f>ROUND((F344*G344),0)</f>
        <v>327</v>
      </c>
      <c r="J344" s="47"/>
      <c r="K344" s="143"/>
    </row>
    <row r="345" spans="2:11" ht="24.9" customHeight="1" x14ac:dyDescent="0.2">
      <c r="B345" s="117" t="s">
        <v>1474</v>
      </c>
      <c r="C345" s="117"/>
      <c r="D345" s="112" t="s">
        <v>1659</v>
      </c>
      <c r="E345" s="117" t="s">
        <v>2586</v>
      </c>
      <c r="F345" s="118"/>
      <c r="G345" s="119">
        <f>ROUND(SUM(I345:I354),0)-1</f>
        <v>345427</v>
      </c>
      <c r="H345" s="120"/>
      <c r="I345" s="119"/>
      <c r="J345" s="47">
        <v>215932</v>
      </c>
      <c r="K345" s="143"/>
    </row>
    <row r="346" spans="2:11" ht="24.9" customHeight="1" x14ac:dyDescent="0.2">
      <c r="B346" s="672" t="s">
        <v>1035</v>
      </c>
      <c r="C346" s="108" t="str">
        <f>+'LISTA DE INSUMOS'!A34</f>
        <v>MAT005</v>
      </c>
      <c r="D346" s="139" t="str">
        <f>+'LISTA DE INSUMOS'!B34</f>
        <v>Piedra media zonga</v>
      </c>
      <c r="E346" s="108" t="str">
        <f>+'LISTA DE INSUMOS'!C34</f>
        <v>M3</v>
      </c>
      <c r="F346" s="140">
        <v>1</v>
      </c>
      <c r="G346" s="141">
        <f>'LISTA DE INSUMOS'!E34</f>
        <v>120549.00000000001</v>
      </c>
      <c r="H346" s="108">
        <v>1.03</v>
      </c>
      <c r="I346" s="141">
        <f>ROUND((F346*G346*H346),0)</f>
        <v>124165</v>
      </c>
      <c r="J346" s="47"/>
      <c r="K346" s="143"/>
    </row>
    <row r="347" spans="2:11" ht="24.9" customHeight="1" x14ac:dyDescent="0.2">
      <c r="B347" s="672"/>
      <c r="C347" s="108" t="str">
        <f>+'LISTA DE INSUMOS'!A46</f>
        <v>MAT017</v>
      </c>
      <c r="D347" s="139" t="str">
        <f>+'LISTA DE INSUMOS'!B46</f>
        <v>Tabla para formaleta de 1" x 10" x 2,9 m</v>
      </c>
      <c r="E347" s="108" t="str">
        <f>+'LISTA DE INSUMOS'!C46</f>
        <v>M</v>
      </c>
      <c r="F347" s="140">
        <v>6</v>
      </c>
      <c r="G347" s="141">
        <f>'LISTA DE INSUMOS'!E46</f>
        <v>8112.0359999999991</v>
      </c>
      <c r="H347" s="108">
        <f>1/3</f>
        <v>0.33333333333333331</v>
      </c>
      <c r="I347" s="141">
        <f>ROUND((F347*G347*H347),0)</f>
        <v>16224</v>
      </c>
      <c r="J347" s="47"/>
      <c r="K347" s="143"/>
    </row>
    <row r="348" spans="2:11" ht="24.9" customHeight="1" x14ac:dyDescent="0.2">
      <c r="B348" s="672"/>
      <c r="C348" s="108" t="str">
        <f>+'LISTA DE INSUMOS'!A49</f>
        <v>MAT018</v>
      </c>
      <c r="D348" s="139" t="str">
        <f>+'LISTA DE INSUMOS'!B49</f>
        <v>Cuartón de sajo 2" x 4" x 2,9 m</v>
      </c>
      <c r="E348" s="108" t="str">
        <f>+'LISTA DE INSUMOS'!C49</f>
        <v>M</v>
      </c>
      <c r="F348" s="140">
        <v>3</v>
      </c>
      <c r="G348" s="141">
        <f>'LISTA DE INSUMOS'!E49</f>
        <v>11944.810644542158</v>
      </c>
      <c r="H348" s="108">
        <f>1/3</f>
        <v>0.33333333333333331</v>
      </c>
      <c r="I348" s="141">
        <f>ROUND((F348*G348*H348),0)</f>
        <v>11945</v>
      </c>
      <c r="J348" s="47"/>
      <c r="K348" s="143"/>
    </row>
    <row r="349" spans="2:11" ht="24.9" customHeight="1" x14ac:dyDescent="0.2">
      <c r="B349" s="672"/>
      <c r="C349" s="125" t="s">
        <v>1102</v>
      </c>
      <c r="D349" s="47" t="s">
        <v>1239</v>
      </c>
      <c r="E349" s="125" t="s">
        <v>1435</v>
      </c>
      <c r="F349" s="140">
        <v>0.5</v>
      </c>
      <c r="G349" s="515">
        <f>'LISTA DE INSUMOS'!E336</f>
        <v>189471.81980538898</v>
      </c>
      <c r="H349" s="108">
        <v>0</v>
      </c>
      <c r="I349" s="141">
        <f>ROUND((F349*G349),0)</f>
        <v>94736</v>
      </c>
      <c r="J349" s="47"/>
      <c r="K349" s="143"/>
    </row>
    <row r="350" spans="2:11" ht="24.75" customHeight="1" thickBot="1" x14ac:dyDescent="0.25">
      <c r="B350" s="673"/>
      <c r="C350" s="108" t="str">
        <f>+'LISTA DE INSUMOS'!A190</f>
        <v>MAT148</v>
      </c>
      <c r="D350" s="139" t="str">
        <f>+'LISTA DE INSUMOS'!B190</f>
        <v xml:space="preserve">Alambre galvanizado C 12 </v>
      </c>
      <c r="E350" s="108" t="str">
        <f>+'LISTA DE INSUMOS'!C190</f>
        <v>Kg</v>
      </c>
      <c r="F350" s="140">
        <v>1.75</v>
      </c>
      <c r="G350" s="141">
        <f>'LISTA DE INSUMOS'!E190</f>
        <v>10174.934703779998</v>
      </c>
      <c r="H350" s="108">
        <v>0</v>
      </c>
      <c r="I350" s="141">
        <f>ROUND((F350*G350),0)</f>
        <v>17806</v>
      </c>
      <c r="J350" s="47"/>
      <c r="K350" s="143"/>
    </row>
    <row r="351" spans="2:11" ht="24.75" customHeight="1" thickTop="1" x14ac:dyDescent="0.2">
      <c r="B351" s="685" t="s">
        <v>1310</v>
      </c>
      <c r="C351" s="108" t="str">
        <f>+B336</f>
        <v>ITE056</v>
      </c>
      <c r="D351" s="139" t="str">
        <f>+D336</f>
        <v xml:space="preserve">Transporte material &lt; 40 Km </v>
      </c>
      <c r="E351" s="108" t="str">
        <f>+E336</f>
        <v>M3-Km</v>
      </c>
      <c r="F351" s="140">
        <v>15</v>
      </c>
      <c r="G351" s="141">
        <f>G336</f>
        <v>1634</v>
      </c>
      <c r="H351" s="108">
        <v>0</v>
      </c>
      <c r="I351" s="141">
        <f>ROUND((F351*G351),0)</f>
        <v>24510</v>
      </c>
      <c r="J351" s="47"/>
      <c r="K351" s="143"/>
    </row>
    <row r="352" spans="2:11" ht="24.9" customHeight="1" thickBot="1" x14ac:dyDescent="0.25">
      <c r="B352" s="761"/>
      <c r="C352" s="166" t="str">
        <f>+B419</f>
        <v>ITE069</v>
      </c>
      <c r="D352" s="167" t="str">
        <f>+D419</f>
        <v>Cerramiento con cinta de señalización, incluye señalizador tubular, dos cintas</v>
      </c>
      <c r="E352" s="166" t="str">
        <f>+E419</f>
        <v>M</v>
      </c>
      <c r="F352" s="140">
        <v>0.5</v>
      </c>
      <c r="G352" s="141">
        <f>G419</f>
        <v>4025</v>
      </c>
      <c r="H352" s="108">
        <v>0</v>
      </c>
      <c r="I352" s="141">
        <f>ROUND((F352*G352),0)</f>
        <v>2013</v>
      </c>
      <c r="J352" s="47"/>
      <c r="K352" s="143"/>
    </row>
    <row r="353" spans="2:11" ht="24.9" customHeight="1" thickTop="1" thickBot="1" x14ac:dyDescent="0.25">
      <c r="B353" s="158" t="s">
        <v>1034</v>
      </c>
      <c r="C353" s="108" t="str">
        <f>+'LISTA DE INSUMOS'!A9</f>
        <v>MOB006</v>
      </c>
      <c r="D353" s="139" t="str">
        <f>+'LISTA DE INSUMOS'!B9</f>
        <v>Cuadrilla A 1 Of + 4 Ay (jornal + prestaciones)</v>
      </c>
      <c r="E353" s="108" t="str">
        <f>+'LISTA DE INSUMOS'!C9</f>
        <v>Día</v>
      </c>
      <c r="F353" s="140">
        <v>1</v>
      </c>
      <c r="G353" s="141">
        <f>'LISTA DE INSUMOS'!E9</f>
        <v>491167</v>
      </c>
      <c r="H353" s="108">
        <f>1/10</f>
        <v>0.1</v>
      </c>
      <c r="I353" s="141">
        <f>ROUND((F353*G353*H353),0)</f>
        <v>49117</v>
      </c>
      <c r="J353" s="47"/>
      <c r="K353" s="143"/>
    </row>
    <row r="354" spans="2:11" ht="24.9" customHeight="1" thickTop="1" thickBot="1" x14ac:dyDescent="0.25">
      <c r="B354" s="150" t="s">
        <v>1033</v>
      </c>
      <c r="C354" s="151" t="str">
        <f>+'LISTA DE INSUMOS'!A758</f>
        <v>EQU002</v>
      </c>
      <c r="D354" s="146" t="str">
        <f>+'LISTA DE INSUMOS'!B758</f>
        <v>Herramienta menor (% mano obra)</v>
      </c>
      <c r="E354" s="145" t="str">
        <f>+'LISTA DE INSUMOS'!C758</f>
        <v>%MO</v>
      </c>
      <c r="F354" s="147">
        <v>0.1</v>
      </c>
      <c r="G354" s="148">
        <f>I353</f>
        <v>49117</v>
      </c>
      <c r="H354" s="145">
        <v>0</v>
      </c>
      <c r="I354" s="148">
        <f>ROUND((F354*G354),0)</f>
        <v>4912</v>
      </c>
      <c r="J354" s="47"/>
      <c r="K354" s="143"/>
    </row>
    <row r="355" spans="2:11" ht="24.9" customHeight="1" x14ac:dyDescent="0.2">
      <c r="B355" s="117" t="s">
        <v>1969</v>
      </c>
      <c r="C355" s="117"/>
      <c r="D355" s="112" t="s">
        <v>1653</v>
      </c>
      <c r="E355" s="117" t="s">
        <v>2586</v>
      </c>
      <c r="F355" s="118"/>
      <c r="G355" s="119">
        <f>ROUND(SUM(I355:I360),0)</f>
        <v>228433</v>
      </c>
      <c r="H355" s="120"/>
      <c r="I355" s="119"/>
      <c r="J355" s="47"/>
      <c r="K355" s="143"/>
    </row>
    <row r="356" spans="2:11" ht="24.9" customHeight="1" x14ac:dyDescent="0.2">
      <c r="B356" s="657" t="s">
        <v>1325</v>
      </c>
      <c r="C356" s="108" t="str">
        <f>+'LISTA DE INSUMOS'!A34</f>
        <v>MAT005</v>
      </c>
      <c r="D356" s="139" t="str">
        <f>+'LISTA DE INSUMOS'!B34</f>
        <v>Piedra media zonga</v>
      </c>
      <c r="E356" s="108" t="str">
        <f>+'LISTA DE INSUMOS'!C34</f>
        <v>M3</v>
      </c>
      <c r="F356" s="140">
        <v>1</v>
      </c>
      <c r="G356" s="141">
        <f>'LISTA DE INSUMOS'!E34</f>
        <v>120549.00000000001</v>
      </c>
      <c r="H356" s="108">
        <v>1.03</v>
      </c>
      <c r="I356" s="141">
        <f>ROUND((F356*G356*H356),0)</f>
        <v>124165</v>
      </c>
      <c r="J356" s="47"/>
      <c r="K356" s="143"/>
    </row>
    <row r="357" spans="2:11" ht="24.9" customHeight="1" thickBot="1" x14ac:dyDescent="0.25">
      <c r="B357" s="657"/>
      <c r="C357" s="108" t="str">
        <f>+'LISTA DE INSUMOS'!A165</f>
        <v>MAT120</v>
      </c>
      <c r="D357" s="139" t="str">
        <f>+'LISTA DE INSUMOS'!B165</f>
        <v>Geotextil no tejido 1,600 a = 3,50 m</v>
      </c>
      <c r="E357" s="108" t="str">
        <f>+'LISTA DE INSUMOS'!C165</f>
        <v>M2</v>
      </c>
      <c r="F357" s="140">
        <v>6.5</v>
      </c>
      <c r="G357" s="141">
        <f>'LISTA DE INSUMOS'!E165</f>
        <v>3843.0260999999996</v>
      </c>
      <c r="H357" s="108">
        <v>1.03</v>
      </c>
      <c r="I357" s="141">
        <f>ROUND((F357*G357*H357),0)</f>
        <v>25729</v>
      </c>
      <c r="J357" s="47"/>
      <c r="K357" s="143"/>
    </row>
    <row r="358" spans="2:11" ht="24.9" customHeight="1" thickTop="1" thickBot="1" x14ac:dyDescent="0.25">
      <c r="B358" s="165" t="s">
        <v>1310</v>
      </c>
      <c r="C358" s="108" t="str">
        <f>+B336</f>
        <v>ITE056</v>
      </c>
      <c r="D358" s="139" t="str">
        <f>+D336</f>
        <v xml:space="preserve">Transporte material &lt; 40 Km </v>
      </c>
      <c r="E358" s="108" t="str">
        <f>+E336</f>
        <v>M3-Km</v>
      </c>
      <c r="F358" s="140">
        <v>15</v>
      </c>
      <c r="G358" s="141">
        <f>G336</f>
        <v>1634</v>
      </c>
      <c r="H358" s="108">
        <v>0</v>
      </c>
      <c r="I358" s="141">
        <f>ROUND((F358*G358),0)</f>
        <v>24510</v>
      </c>
      <c r="J358" s="47"/>
      <c r="K358" s="143"/>
    </row>
    <row r="359" spans="2:11" ht="24.9" customHeight="1" thickTop="1" thickBot="1" x14ac:dyDescent="0.25">
      <c r="B359" s="158" t="s">
        <v>1034</v>
      </c>
      <c r="C359" s="108" t="str">
        <f>+'LISTA DE INSUMOS'!A9</f>
        <v>MOB006</v>
      </c>
      <c r="D359" s="139" t="str">
        <f>+'LISTA DE INSUMOS'!B9</f>
        <v>Cuadrilla A 1 Of + 4 Ay (jornal + prestaciones)</v>
      </c>
      <c r="E359" s="108" t="str">
        <f>+'LISTA DE INSUMOS'!C9</f>
        <v>Día</v>
      </c>
      <c r="F359" s="140">
        <v>1</v>
      </c>
      <c r="G359" s="141">
        <f>'LISTA DE INSUMOS'!E9</f>
        <v>491167</v>
      </c>
      <c r="H359" s="108">
        <f>1/10</f>
        <v>0.1</v>
      </c>
      <c r="I359" s="141">
        <f>ROUND((F359*G359*H359),0)</f>
        <v>49117</v>
      </c>
      <c r="J359" s="47"/>
      <c r="K359" s="143"/>
    </row>
    <row r="360" spans="2:11" ht="24.9" customHeight="1" thickTop="1" thickBot="1" x14ac:dyDescent="0.25">
      <c r="B360" s="150" t="s">
        <v>1033</v>
      </c>
      <c r="C360" s="151" t="str">
        <f>+'LISTA DE INSUMOS'!A758</f>
        <v>EQU002</v>
      </c>
      <c r="D360" s="146" t="str">
        <f>+'LISTA DE INSUMOS'!B758</f>
        <v>Herramienta menor (% mano obra)</v>
      </c>
      <c r="E360" s="145" t="str">
        <f>+'LISTA DE INSUMOS'!C758</f>
        <v>%MO</v>
      </c>
      <c r="F360" s="147">
        <v>0.1</v>
      </c>
      <c r="G360" s="148">
        <f>I359</f>
        <v>49117</v>
      </c>
      <c r="H360" s="145">
        <v>0</v>
      </c>
      <c r="I360" s="148">
        <f>ROUND((F360*G360),0)</f>
        <v>4912</v>
      </c>
      <c r="J360" s="47"/>
      <c r="K360" s="143"/>
    </row>
    <row r="361" spans="2:11" ht="24.9" customHeight="1" x14ac:dyDescent="0.2">
      <c r="B361" s="117" t="s">
        <v>1968</v>
      </c>
      <c r="C361" s="117"/>
      <c r="D361" s="112" t="s">
        <v>1613</v>
      </c>
      <c r="E361" s="117" t="s">
        <v>2585</v>
      </c>
      <c r="F361" s="118"/>
      <c r="G361" s="119">
        <f>ROUND(SUM(I361:I365),0)</f>
        <v>20038</v>
      </c>
      <c r="H361" s="120"/>
      <c r="I361" s="119"/>
      <c r="J361" s="47"/>
      <c r="K361" s="143"/>
    </row>
    <row r="362" spans="2:11" ht="24.9" customHeight="1" x14ac:dyDescent="0.2">
      <c r="B362" s="657" t="s">
        <v>1325</v>
      </c>
      <c r="C362" s="108" t="str">
        <f>+'LISTA DE INSUMOS'!A282</f>
        <v>MAT254</v>
      </c>
      <c r="D362" s="139" t="str">
        <f>+'LISTA DE INSUMOS'!B282</f>
        <v xml:space="preserve">Prado </v>
      </c>
      <c r="E362" s="108" t="str">
        <f>+'LISTA DE INSUMOS'!C282</f>
        <v>M2</v>
      </c>
      <c r="F362" s="140">
        <v>1</v>
      </c>
      <c r="G362" s="141">
        <f>'LISTA DE INSUMOS'!E282</f>
        <v>14988.782571839998</v>
      </c>
      <c r="H362" s="108">
        <v>0</v>
      </c>
      <c r="I362" s="141">
        <f>ROUND((F362*G362),0)</f>
        <v>14989</v>
      </c>
      <c r="J362" s="51"/>
      <c r="K362" s="143"/>
    </row>
    <row r="363" spans="2:11" ht="24.9" customHeight="1" thickBot="1" x14ac:dyDescent="0.25">
      <c r="B363" s="657"/>
      <c r="C363" s="108" t="str">
        <f>+'LISTA DE INSUMOS'!A392</f>
        <v>MAT388</v>
      </c>
      <c r="D363" s="139" t="str">
        <f>+'LISTA DE INSUMOS'!B392</f>
        <v>Estacas de guadua</v>
      </c>
      <c r="E363" s="108" t="str">
        <f>+'LISTA DE INSUMOS'!C392</f>
        <v>Un</v>
      </c>
      <c r="F363" s="140">
        <v>3</v>
      </c>
      <c r="G363" s="141">
        <f>'LISTA DE INSUMOS'!E392</f>
        <v>182.36352129071997</v>
      </c>
      <c r="H363" s="108">
        <v>0</v>
      </c>
      <c r="I363" s="141">
        <f>ROUND((F363*G363),0)</f>
        <v>547</v>
      </c>
      <c r="J363" s="47"/>
      <c r="K363" s="143"/>
    </row>
    <row r="364" spans="2:11" ht="24.9" customHeight="1" thickTop="1" thickBot="1" x14ac:dyDescent="0.25">
      <c r="B364" s="158" t="s">
        <v>1034</v>
      </c>
      <c r="C364" s="108" t="str">
        <f>+'LISTA DE INSUMOS'!A7</f>
        <v>MOB004</v>
      </c>
      <c r="D364" s="139" t="str">
        <f>+'LISTA DE INSUMOS'!B7</f>
        <v>Ayudante (jornal + prestaciones)</v>
      </c>
      <c r="E364" s="108" t="str">
        <f>+'LISTA DE INSUMOS'!C7</f>
        <v>Dia</v>
      </c>
      <c r="F364" s="140">
        <v>1</v>
      </c>
      <c r="G364" s="141">
        <f>+'LISTA DE INSUMOS'!E7</f>
        <v>81861</v>
      </c>
      <c r="H364" s="108">
        <v>0.05</v>
      </c>
      <c r="I364" s="141">
        <f>ROUND((F364*G364*H364),0)</f>
        <v>4093</v>
      </c>
      <c r="J364" s="47"/>
      <c r="K364" s="143"/>
    </row>
    <row r="365" spans="2:11" ht="24.9" customHeight="1" thickTop="1" thickBot="1" x14ac:dyDescent="0.25">
      <c r="B365" s="150" t="s">
        <v>1033</v>
      </c>
      <c r="C365" s="151" t="str">
        <f>+'LISTA DE INSUMOS'!A758</f>
        <v>EQU002</v>
      </c>
      <c r="D365" s="146" t="str">
        <f>+'LISTA DE INSUMOS'!B758</f>
        <v>Herramienta menor (% mano obra)</v>
      </c>
      <c r="E365" s="145" t="str">
        <f>+'LISTA DE INSUMOS'!C758</f>
        <v>%MO</v>
      </c>
      <c r="F365" s="147">
        <v>0.1</v>
      </c>
      <c r="G365" s="148">
        <f>I364</f>
        <v>4093</v>
      </c>
      <c r="H365" s="145">
        <v>0</v>
      </c>
      <c r="I365" s="148">
        <f>ROUND((F365*G365),0)</f>
        <v>409</v>
      </c>
      <c r="J365" s="47"/>
      <c r="K365" s="143"/>
    </row>
    <row r="366" spans="2:11" ht="24.9" customHeight="1" x14ac:dyDescent="0.2">
      <c r="B366" s="117" t="s">
        <v>1970</v>
      </c>
      <c r="C366" s="117"/>
      <c r="D366" s="112" t="s">
        <v>1611</v>
      </c>
      <c r="E366" s="117" t="s">
        <v>2585</v>
      </c>
      <c r="F366" s="118"/>
      <c r="G366" s="119">
        <f>ROUND(SUM(I366:I371),0)</f>
        <v>21151</v>
      </c>
      <c r="H366" s="120"/>
      <c r="I366" s="119"/>
      <c r="J366" s="47"/>
      <c r="K366" s="143"/>
    </row>
    <row r="367" spans="2:11" ht="24.9" customHeight="1" x14ac:dyDescent="0.2">
      <c r="B367" s="672" t="s">
        <v>1035</v>
      </c>
      <c r="C367" s="108" t="str">
        <f>+'LISTA DE INSUMOS'!A36</f>
        <v>MAT007</v>
      </c>
      <c r="D367" s="139" t="str">
        <f>+'LISTA DE INSUMOS'!B36</f>
        <v>Tierra vegetal</v>
      </c>
      <c r="E367" s="108" t="str">
        <f>+'LISTA DE INSUMOS'!C36</f>
        <v>M3</v>
      </c>
      <c r="F367" s="140">
        <v>0.04</v>
      </c>
      <c r="G367" s="141">
        <f>'LISTA DE INSUMOS'!E36</f>
        <v>49461.254700000005</v>
      </c>
      <c r="H367" s="108">
        <v>1.05</v>
      </c>
      <c r="I367" s="141">
        <f>ROUND((F367*G367*H367),0)</f>
        <v>2077</v>
      </c>
      <c r="J367" s="47"/>
      <c r="K367" s="143"/>
    </row>
    <row r="368" spans="2:11" ht="24.9" customHeight="1" x14ac:dyDescent="0.2">
      <c r="B368" s="672"/>
      <c r="C368" s="108" t="str">
        <f>+'LISTA DE INSUMOS'!A195</f>
        <v>MAT155</v>
      </c>
      <c r="D368" s="139" t="str">
        <f>+'LISTA DE INSUMOS'!B195</f>
        <v>Arenón</v>
      </c>
      <c r="E368" s="108" t="str">
        <f>+'LISTA DE INSUMOS'!C195</f>
        <v>M3</v>
      </c>
      <c r="F368" s="140">
        <v>0.05</v>
      </c>
      <c r="G368" s="141">
        <f>'LISTA DE INSUMOS'!E195</f>
        <v>49247.090309999992</v>
      </c>
      <c r="H368" s="108">
        <v>1.05</v>
      </c>
      <c r="I368" s="141">
        <f>ROUND((F368*G368*H368),0)</f>
        <v>2585</v>
      </c>
      <c r="J368" s="47"/>
      <c r="K368" s="143"/>
    </row>
    <row r="369" spans="2:11" ht="24.9" customHeight="1" thickBot="1" x14ac:dyDescent="0.25">
      <c r="B369" s="673"/>
      <c r="C369" s="108" t="str">
        <f>+'LISTA DE INSUMOS'!A282</f>
        <v>MAT254</v>
      </c>
      <c r="D369" s="139" t="str">
        <f>+'LISTA DE INSUMOS'!B282</f>
        <v xml:space="preserve">Prado </v>
      </c>
      <c r="E369" s="108" t="str">
        <f>+'LISTA DE INSUMOS'!C282</f>
        <v>M2</v>
      </c>
      <c r="F369" s="140">
        <v>1</v>
      </c>
      <c r="G369" s="141">
        <f>'LISTA DE INSUMOS'!E282</f>
        <v>14988.782571839998</v>
      </c>
      <c r="H369" s="108">
        <v>0</v>
      </c>
      <c r="I369" s="141">
        <f>ROUND((F369*G369),0)</f>
        <v>14989</v>
      </c>
      <c r="J369" s="47"/>
      <c r="K369" s="143"/>
    </row>
    <row r="370" spans="2:11" ht="24.9" customHeight="1" thickTop="1" thickBot="1" x14ac:dyDescent="0.25">
      <c r="B370" s="158" t="s">
        <v>1034</v>
      </c>
      <c r="C370" s="108" t="str">
        <f>+'LISTA DE INSUMOS'!A7</f>
        <v>MOB004</v>
      </c>
      <c r="D370" s="139" t="str">
        <f>+'LISTA DE INSUMOS'!B8</f>
        <v>Ayudante práctico (jornal + prestaciones)</v>
      </c>
      <c r="E370" s="108" t="str">
        <f>+'LISTA DE INSUMOS'!C7</f>
        <v>Dia</v>
      </c>
      <c r="F370" s="140">
        <v>1</v>
      </c>
      <c r="G370" s="141">
        <f>+'LISTA DE INSUMOS'!E7</f>
        <v>81861</v>
      </c>
      <c r="H370" s="108">
        <f>1/60</f>
        <v>1.6666666666666666E-2</v>
      </c>
      <c r="I370" s="141">
        <f>ROUND((F370*G370*H370),0)</f>
        <v>1364</v>
      </c>
      <c r="J370" s="47"/>
      <c r="K370" s="143"/>
    </row>
    <row r="371" spans="2:11" ht="24.9" customHeight="1" thickTop="1" thickBot="1" x14ac:dyDescent="0.25">
      <c r="B371" s="150" t="s">
        <v>1033</v>
      </c>
      <c r="C371" s="151" t="str">
        <f>+'LISTA DE INSUMOS'!A758</f>
        <v>EQU002</v>
      </c>
      <c r="D371" s="146" t="str">
        <f>+'LISTA DE INSUMOS'!B758</f>
        <v>Herramienta menor (% mano obra)</v>
      </c>
      <c r="E371" s="145" t="str">
        <f>+'LISTA DE INSUMOS'!C758</f>
        <v>%MO</v>
      </c>
      <c r="F371" s="147">
        <v>0.1</v>
      </c>
      <c r="G371" s="148">
        <f>I370</f>
        <v>1364</v>
      </c>
      <c r="H371" s="145">
        <v>0</v>
      </c>
      <c r="I371" s="148">
        <f>ROUND((F371*G371),0)</f>
        <v>136</v>
      </c>
      <c r="J371" s="47"/>
      <c r="K371" s="143"/>
    </row>
    <row r="372" spans="2:11" ht="24.9" customHeight="1" x14ac:dyDescent="0.2">
      <c r="B372" s="117" t="s">
        <v>1916</v>
      </c>
      <c r="C372" s="117"/>
      <c r="D372" s="112" t="s">
        <v>3166</v>
      </c>
      <c r="E372" s="117" t="s">
        <v>2586</v>
      </c>
      <c r="F372" s="118"/>
      <c r="G372" s="119">
        <f>ROUND(SUM(I372:I375),0)</f>
        <v>41793</v>
      </c>
      <c r="H372" s="120"/>
      <c r="I372" s="119"/>
      <c r="J372" s="47"/>
      <c r="K372" s="143"/>
    </row>
    <row r="373" spans="2:11" ht="24.9" customHeight="1" x14ac:dyDescent="0.2">
      <c r="B373" s="685" t="s">
        <v>1310</v>
      </c>
      <c r="C373" s="108" t="str">
        <f>+B331</f>
        <v>ITE054</v>
      </c>
      <c r="D373" s="139" t="str">
        <f>+D331</f>
        <v>Cargue mecánico de material</v>
      </c>
      <c r="E373" s="108" t="str">
        <f>+E331</f>
        <v>M3</v>
      </c>
      <c r="F373" s="140">
        <v>1</v>
      </c>
      <c r="G373" s="141">
        <f>G331</f>
        <v>5613</v>
      </c>
      <c r="H373" s="108">
        <v>0</v>
      </c>
      <c r="I373" s="141">
        <f>ROUND((F373*G373),0)</f>
        <v>5613</v>
      </c>
      <c r="J373" s="47"/>
      <c r="K373" s="143"/>
    </row>
    <row r="374" spans="2:11" ht="24.9" customHeight="1" thickBot="1" x14ac:dyDescent="0.25">
      <c r="B374" s="686"/>
      <c r="C374" s="166" t="str">
        <f>+B336</f>
        <v>ITE056</v>
      </c>
      <c r="D374" s="167" t="str">
        <f>+D336</f>
        <v xml:space="preserve">Transporte material &lt; 40 Km </v>
      </c>
      <c r="E374" s="166" t="str">
        <f>+E336</f>
        <v>M3-Km</v>
      </c>
      <c r="F374" s="160">
        <v>15</v>
      </c>
      <c r="G374" s="141">
        <f>G336</f>
        <v>1634</v>
      </c>
      <c r="H374" s="108">
        <v>0</v>
      </c>
      <c r="I374" s="141">
        <f>ROUND((F374*G374),0)</f>
        <v>24510</v>
      </c>
      <c r="J374" s="47"/>
      <c r="K374" s="143"/>
    </row>
    <row r="375" spans="2:11" ht="24.9" customHeight="1" thickTop="1" thickBot="1" x14ac:dyDescent="0.25">
      <c r="B375" s="150" t="s">
        <v>1033</v>
      </c>
      <c r="C375" s="166" t="str">
        <f>'LISTA DE INSUMOS'!A821</f>
        <v>EQU066</v>
      </c>
      <c r="D375" s="167" t="str">
        <f>'LISTA DE INSUMOS'!B821</f>
        <v xml:space="preserve">Costo sitio de disposiciòn </v>
      </c>
      <c r="E375" s="166" t="s">
        <v>1432</v>
      </c>
      <c r="F375" s="160">
        <v>1</v>
      </c>
      <c r="G375" s="141">
        <f>'LISTA DE INSUMOS'!E821</f>
        <v>11670.378499999999</v>
      </c>
      <c r="H375" s="108">
        <v>1</v>
      </c>
      <c r="I375" s="141">
        <f>F375*G375*H375</f>
        <v>11670.378499999999</v>
      </c>
      <c r="J375" s="47"/>
      <c r="K375" s="143"/>
    </row>
    <row r="376" spans="2:11" ht="24.9" customHeight="1" x14ac:dyDescent="0.2">
      <c r="B376" s="117" t="s">
        <v>1658</v>
      </c>
      <c r="C376" s="117"/>
      <c r="D376" s="112" t="s">
        <v>1609</v>
      </c>
      <c r="E376" s="117" t="s">
        <v>2585</v>
      </c>
      <c r="F376" s="118"/>
      <c r="G376" s="119">
        <f>ROUND(SUM(I376:I381),0)</f>
        <v>11878</v>
      </c>
      <c r="H376" s="120"/>
      <c r="I376" s="119"/>
      <c r="J376" s="47"/>
      <c r="K376" s="143"/>
    </row>
    <row r="377" spans="2:11" ht="30" customHeight="1" x14ac:dyDescent="0.2">
      <c r="B377" s="672" t="s">
        <v>1035</v>
      </c>
      <c r="C377" s="108" t="str">
        <f>+'LISTA DE INSUMOS'!A36</f>
        <v>MAT007</v>
      </c>
      <c r="D377" s="139" t="str">
        <f>+'LISTA DE INSUMOS'!B36</f>
        <v>Tierra vegetal</v>
      </c>
      <c r="E377" s="108" t="str">
        <f>+'LISTA DE INSUMOS'!C36</f>
        <v>M3</v>
      </c>
      <c r="F377" s="140">
        <v>0.04</v>
      </c>
      <c r="G377" s="141">
        <f>'LISTA DE INSUMOS'!E36</f>
        <v>49461.254700000005</v>
      </c>
      <c r="H377" s="108">
        <v>1.05</v>
      </c>
      <c r="I377" s="141">
        <f>ROUND((F377*G377*H377),0)</f>
        <v>2077</v>
      </c>
      <c r="J377" s="47"/>
      <c r="K377" s="143"/>
    </row>
    <row r="378" spans="2:11" ht="30" customHeight="1" x14ac:dyDescent="0.2">
      <c r="B378" s="672"/>
      <c r="C378" s="108" t="str">
        <f>+'LISTA DE INSUMOS'!A392</f>
        <v>MAT388</v>
      </c>
      <c r="D378" s="139" t="str">
        <f>+'LISTA DE INSUMOS'!B392</f>
        <v>Estacas de guadua</v>
      </c>
      <c r="E378" s="108" t="str">
        <f>+'LISTA DE INSUMOS'!C392</f>
        <v>Un</v>
      </c>
      <c r="F378" s="140">
        <v>1</v>
      </c>
      <c r="G378" s="141">
        <f>'LISTA DE INSUMOS'!E392</f>
        <v>182.36352129071997</v>
      </c>
      <c r="H378" s="108">
        <v>0</v>
      </c>
      <c r="I378" s="141">
        <f>ROUND((F378*G378),0)</f>
        <v>182</v>
      </c>
      <c r="J378" s="47"/>
      <c r="K378" s="143"/>
    </row>
    <row r="379" spans="2:11" ht="30" customHeight="1" thickBot="1" x14ac:dyDescent="0.25">
      <c r="B379" s="673"/>
      <c r="C379" s="108" t="str">
        <f>+'LISTA DE INSUMOS'!A225</f>
        <v>MAT193</v>
      </c>
      <c r="D379" s="139" t="str">
        <f>+'LISTA DE INSUMOS'!B225</f>
        <v>Prado kikuyo</v>
      </c>
      <c r="E379" s="108" t="str">
        <f>+'LISTA DE INSUMOS'!C225</f>
        <v>M2</v>
      </c>
      <c r="F379" s="140">
        <v>1</v>
      </c>
      <c r="G379" s="141">
        <f>+'LISTA DE INSUMOS'!E225</f>
        <v>8118.9238930799993</v>
      </c>
      <c r="H379" s="108">
        <v>0</v>
      </c>
      <c r="I379" s="141">
        <f>ROUND((F379*G379),0)</f>
        <v>8119</v>
      </c>
      <c r="J379" s="47"/>
      <c r="K379" s="143"/>
    </row>
    <row r="380" spans="2:11" ht="30" customHeight="1" thickTop="1" thickBot="1" x14ac:dyDescent="0.25">
      <c r="B380" s="158" t="s">
        <v>1034</v>
      </c>
      <c r="C380" s="108" t="str">
        <f>+'LISTA DE INSUMOS'!A7</f>
        <v>MOB004</v>
      </c>
      <c r="D380" s="139" t="str">
        <f>+'LISTA DE INSUMOS'!B7</f>
        <v>Ayudante (jornal + prestaciones)</v>
      </c>
      <c r="E380" s="108" t="str">
        <f>+'LISTA DE INSUMOS'!C7</f>
        <v>Dia</v>
      </c>
      <c r="F380" s="160">
        <v>1</v>
      </c>
      <c r="G380" s="141">
        <f>+'LISTA DE INSUMOS'!E7</f>
        <v>81861</v>
      </c>
      <c r="H380" s="108">
        <f>1/60</f>
        <v>1.6666666666666666E-2</v>
      </c>
      <c r="I380" s="141">
        <f>ROUND((F380*G380*H380),0)</f>
        <v>1364</v>
      </c>
      <c r="J380" s="47"/>
      <c r="K380" s="143"/>
    </row>
    <row r="381" spans="2:11" ht="24" customHeight="1" thickTop="1" thickBot="1" x14ac:dyDescent="0.25">
      <c r="B381" s="150" t="s">
        <v>1033</v>
      </c>
      <c r="C381" s="151" t="str">
        <f>+'LISTA DE INSUMOS'!A758</f>
        <v>EQU002</v>
      </c>
      <c r="D381" s="146" t="str">
        <f>+'LISTA DE INSUMOS'!B758</f>
        <v>Herramienta menor (% mano obra)</v>
      </c>
      <c r="E381" s="145" t="str">
        <f>+'LISTA DE INSUMOS'!C758</f>
        <v>%MO</v>
      </c>
      <c r="F381" s="147">
        <v>0.1</v>
      </c>
      <c r="G381" s="148">
        <f>I380</f>
        <v>1364</v>
      </c>
      <c r="H381" s="145">
        <v>0</v>
      </c>
      <c r="I381" s="148">
        <f>ROUND((F381*G381),0)</f>
        <v>136</v>
      </c>
      <c r="J381" s="47"/>
      <c r="K381" s="143"/>
    </row>
    <row r="382" spans="2:11" s="317" customFormat="1" ht="25.5" customHeight="1" x14ac:dyDescent="0.2">
      <c r="B382" s="117" t="s">
        <v>1652</v>
      </c>
      <c r="C382" s="117"/>
      <c r="D382" s="494" t="s">
        <v>3284</v>
      </c>
      <c r="E382" s="117" t="s">
        <v>2586</v>
      </c>
      <c r="F382" s="117"/>
      <c r="G382" s="117">
        <f>ROUND(SUM(I382:I395),0)</f>
        <v>295373</v>
      </c>
      <c r="H382" s="117"/>
      <c r="I382" s="117"/>
      <c r="J382" s="313"/>
      <c r="K382" s="323"/>
    </row>
    <row r="383" spans="2:11" s="317" customFormat="1" ht="18" customHeight="1" x14ac:dyDescent="0.2">
      <c r="B383" s="683" t="s">
        <v>1035</v>
      </c>
      <c r="C383" s="108" t="str">
        <f>+'LISTA DE INSUMOS'!A209</f>
        <v>MAT170</v>
      </c>
      <c r="D383" s="436" t="str">
        <f>+'LISTA DE INSUMOS'!B209</f>
        <v>Geotextil tejido 3000-4000 TR</v>
      </c>
      <c r="E383" s="108" t="str">
        <f>+'LISTA DE INSUMOS'!C209</f>
        <v>M2</v>
      </c>
      <c r="F383" s="108">
        <v>4.5</v>
      </c>
      <c r="G383" s="108">
        <f>'LISTA DE INSUMOS'!E209</f>
        <v>8504.5574476799993</v>
      </c>
      <c r="H383" s="108">
        <v>1.03</v>
      </c>
      <c r="I383" s="108">
        <f t="shared" ref="I383:I388" si="4">ROUND((F383*G383*H383),0)</f>
        <v>39419</v>
      </c>
      <c r="J383" s="313"/>
      <c r="K383" s="323"/>
    </row>
    <row r="384" spans="2:11" s="317" customFormat="1" ht="24" customHeight="1" x14ac:dyDescent="0.2">
      <c r="B384" s="683"/>
      <c r="C384" s="108" t="str">
        <f>+'LISTA DE INSUMOS'!A299</f>
        <v>MAT271</v>
      </c>
      <c r="D384" s="436" t="str">
        <f>+'LISTA DE INSUMOS'!B299</f>
        <v>Afirmado</v>
      </c>
      <c r="E384" s="108" t="str">
        <f>+'LISTA DE INSUMOS'!C299</f>
        <v>M3</v>
      </c>
      <c r="F384" s="108">
        <v>1</v>
      </c>
      <c r="G384" s="108">
        <f>'LISTA DE INSUMOS'!E299</f>
        <v>55402.97659875</v>
      </c>
      <c r="H384" s="108">
        <v>1.3</v>
      </c>
      <c r="I384" s="108">
        <f t="shared" si="4"/>
        <v>72024</v>
      </c>
      <c r="J384" s="313"/>
      <c r="K384" s="323"/>
    </row>
    <row r="385" spans="2:11" s="317" customFormat="1" ht="19.5" customHeight="1" x14ac:dyDescent="0.2">
      <c r="B385" s="683"/>
      <c r="C385" s="108" t="str">
        <f>+'LISTA DE INSUMOS'!A46</f>
        <v>MAT017</v>
      </c>
      <c r="D385" s="436" t="str">
        <f>+'LISTA DE INSUMOS'!B46</f>
        <v>Tabla para formaleta de 1" x 10" x 2,9 m</v>
      </c>
      <c r="E385" s="108" t="str">
        <f>+'LISTA DE INSUMOS'!C46</f>
        <v>M</v>
      </c>
      <c r="F385" s="108">
        <v>1.5</v>
      </c>
      <c r="G385" s="108">
        <f>'LISTA DE INSUMOS'!E46</f>
        <v>8112.0359999999991</v>
      </c>
      <c r="H385" s="108">
        <v>0</v>
      </c>
      <c r="I385" s="108">
        <f t="shared" ref="I385:I393" si="5">ROUND((F385*G385),0)</f>
        <v>12168</v>
      </c>
      <c r="J385" s="313"/>
      <c r="K385" s="323"/>
    </row>
    <row r="386" spans="2:11" s="317" customFormat="1" ht="19.5" customHeight="1" x14ac:dyDescent="0.2">
      <c r="B386" s="683"/>
      <c r="C386" s="108" t="str">
        <f>+'LISTA DE INSUMOS'!A49</f>
        <v>MAT018</v>
      </c>
      <c r="D386" s="436" t="str">
        <f>+'LISTA DE INSUMOS'!B49</f>
        <v>Cuartón de sajo 2" x 4" x 2,9 m</v>
      </c>
      <c r="E386" s="108" t="str">
        <f>+'LISTA DE INSUMOS'!C49</f>
        <v>M</v>
      </c>
      <c r="F386" s="108">
        <v>1</v>
      </c>
      <c r="G386" s="108">
        <f>'LISTA DE INSUMOS'!E49</f>
        <v>11944.810644542158</v>
      </c>
      <c r="H386" s="108">
        <v>0</v>
      </c>
      <c r="I386" s="108">
        <f t="shared" si="5"/>
        <v>11945</v>
      </c>
      <c r="J386" s="313"/>
      <c r="K386" s="323"/>
    </row>
    <row r="387" spans="2:11" s="317" customFormat="1" ht="21.75" customHeight="1" x14ac:dyDescent="0.2">
      <c r="B387" s="683"/>
      <c r="C387" s="108" t="str">
        <f>+'LISTA DE INSUMOS'!A52</f>
        <v>MAT021</v>
      </c>
      <c r="D387" s="436" t="str">
        <f>+'LISTA DE INSUMOS'!B52</f>
        <v>Puntilla (promedio)</v>
      </c>
      <c r="E387" s="108" t="str">
        <f>+'LISTA DE INSUMOS'!C52</f>
        <v>Lb</v>
      </c>
      <c r="F387" s="108">
        <v>0.2</v>
      </c>
      <c r="G387" s="108">
        <f>'LISTA DE INSUMOS'!E52</f>
        <v>6690.6972299999998</v>
      </c>
      <c r="H387" s="108">
        <v>0</v>
      </c>
      <c r="I387" s="108">
        <f t="shared" si="5"/>
        <v>1338</v>
      </c>
      <c r="J387" s="313"/>
      <c r="K387" s="323"/>
    </row>
    <row r="388" spans="2:11" s="317" customFormat="1" ht="18" customHeight="1" x14ac:dyDescent="0.2">
      <c r="B388" s="683"/>
      <c r="C388" s="108" t="str">
        <f>+'LISTA DE INSUMOS'!A53</f>
        <v>MAT022</v>
      </c>
      <c r="D388" s="436" t="str">
        <f>+'LISTA DE INSUMOS'!B53</f>
        <v>Alambre negro calibre 17</v>
      </c>
      <c r="E388" s="108" t="str">
        <f>+'LISTA DE INSUMOS'!C53</f>
        <v>Kg</v>
      </c>
      <c r="F388" s="108">
        <v>0.4</v>
      </c>
      <c r="G388" s="108">
        <f>'LISTA DE INSUMOS'!E53</f>
        <v>7948.98</v>
      </c>
      <c r="H388" s="108">
        <v>1.05</v>
      </c>
      <c r="I388" s="108">
        <f t="shared" si="4"/>
        <v>3339</v>
      </c>
      <c r="J388" s="313"/>
      <c r="K388" s="323"/>
    </row>
    <row r="389" spans="2:11" s="317" customFormat="1" ht="19.5" customHeight="1" thickBot="1" x14ac:dyDescent="0.25">
      <c r="B389" s="684"/>
      <c r="C389" s="108" t="str">
        <f>+'LISTA DE INSUMOS'!A51</f>
        <v>MAT020</v>
      </c>
      <c r="D389" s="436" t="str">
        <f>+'LISTA DE INSUMOS'!B51</f>
        <v>Guadua basa longitud promedio = 5 m</v>
      </c>
      <c r="E389" s="108" t="str">
        <f>+'LISTA DE INSUMOS'!C51</f>
        <v>Un</v>
      </c>
      <c r="F389" s="108">
        <v>0.04</v>
      </c>
      <c r="G389" s="108">
        <f>'LISTA DE INSUMOS'!E51</f>
        <v>8662.3499999999985</v>
      </c>
      <c r="H389" s="108">
        <v>0</v>
      </c>
      <c r="I389" s="108">
        <f t="shared" si="5"/>
        <v>346</v>
      </c>
      <c r="J389" s="313"/>
      <c r="K389" s="323"/>
    </row>
    <row r="390" spans="2:11" s="317" customFormat="1" ht="18" customHeight="1" thickTop="1" x14ac:dyDescent="0.2">
      <c r="B390" s="693" t="s">
        <v>1310</v>
      </c>
      <c r="C390" s="108" t="str">
        <f>+B336</f>
        <v>ITE056</v>
      </c>
      <c r="D390" s="436" t="str">
        <f>+D336</f>
        <v xml:space="preserve">Transporte material &lt; 40 Km </v>
      </c>
      <c r="E390" s="108" t="str">
        <f>+E336</f>
        <v>M3-Km</v>
      </c>
      <c r="F390" s="108">
        <v>15</v>
      </c>
      <c r="G390" s="108">
        <f>G336</f>
        <v>1634</v>
      </c>
      <c r="H390" s="108">
        <v>0</v>
      </c>
      <c r="I390" s="108">
        <f>ROUND((F390*G390),0)</f>
        <v>24510</v>
      </c>
      <c r="J390" s="313"/>
      <c r="K390" s="323"/>
    </row>
    <row r="391" spans="2:11" s="317" customFormat="1" ht="23.25" customHeight="1" thickBot="1" x14ac:dyDescent="0.25">
      <c r="B391" s="668"/>
      <c r="C391" s="108" t="str">
        <f>+B417</f>
        <v>ITE068</v>
      </c>
      <c r="D391" s="436" t="str">
        <f>+D417</f>
        <v>Transporte maquinaría pesada</v>
      </c>
      <c r="E391" s="108" t="str">
        <f>+E417</f>
        <v>Km</v>
      </c>
      <c r="F391" s="108">
        <v>30</v>
      </c>
      <c r="G391" s="108">
        <f>G417</f>
        <v>26702</v>
      </c>
      <c r="H391" s="108">
        <f>1/200</f>
        <v>5.0000000000000001E-3</v>
      </c>
      <c r="I391" s="108">
        <f>ROUND((F391*G391*H391),0)</f>
        <v>4005</v>
      </c>
      <c r="J391" s="313"/>
      <c r="K391" s="323"/>
    </row>
    <row r="392" spans="2:11" s="317" customFormat="1" ht="21" customHeight="1" thickTop="1" thickBot="1" x14ac:dyDescent="0.25">
      <c r="B392" s="158" t="s">
        <v>1034</v>
      </c>
      <c r="C392" s="108" t="str">
        <f>+'LISTA DE INSUMOS'!A16</f>
        <v>MOB013</v>
      </c>
      <c r="D392" s="436" t="str">
        <f>+'LISTA DE INSUMOS'!B16</f>
        <v>Cuadrilla C 1 Of + 7 Ay (jornal + prestaciones)</v>
      </c>
      <c r="E392" s="108" t="str">
        <f>+'LISTA DE INSUMOS'!C16</f>
        <v>Día</v>
      </c>
      <c r="F392" s="108">
        <v>1</v>
      </c>
      <c r="G392" s="108">
        <f>'LISTA DE INSUMOS'!E16</f>
        <v>736750</v>
      </c>
      <c r="H392" s="108">
        <f>1/7</f>
        <v>0.14285714285714285</v>
      </c>
      <c r="I392" s="108">
        <f>ROUND((F392*G392*H392),0)</f>
        <v>105250</v>
      </c>
      <c r="J392" s="313"/>
      <c r="K392" s="323"/>
    </row>
    <row r="393" spans="2:11" s="317" customFormat="1" ht="18" customHeight="1" thickTop="1" x14ac:dyDescent="0.2">
      <c r="B393" s="658" t="s">
        <v>1033</v>
      </c>
      <c r="C393" s="108" t="str">
        <f>+'LISTA DE INSUMOS'!A758</f>
        <v>EQU002</v>
      </c>
      <c r="D393" s="436" t="str">
        <f>+'LISTA DE INSUMOS'!B758</f>
        <v>Herramienta menor (% mano obra)</v>
      </c>
      <c r="E393" s="108" t="str">
        <f>+'LISTA DE INSUMOS'!C758</f>
        <v>%MO</v>
      </c>
      <c r="F393" s="108">
        <v>0.1</v>
      </c>
      <c r="G393" s="108">
        <f>I392</f>
        <v>105250</v>
      </c>
      <c r="H393" s="108">
        <v>0</v>
      </c>
      <c r="I393" s="108">
        <f t="shared" si="5"/>
        <v>10525</v>
      </c>
      <c r="J393" s="313"/>
      <c r="K393" s="323"/>
    </row>
    <row r="394" spans="2:11" s="317" customFormat="1" ht="17.25" customHeight="1" thickBot="1" x14ac:dyDescent="0.25">
      <c r="B394" s="668"/>
      <c r="C394" s="108" t="str">
        <f>+'LISTA DE INSUMOS'!A805</f>
        <v>EQU050</v>
      </c>
      <c r="D394" s="436" t="str">
        <f>+'LISTA DE INSUMOS'!B805</f>
        <v>Cilindro compactador 2 toneladas</v>
      </c>
      <c r="E394" s="108" t="str">
        <f>+'LISTA DE INSUMOS'!C805</f>
        <v>Hr</v>
      </c>
      <c r="F394" s="108">
        <v>1</v>
      </c>
      <c r="G394" s="108">
        <f>'LISTA DE INSUMOS'!E805</f>
        <v>87527.838749999995</v>
      </c>
      <c r="H394" s="108">
        <f>1/10</f>
        <v>0.1</v>
      </c>
      <c r="I394" s="108">
        <f>ROUND((F394*G394*H394),0)</f>
        <v>8753</v>
      </c>
      <c r="J394" s="313"/>
      <c r="K394" s="323"/>
    </row>
    <row r="395" spans="2:11" s="317" customFormat="1" ht="22.5" customHeight="1" thickTop="1" thickBot="1" x14ac:dyDescent="0.25">
      <c r="B395" s="343" t="s">
        <v>421</v>
      </c>
      <c r="C395" s="108" t="str">
        <f>+'LISTA DE INSUMOS'!A824</f>
        <v>ESY002</v>
      </c>
      <c r="D395" s="436" t="str">
        <f>+'LISTA DE INSUMOS'!B824</f>
        <v>Toma de densidades</v>
      </c>
      <c r="E395" s="108" t="str">
        <f>+'LISTA DE INSUMOS'!C824</f>
        <v>Un</v>
      </c>
      <c r="F395" s="108">
        <f>1/40</f>
        <v>2.5000000000000001E-2</v>
      </c>
      <c r="G395" s="108">
        <f>'LISTA DE INSUMOS'!E824</f>
        <v>70022.270999999993</v>
      </c>
      <c r="H395" s="108">
        <v>0</v>
      </c>
      <c r="I395" s="108">
        <f>ROUND((F395*G395),0)</f>
        <v>1751</v>
      </c>
      <c r="J395" s="313"/>
      <c r="K395" s="323"/>
    </row>
    <row r="396" spans="2:11" ht="24.9" customHeight="1" x14ac:dyDescent="0.2">
      <c r="B396" s="117" t="s">
        <v>1612</v>
      </c>
      <c r="C396" s="117"/>
      <c r="D396" s="112" t="s">
        <v>423</v>
      </c>
      <c r="E396" s="117" t="s">
        <v>1435</v>
      </c>
      <c r="F396" s="118"/>
      <c r="G396" s="119">
        <f>ROUND(SUM(I396:I404),0)</f>
        <v>20752</v>
      </c>
      <c r="H396" s="120"/>
      <c r="I396" s="119"/>
      <c r="J396" s="47"/>
      <c r="K396" s="143"/>
    </row>
    <row r="397" spans="2:11" ht="24.9" customHeight="1" x14ac:dyDescent="0.2">
      <c r="B397" s="672" t="s">
        <v>1035</v>
      </c>
      <c r="C397" s="108" t="str">
        <f>+'LISTA DE INSUMOS'!A51</f>
        <v>MAT020</v>
      </c>
      <c r="D397" s="139" t="str">
        <f>+'LISTA DE INSUMOS'!B51</f>
        <v>Guadua basa longitud promedio = 5 m</v>
      </c>
      <c r="E397" s="108" t="str">
        <f>+'LISTA DE INSUMOS'!C51</f>
        <v>Un</v>
      </c>
      <c r="F397" s="140">
        <v>0.3</v>
      </c>
      <c r="G397" s="141">
        <f>'LISTA DE INSUMOS'!E51</f>
        <v>8662.3499999999985</v>
      </c>
      <c r="H397" s="108">
        <v>0</v>
      </c>
      <c r="I397" s="141">
        <f>ROUND((F397*G397),0)</f>
        <v>2599</v>
      </c>
      <c r="J397" s="47"/>
      <c r="K397" s="143"/>
    </row>
    <row r="398" spans="2:11" ht="24.9" customHeight="1" x14ac:dyDescent="0.2">
      <c r="B398" s="672"/>
      <c r="C398" s="108" t="str">
        <f>+'LISTA DE INSUMOS'!A46</f>
        <v>MAT017</v>
      </c>
      <c r="D398" s="139" t="str">
        <f>+'LISTA DE INSUMOS'!B46</f>
        <v>Tabla para formaleta de 1" x 10" x 2,9 m</v>
      </c>
      <c r="E398" s="108" t="str">
        <f>+'LISTA DE INSUMOS'!C46</f>
        <v>M</v>
      </c>
      <c r="F398" s="140">
        <v>1.2</v>
      </c>
      <c r="G398" s="141">
        <f>'LISTA DE INSUMOS'!E46</f>
        <v>8112.0359999999991</v>
      </c>
      <c r="H398" s="108">
        <f>1/3</f>
        <v>0.33333333333333331</v>
      </c>
      <c r="I398" s="141">
        <f>ROUND((F398*G398*H398),0)</f>
        <v>3245</v>
      </c>
      <c r="J398" s="47"/>
      <c r="K398" s="143"/>
    </row>
    <row r="399" spans="2:11" ht="24.9" customHeight="1" x14ac:dyDescent="0.2">
      <c r="B399" s="672"/>
      <c r="C399" s="108" t="str">
        <f>+'LISTA DE INSUMOS'!A52</f>
        <v>MAT021</v>
      </c>
      <c r="D399" s="139" t="str">
        <f>+'LISTA DE INSUMOS'!B52</f>
        <v>Puntilla (promedio)</v>
      </c>
      <c r="E399" s="108" t="str">
        <f>+'LISTA DE INSUMOS'!C52</f>
        <v>Lb</v>
      </c>
      <c r="F399" s="140">
        <v>0.1</v>
      </c>
      <c r="G399" s="141">
        <f>'LISTA DE INSUMOS'!E52</f>
        <v>6690.6972299999998</v>
      </c>
      <c r="H399" s="108">
        <v>0</v>
      </c>
      <c r="I399" s="141">
        <f>ROUND((F399*G399),0)</f>
        <v>669</v>
      </c>
      <c r="J399" s="47"/>
      <c r="K399" s="143"/>
    </row>
    <row r="400" spans="2:11" ht="24.9" customHeight="1" x14ac:dyDescent="0.2">
      <c r="B400" s="672"/>
      <c r="C400" s="108" t="str">
        <f>+'LISTA DE INSUMOS'!A67</f>
        <v>MAT034</v>
      </c>
      <c r="D400" s="139" t="str">
        <f>+'LISTA DE INSUMOS'!B67</f>
        <v>ACPM</v>
      </c>
      <c r="E400" s="108" t="str">
        <f>+'LISTA DE INSUMOS'!C67</f>
        <v>Gl</v>
      </c>
      <c r="F400" s="140">
        <v>0.1</v>
      </c>
      <c r="G400" s="141">
        <f>'LISTA DE INSUMOS'!E67</f>
        <v>9681.4499999999989</v>
      </c>
      <c r="H400" s="108">
        <v>0</v>
      </c>
      <c r="I400" s="141">
        <f>ROUND((F400*G400),0)</f>
        <v>968</v>
      </c>
      <c r="J400" s="47"/>
      <c r="K400" s="143"/>
    </row>
    <row r="401" spans="2:11" ht="24.9" customHeight="1" thickBot="1" x14ac:dyDescent="0.25">
      <c r="B401" s="673"/>
      <c r="C401" s="108" t="str">
        <f>+'LISTA DE INSUMOS'!A153</f>
        <v>MAT112</v>
      </c>
      <c r="D401" s="139" t="str">
        <f>+'LISTA DE INSUMOS'!B153</f>
        <v>Pintura esmalte para exteriores</v>
      </c>
      <c r="E401" s="108" t="str">
        <f>+'LISTA DE INSUMOS'!C153</f>
        <v>Gl</v>
      </c>
      <c r="F401" s="140">
        <f>1/32</f>
        <v>3.125E-2</v>
      </c>
      <c r="G401" s="141">
        <f>'LISTA DE INSUMOS'!E153</f>
        <v>99769.889999999985</v>
      </c>
      <c r="H401" s="108">
        <v>0</v>
      </c>
      <c r="I401" s="141">
        <f>ROUND((F401*G401),0)</f>
        <v>3118</v>
      </c>
      <c r="J401" s="47"/>
      <c r="K401" s="143"/>
    </row>
    <row r="402" spans="2:11" ht="24.9" customHeight="1" thickTop="1" thickBot="1" x14ac:dyDescent="0.25">
      <c r="B402" s="191" t="s">
        <v>1310</v>
      </c>
      <c r="C402" s="108" t="str">
        <f>+B553</f>
        <v>ITE093</v>
      </c>
      <c r="D402" s="139" t="str">
        <f>+D553</f>
        <v>Concreto de 17,2 Mpa (2500 psi) (producción)</v>
      </c>
      <c r="E402" s="108" t="str">
        <f>+E553</f>
        <v>M3</v>
      </c>
      <c r="F402" s="152">
        <v>6.0000000000000001E-3</v>
      </c>
      <c r="G402" s="141">
        <f>G553</f>
        <v>566526</v>
      </c>
      <c r="H402" s="108">
        <v>0</v>
      </c>
      <c r="I402" s="141">
        <f>ROUND((F402*G402),0)</f>
        <v>3399</v>
      </c>
      <c r="J402" s="47"/>
      <c r="K402" s="143"/>
    </row>
    <row r="403" spans="2:11" ht="24.9" customHeight="1" thickTop="1" thickBot="1" x14ac:dyDescent="0.25">
      <c r="B403" s="158" t="s">
        <v>1034</v>
      </c>
      <c r="C403" s="108" t="str">
        <f>+'LISTA DE INSUMOS'!A18</f>
        <v>MOB015</v>
      </c>
      <c r="D403" s="139" t="str">
        <f>+'LISTA DE INSUMOS'!B18</f>
        <v>Cuadrilla E 1 Of + 1 Ay (jornal + prestaciones)</v>
      </c>
      <c r="E403" s="108" t="str">
        <f>+'LISTA DE INSUMOS'!C18</f>
        <v>Día</v>
      </c>
      <c r="F403" s="140">
        <v>1</v>
      </c>
      <c r="G403" s="141">
        <f>'LISTA DE INSUMOS'!E18</f>
        <v>245584</v>
      </c>
      <c r="H403" s="142">
        <f>1/40</f>
        <v>2.5000000000000001E-2</v>
      </c>
      <c r="I403" s="141">
        <f>ROUND((F403*G403*H403),0)</f>
        <v>6140</v>
      </c>
      <c r="J403" s="47"/>
      <c r="K403" s="143"/>
    </row>
    <row r="404" spans="2:11" ht="24.9" customHeight="1" thickTop="1" thickBot="1" x14ac:dyDescent="0.25">
      <c r="B404" s="192" t="s">
        <v>1033</v>
      </c>
      <c r="C404" s="151" t="str">
        <f>+'LISTA DE INSUMOS'!A758</f>
        <v>EQU002</v>
      </c>
      <c r="D404" s="146" t="str">
        <f>+'LISTA DE INSUMOS'!B758</f>
        <v>Herramienta menor (% mano obra)</v>
      </c>
      <c r="E404" s="145" t="str">
        <f>+'LISTA DE INSUMOS'!C758</f>
        <v>%MO</v>
      </c>
      <c r="F404" s="147">
        <v>0.1</v>
      </c>
      <c r="G404" s="148">
        <f>I403</f>
        <v>6140</v>
      </c>
      <c r="H404" s="145">
        <v>0</v>
      </c>
      <c r="I404" s="148">
        <f>ROUND((F404*G404),0)</f>
        <v>614</v>
      </c>
      <c r="J404" s="47"/>
      <c r="K404" s="143"/>
    </row>
    <row r="405" spans="2:11" ht="24.9" customHeight="1" x14ac:dyDescent="0.2">
      <c r="B405" s="193" t="s">
        <v>1610</v>
      </c>
      <c r="C405" s="117"/>
      <c r="D405" s="112" t="s">
        <v>424</v>
      </c>
      <c r="E405" s="117" t="s">
        <v>1412</v>
      </c>
      <c r="F405" s="118"/>
      <c r="G405" s="119">
        <f>ROUND(SUM(I405:I408),0)</f>
        <v>12241</v>
      </c>
      <c r="H405" s="120"/>
      <c r="I405" s="119"/>
      <c r="J405" s="47"/>
      <c r="K405" s="143"/>
    </row>
    <row r="406" spans="2:11" ht="24.9" customHeight="1" thickBot="1" x14ac:dyDescent="0.25">
      <c r="B406" s="175" t="s">
        <v>1325</v>
      </c>
      <c r="C406" s="108" t="str">
        <f>+'LISTA DE INSUMOS'!A296</f>
        <v>MAT268</v>
      </c>
      <c r="D406" s="139" t="str">
        <f>+'LISTA DE INSUMOS'!B296</f>
        <v>Cinta de señalización cal 6</v>
      </c>
      <c r="E406" s="108" t="str">
        <f>+'LISTA DE INSUMOS'!C296</f>
        <v>M</v>
      </c>
      <c r="F406" s="140">
        <v>3</v>
      </c>
      <c r="G406" s="141">
        <f>'LISTA DE INSUMOS'!E296</f>
        <v>252.86062064999996</v>
      </c>
      <c r="H406" s="108">
        <v>0</v>
      </c>
      <c r="I406" s="141">
        <f>ROUND((F406*G406),0)</f>
        <v>759</v>
      </c>
      <c r="J406" s="47"/>
      <c r="K406" s="143"/>
    </row>
    <row r="407" spans="2:11" ht="24.9" customHeight="1" thickTop="1" thickBot="1" x14ac:dyDescent="0.25">
      <c r="B407" s="191" t="s">
        <v>1310</v>
      </c>
      <c r="C407" s="108" t="str">
        <f>+B396</f>
        <v>ITE066</v>
      </c>
      <c r="D407" s="139" t="str">
        <f>+D396</f>
        <v>Poste en guadua pintado, base en concreto de 2.500 psi para cinta seguridad</v>
      </c>
      <c r="E407" s="108" t="str">
        <f>+E396</f>
        <v>Un</v>
      </c>
      <c r="F407" s="140">
        <v>0.55000000000000004</v>
      </c>
      <c r="G407" s="141">
        <f>G396</f>
        <v>20752</v>
      </c>
      <c r="H407" s="108">
        <v>0</v>
      </c>
      <c r="I407" s="141">
        <f>ROUND((F407*G407),0)</f>
        <v>11414</v>
      </c>
      <c r="J407" s="47"/>
      <c r="K407" s="143"/>
    </row>
    <row r="408" spans="2:11" ht="24.9" customHeight="1" thickTop="1" thickBot="1" x14ac:dyDescent="0.25">
      <c r="B408" s="153" t="s">
        <v>1034</v>
      </c>
      <c r="C408" s="145" t="str">
        <f>+'LISTA DE INSUMOS'!A7</f>
        <v>MOB004</v>
      </c>
      <c r="D408" s="146" t="str">
        <f>+'LISTA DE INSUMOS'!B7</f>
        <v>Ayudante (jornal + prestaciones)</v>
      </c>
      <c r="E408" s="145" t="str">
        <f>+'LISTA DE INSUMOS'!C7</f>
        <v>Dia</v>
      </c>
      <c r="F408" s="147">
        <v>1</v>
      </c>
      <c r="G408" s="148">
        <f>+'LISTA DE INSUMOS'!E7</f>
        <v>81861</v>
      </c>
      <c r="H408" s="154">
        <f>1/1200</f>
        <v>8.3333333333333339E-4</v>
      </c>
      <c r="I408" s="148">
        <f>ROUND((F408*G408*H408),0)</f>
        <v>68</v>
      </c>
      <c r="J408" s="47"/>
      <c r="K408" s="143"/>
    </row>
    <row r="409" spans="2:11" s="317" customFormat="1" ht="24.9" hidden="1" customHeight="1" x14ac:dyDescent="0.2">
      <c r="B409" s="319" t="s">
        <v>1608</v>
      </c>
      <c r="C409" s="319"/>
      <c r="D409" s="320" t="s">
        <v>1431</v>
      </c>
      <c r="E409" s="319" t="s">
        <v>2586</v>
      </c>
      <c r="F409" s="321"/>
      <c r="G409" s="312">
        <f>ROUND(SUM(I409:I416),0)</f>
        <v>114524</v>
      </c>
      <c r="H409" s="322"/>
      <c r="I409" s="312"/>
      <c r="J409" s="313"/>
      <c r="K409" s="323"/>
    </row>
    <row r="410" spans="2:11" s="317" customFormat="1" ht="24.9" hidden="1" customHeight="1" thickBot="1" x14ac:dyDescent="0.25">
      <c r="B410" s="347" t="s">
        <v>1325</v>
      </c>
      <c r="C410" s="322" t="str">
        <f>+'LISTA DE INSUMOS'!A299</f>
        <v>MAT271</v>
      </c>
      <c r="D410" s="324" t="str">
        <f>+'LISTA DE INSUMOS'!B299</f>
        <v>Afirmado</v>
      </c>
      <c r="E410" s="322" t="str">
        <f>+'LISTA DE INSUMOS'!C299</f>
        <v>M3</v>
      </c>
      <c r="F410" s="325">
        <v>1</v>
      </c>
      <c r="G410" s="312">
        <f>'LISTA DE INSUMOS'!E299</f>
        <v>55402.97659875</v>
      </c>
      <c r="H410" s="322">
        <v>1.3</v>
      </c>
      <c r="I410" s="312">
        <f t="shared" ref="I410:I418" si="6">ROUND((F410*G410*H410),0)</f>
        <v>72024</v>
      </c>
      <c r="J410" s="313"/>
      <c r="K410" s="323"/>
    </row>
    <row r="411" spans="2:11" s="317" customFormat="1" ht="24.9" hidden="1" customHeight="1" thickTop="1" x14ac:dyDescent="0.2">
      <c r="B411" s="693" t="s">
        <v>1310</v>
      </c>
      <c r="C411" s="322" t="str">
        <f>+B336</f>
        <v>ITE056</v>
      </c>
      <c r="D411" s="320" t="str">
        <f>+D336</f>
        <v xml:space="preserve">Transporte material &lt; 40 Km </v>
      </c>
      <c r="E411" s="319" t="str">
        <f>+E336</f>
        <v>M3-Km</v>
      </c>
      <c r="F411" s="325">
        <v>15</v>
      </c>
      <c r="G411" s="312">
        <f>G336</f>
        <v>1634</v>
      </c>
      <c r="H411" s="322">
        <v>0</v>
      </c>
      <c r="I411" s="312">
        <f>ROUND((F411*G411),0)</f>
        <v>24510</v>
      </c>
      <c r="J411" s="313"/>
      <c r="K411" s="323"/>
    </row>
    <row r="412" spans="2:11" s="317" customFormat="1" ht="24.9" hidden="1" customHeight="1" thickBot="1" x14ac:dyDescent="0.25">
      <c r="B412" s="668"/>
      <c r="C412" s="319" t="str">
        <f>+B417</f>
        <v>ITE068</v>
      </c>
      <c r="D412" s="320" t="str">
        <f>+D417</f>
        <v>Transporte maquinaría pesada</v>
      </c>
      <c r="E412" s="322" t="str">
        <f>+E417</f>
        <v>Km</v>
      </c>
      <c r="F412" s="332">
        <v>60</v>
      </c>
      <c r="G412" s="312">
        <f>G417</f>
        <v>26702</v>
      </c>
      <c r="H412" s="326">
        <f>1/400</f>
        <v>2.5000000000000001E-3</v>
      </c>
      <c r="I412" s="312">
        <f t="shared" si="6"/>
        <v>4005</v>
      </c>
      <c r="J412" s="313"/>
      <c r="K412" s="323"/>
    </row>
    <row r="413" spans="2:11" s="317" customFormat="1" ht="24.9" hidden="1" customHeight="1" thickTop="1" thickBot="1" x14ac:dyDescent="0.25">
      <c r="B413" s="342" t="s">
        <v>1034</v>
      </c>
      <c r="C413" s="322" t="str">
        <f>+'LISTA DE INSUMOS'!A7</f>
        <v>MOB004</v>
      </c>
      <c r="D413" s="324" t="str">
        <f>+'LISTA DE INSUMOS'!B7</f>
        <v>Ayudante (jornal + prestaciones)</v>
      </c>
      <c r="E413" s="322" t="str">
        <f>+'LISTA DE INSUMOS'!C7</f>
        <v>Dia</v>
      </c>
      <c r="F413" s="325">
        <v>1</v>
      </c>
      <c r="G413" s="312">
        <f>+'LISTA DE INSUMOS'!E7</f>
        <v>81861</v>
      </c>
      <c r="H413" s="326">
        <f>1/30</f>
        <v>3.3333333333333333E-2</v>
      </c>
      <c r="I413" s="312">
        <f t="shared" si="6"/>
        <v>2729</v>
      </c>
      <c r="J413" s="313"/>
      <c r="K413" s="323"/>
    </row>
    <row r="414" spans="2:11" s="317" customFormat="1" ht="24.9" hidden="1" customHeight="1" thickTop="1" x14ac:dyDescent="0.2">
      <c r="B414" s="693" t="s">
        <v>1033</v>
      </c>
      <c r="C414" s="322" t="str">
        <f>+'LISTA DE INSUMOS'!A764</f>
        <v>EQU008</v>
      </c>
      <c r="D414" s="324" t="str">
        <f>+'LISTA DE INSUMOS'!B764</f>
        <v xml:space="preserve">Motoniveladora </v>
      </c>
      <c r="E414" s="322" t="str">
        <f>+'LISTA DE INSUMOS'!C764</f>
        <v>Hr</v>
      </c>
      <c r="F414" s="325">
        <v>1</v>
      </c>
      <c r="G414" s="312">
        <f>'LISTA DE INSUMOS'!E764</f>
        <v>176527.98966364568</v>
      </c>
      <c r="H414" s="326">
        <f>1/30</f>
        <v>3.3333333333333333E-2</v>
      </c>
      <c r="I414" s="312">
        <f t="shared" si="6"/>
        <v>5884</v>
      </c>
      <c r="J414" s="313"/>
      <c r="K414" s="323"/>
    </row>
    <row r="415" spans="2:11" s="317" customFormat="1" ht="24.9" hidden="1" customHeight="1" thickBot="1" x14ac:dyDescent="0.25">
      <c r="B415" s="668"/>
      <c r="C415" s="322" t="str">
        <f>+'LISTA DE INSUMOS'!A770</f>
        <v>EQU013</v>
      </c>
      <c r="D415" s="324" t="str">
        <f>+'LISTA DE INSUMOS'!B770</f>
        <v>Cilindro compactador vibratorio Dynapac 7 ton</v>
      </c>
      <c r="E415" s="322" t="str">
        <f>+'LISTA DE INSUMOS'!C770</f>
        <v>Hr</v>
      </c>
      <c r="F415" s="332">
        <v>1</v>
      </c>
      <c r="G415" s="312">
        <f>'LISTA DE INSUMOS'!E770</f>
        <v>108633.95167481998</v>
      </c>
      <c r="H415" s="326">
        <f>1/30</f>
        <v>3.3333333333333333E-2</v>
      </c>
      <c r="I415" s="312">
        <f>ROUND((F415*G415*H415),0)</f>
        <v>3621</v>
      </c>
      <c r="J415" s="313"/>
      <c r="K415" s="323"/>
    </row>
    <row r="416" spans="2:11" s="317" customFormat="1" ht="24.9" hidden="1" customHeight="1" thickTop="1" thickBot="1" x14ac:dyDescent="0.25">
      <c r="B416" s="343" t="s">
        <v>421</v>
      </c>
      <c r="C416" s="329" t="str">
        <f>+'LISTA DE INSUMOS'!A824</f>
        <v>ESY002</v>
      </c>
      <c r="D416" s="328" t="str">
        <f>+'LISTA DE INSUMOS'!B824</f>
        <v>Toma de densidades</v>
      </c>
      <c r="E416" s="329" t="str">
        <f>+'LISTA DE INSUMOS'!C824</f>
        <v>Un</v>
      </c>
      <c r="F416" s="344">
        <f>1/40</f>
        <v>2.5000000000000001E-2</v>
      </c>
      <c r="G416" s="345">
        <f>'LISTA DE INSUMOS'!E824</f>
        <v>70022.270999999993</v>
      </c>
      <c r="H416" s="346">
        <v>0</v>
      </c>
      <c r="I416" s="331">
        <f>ROUND((F416*G416),0)</f>
        <v>1751</v>
      </c>
      <c r="J416" s="313"/>
      <c r="K416" s="323"/>
    </row>
    <row r="417" spans="2:11" ht="24.9" customHeight="1" x14ac:dyDescent="0.2">
      <c r="B417" s="117" t="s">
        <v>1917</v>
      </c>
      <c r="C417" s="117"/>
      <c r="D417" s="112" t="s">
        <v>1330</v>
      </c>
      <c r="E417" s="117" t="s">
        <v>1906</v>
      </c>
      <c r="F417" s="118"/>
      <c r="G417" s="119">
        <f>ROUND(SUM(I417:I418),0)</f>
        <v>26702</v>
      </c>
      <c r="H417" s="120"/>
      <c r="I417" s="119"/>
      <c r="J417" s="47"/>
      <c r="K417" s="143"/>
    </row>
    <row r="418" spans="2:11" ht="24.9" customHeight="1" thickBot="1" x14ac:dyDescent="0.25">
      <c r="B418" s="157" t="s">
        <v>1033</v>
      </c>
      <c r="C418" s="151" t="str">
        <f>+'LISTA DE INSUMOS'!A787</f>
        <v>EQU030</v>
      </c>
      <c r="D418" s="146" t="str">
        <f>+'LISTA DE INSUMOS'!B787</f>
        <v>Cama baja</v>
      </c>
      <c r="E418" s="516" t="str">
        <f>+'LISTA DE INSUMOS'!C787</f>
        <v>Serv x 10Km</v>
      </c>
      <c r="F418" s="147">
        <v>1</v>
      </c>
      <c r="G418" s="148">
        <f>'LISTA DE INSUMOS'!E787</f>
        <v>242743.87279999998</v>
      </c>
      <c r="H418" s="154">
        <v>0.11</v>
      </c>
      <c r="I418" s="148">
        <f t="shared" si="6"/>
        <v>26702</v>
      </c>
      <c r="J418" s="47"/>
      <c r="K418" s="143"/>
    </row>
    <row r="419" spans="2:11" ht="24.9" customHeight="1" x14ac:dyDescent="0.2">
      <c r="B419" s="117" t="s">
        <v>1608</v>
      </c>
      <c r="C419" s="117"/>
      <c r="D419" s="112" t="s">
        <v>1331</v>
      </c>
      <c r="E419" s="117" t="s">
        <v>1412</v>
      </c>
      <c r="F419" s="118"/>
      <c r="G419" s="119">
        <f>ROUND(SUM(I419:I423),0)</f>
        <v>4025</v>
      </c>
      <c r="H419" s="120"/>
      <c r="I419" s="119"/>
      <c r="J419" s="47"/>
      <c r="K419" s="143"/>
    </row>
    <row r="420" spans="2:11" ht="24.9" customHeight="1" x14ac:dyDescent="0.2">
      <c r="B420" s="672" t="s">
        <v>1035</v>
      </c>
      <c r="C420" s="108" t="str">
        <f>+'LISTA DE INSUMOS'!A296</f>
        <v>MAT268</v>
      </c>
      <c r="D420" s="139" t="str">
        <f>+'LISTA DE INSUMOS'!B296</f>
        <v>Cinta de señalización cal 6</v>
      </c>
      <c r="E420" s="108" t="str">
        <f>+'LISTA DE INSUMOS'!C296</f>
        <v>M</v>
      </c>
      <c r="F420" s="140">
        <v>2</v>
      </c>
      <c r="G420" s="141">
        <f>'LISTA DE INSUMOS'!E296</f>
        <v>252.86062064999996</v>
      </c>
      <c r="H420" s="108">
        <f>1/2</f>
        <v>0.5</v>
      </c>
      <c r="I420" s="141">
        <f>ROUND((F420*G420*H420),0)</f>
        <v>253</v>
      </c>
      <c r="J420" s="47"/>
      <c r="K420" s="143"/>
    </row>
    <row r="421" spans="2:11" ht="24.9" customHeight="1" x14ac:dyDescent="0.2">
      <c r="B421" s="672"/>
      <c r="C421" s="125" t="str">
        <f>+'LISTA DE INSUMOS'!A32</f>
        <v>MAT003</v>
      </c>
      <c r="D421" s="155" t="str">
        <f>+'LISTA DE INSUMOS'!B32</f>
        <v>Arena</v>
      </c>
      <c r="E421" s="125" t="str">
        <f>+'LISTA DE INSUMOS'!C32</f>
        <v>M3</v>
      </c>
      <c r="F421" s="159">
        <v>8.0000000000000002E-3</v>
      </c>
      <c r="G421" s="170">
        <f>'LISTA DE INSUMOS'!E32</f>
        <v>112536.56002875</v>
      </c>
      <c r="H421" s="108">
        <v>1.03</v>
      </c>
      <c r="I421" s="141">
        <f>ROUND((F421*G421*H421),0)</f>
        <v>927</v>
      </c>
      <c r="J421" s="47"/>
      <c r="K421" s="143"/>
    </row>
    <row r="422" spans="2:11" ht="24.9" customHeight="1" thickBot="1" x14ac:dyDescent="0.25">
      <c r="B422" s="673"/>
      <c r="C422" s="125" t="str">
        <f>+'LISTA DE INSUMOS'!A215</f>
        <v>MAT181</v>
      </c>
      <c r="D422" s="155" t="str">
        <f>+'LISTA DE INSUMOS'!B215</f>
        <v>Señalizador tubular trafico (2 líneas de cinta)</v>
      </c>
      <c r="E422" s="125" t="str">
        <f>+'LISTA DE INSUMOS'!C215</f>
        <v>Un</v>
      </c>
      <c r="F422" s="159">
        <v>1</v>
      </c>
      <c r="G422" s="141">
        <f>'LISTA DE INSUMOS'!E215</f>
        <v>68573.680266167983</v>
      </c>
      <c r="H422" s="108">
        <f>1/25</f>
        <v>0.04</v>
      </c>
      <c r="I422" s="141">
        <f>ROUND((F422*G422*H422),0)</f>
        <v>2743</v>
      </c>
      <c r="J422" s="47"/>
      <c r="K422" s="143"/>
    </row>
    <row r="423" spans="2:11" ht="24.9" customHeight="1" thickTop="1" thickBot="1" x14ac:dyDescent="0.25">
      <c r="B423" s="195" t="s">
        <v>1034</v>
      </c>
      <c r="C423" s="145" t="str">
        <f>+'LISTA DE INSUMOS'!A7</f>
        <v>MOB004</v>
      </c>
      <c r="D423" s="146" t="str">
        <f>+'LISTA DE INSUMOS'!B7</f>
        <v>Ayudante (jornal + prestaciones)</v>
      </c>
      <c r="E423" s="145" t="str">
        <f>+'LISTA DE INSUMOS'!C7</f>
        <v>Dia</v>
      </c>
      <c r="F423" s="147">
        <v>1</v>
      </c>
      <c r="G423" s="148">
        <f>+'LISTA DE INSUMOS'!E7</f>
        <v>81861</v>
      </c>
      <c r="H423" s="196">
        <f>1/800</f>
        <v>1.25E-3</v>
      </c>
      <c r="I423" s="148">
        <f>ROUND((F423*G423*H423),0)</f>
        <v>102</v>
      </c>
      <c r="J423" s="47"/>
      <c r="K423" s="143"/>
    </row>
    <row r="424" spans="2:11" s="317" customFormat="1" ht="24.9" hidden="1" customHeight="1" x14ac:dyDescent="0.2">
      <c r="B424" s="319" t="s">
        <v>1506</v>
      </c>
      <c r="C424" s="319"/>
      <c r="D424" s="320" t="s">
        <v>1737</v>
      </c>
      <c r="E424" s="319" t="s">
        <v>1412</v>
      </c>
      <c r="F424" s="321"/>
      <c r="G424" s="312">
        <f>ROUND(SUM(I424:I428),0)</f>
        <v>26385</v>
      </c>
      <c r="H424" s="322"/>
      <c r="I424" s="312"/>
      <c r="J424" s="313"/>
      <c r="K424" s="323"/>
    </row>
    <row r="425" spans="2:11" s="317" customFormat="1" ht="24.9" hidden="1" customHeight="1" thickBot="1" x14ac:dyDescent="0.25">
      <c r="B425" s="347" t="s">
        <v>1325</v>
      </c>
      <c r="C425" s="322" t="str">
        <f>+'LISTA DE INSUMOS'!A32</f>
        <v>MAT003</v>
      </c>
      <c r="D425" s="324" t="str">
        <f>+'LISTA DE INSUMOS'!B32</f>
        <v>Arena</v>
      </c>
      <c r="E425" s="322" t="str">
        <f>+'LISTA DE INSUMOS'!C32</f>
        <v>M3</v>
      </c>
      <c r="F425" s="325">
        <f>0.2*0.05</f>
        <v>1.0000000000000002E-2</v>
      </c>
      <c r="G425" s="312">
        <f>'LISTA DE INSUMOS'!E32</f>
        <v>112536.56002875</v>
      </c>
      <c r="H425" s="322">
        <v>0</v>
      </c>
      <c r="I425" s="312">
        <f>ROUND((F425*G425),0)</f>
        <v>1125</v>
      </c>
      <c r="J425" s="313"/>
      <c r="K425" s="323"/>
    </row>
    <row r="426" spans="2:11" s="317" customFormat="1" ht="24.9" hidden="1" customHeight="1" thickTop="1" thickBot="1" x14ac:dyDescent="0.25">
      <c r="B426" s="347" t="s">
        <v>1310</v>
      </c>
      <c r="C426" s="322" t="str">
        <f>+B336</f>
        <v>ITE056</v>
      </c>
      <c r="D426" s="320" t="str">
        <f>+D336</f>
        <v xml:space="preserve">Transporte material &lt; 40 Km </v>
      </c>
      <c r="E426" s="319" t="str">
        <f>+E336</f>
        <v>M3-Km</v>
      </c>
      <c r="F426" s="325">
        <v>15</v>
      </c>
      <c r="G426" s="312">
        <f>G336</f>
        <v>1634</v>
      </c>
      <c r="H426" s="322">
        <v>0</v>
      </c>
      <c r="I426" s="312">
        <f>ROUND((F426*G426),0)</f>
        <v>24510</v>
      </c>
      <c r="J426" s="313"/>
      <c r="K426" s="323"/>
    </row>
    <row r="427" spans="2:11" s="317" customFormat="1" ht="24.9" hidden="1" customHeight="1" thickTop="1" thickBot="1" x14ac:dyDescent="0.25">
      <c r="B427" s="342" t="s">
        <v>1034</v>
      </c>
      <c r="C427" s="322" t="str">
        <f>+'LISTA DE INSUMOS'!A7</f>
        <v>MOB004</v>
      </c>
      <c r="D427" s="324" t="str">
        <f>+'LISTA DE INSUMOS'!B7</f>
        <v>Ayudante (jornal + prestaciones)</v>
      </c>
      <c r="E427" s="322" t="str">
        <f>+'LISTA DE INSUMOS'!C7</f>
        <v>Dia</v>
      </c>
      <c r="F427" s="325">
        <v>1</v>
      </c>
      <c r="G427" s="312">
        <f>+'LISTA DE INSUMOS'!E7</f>
        <v>81861</v>
      </c>
      <c r="H427" s="326">
        <f>1/120</f>
        <v>8.3333333333333332E-3</v>
      </c>
      <c r="I427" s="312">
        <f>ROUND((F427*G427*H427),0)</f>
        <v>682</v>
      </c>
      <c r="J427" s="313"/>
      <c r="K427" s="323"/>
    </row>
    <row r="428" spans="2:11" s="317" customFormat="1" ht="24.9" hidden="1" customHeight="1" thickTop="1" thickBot="1" x14ac:dyDescent="0.25">
      <c r="B428" s="255" t="s">
        <v>1033</v>
      </c>
      <c r="C428" s="327" t="str">
        <f>+'LISTA DE INSUMOS'!A758</f>
        <v>EQU002</v>
      </c>
      <c r="D428" s="328" t="str">
        <f>+'LISTA DE INSUMOS'!B758</f>
        <v>Herramienta menor (% mano obra)</v>
      </c>
      <c r="E428" s="329" t="str">
        <f>+'LISTA DE INSUMOS'!C758</f>
        <v>%MO</v>
      </c>
      <c r="F428" s="330">
        <v>0.1</v>
      </c>
      <c r="G428" s="331">
        <f>I427</f>
        <v>682</v>
      </c>
      <c r="H428" s="329">
        <v>0</v>
      </c>
      <c r="I428" s="331">
        <f>ROUND((F428*G428),0)</f>
        <v>68</v>
      </c>
      <c r="J428" s="313"/>
      <c r="K428" s="323"/>
    </row>
    <row r="429" spans="2:11" ht="30" customHeight="1" x14ac:dyDescent="0.2">
      <c r="B429" s="117" t="s">
        <v>1770</v>
      </c>
      <c r="C429" s="117"/>
      <c r="D429" s="112" t="s">
        <v>1562</v>
      </c>
      <c r="E429" s="117" t="s">
        <v>2585</v>
      </c>
      <c r="F429" s="149"/>
      <c r="G429" s="119">
        <f>ROUND(SUM(I429:I432),0)</f>
        <v>6549</v>
      </c>
      <c r="H429" s="120"/>
      <c r="I429" s="119"/>
      <c r="J429" s="47"/>
      <c r="K429" s="143"/>
    </row>
    <row r="430" spans="2:11" ht="30" customHeight="1" x14ac:dyDescent="0.2">
      <c r="B430" s="678" t="s">
        <v>1034</v>
      </c>
      <c r="C430" s="108" t="str">
        <f>+'LISTA DE INSUMOS'!A21</f>
        <v>MOB018</v>
      </c>
      <c r="D430" s="139" t="str">
        <f>+'LISTA DE INSUMOS'!B21</f>
        <v>Cuadrilla H 4 Ay (jornal + prestaciones)</v>
      </c>
      <c r="E430" s="108" t="str">
        <f>+'LISTA DE INSUMOS'!C21</f>
        <v>Día</v>
      </c>
      <c r="F430" s="140">
        <v>1</v>
      </c>
      <c r="G430" s="141">
        <f>'LISTA DE INSUMOS'!E21</f>
        <v>327444</v>
      </c>
      <c r="H430" s="108">
        <f>1/60</f>
        <v>1.6666666666666666E-2</v>
      </c>
      <c r="I430" s="141">
        <f>ROUND((F430*G430*H430),0)</f>
        <v>5457</v>
      </c>
      <c r="J430" s="47"/>
      <c r="K430" s="143"/>
    </row>
    <row r="431" spans="2:11" ht="30" customHeight="1" thickBot="1" x14ac:dyDescent="0.25">
      <c r="B431" s="705"/>
      <c r="C431" s="108" t="str">
        <f>+'LISTA DE INSUMOS'!A14</f>
        <v>MOB011</v>
      </c>
      <c r="D431" s="139" t="str">
        <f>+'LISTA DE INSUMOS'!B14</f>
        <v>Acarreo Horizontal (% mano obra)</v>
      </c>
      <c r="E431" s="108" t="str">
        <f>+'LISTA DE INSUMOS'!C14</f>
        <v>% MO</v>
      </c>
      <c r="F431" s="140">
        <v>0.1</v>
      </c>
      <c r="G431" s="141">
        <f>I430</f>
        <v>5457</v>
      </c>
      <c r="H431" s="108">
        <v>0</v>
      </c>
      <c r="I431" s="141">
        <f>ROUND((F431*G431),0)</f>
        <v>546</v>
      </c>
      <c r="J431" s="47"/>
      <c r="K431" s="143"/>
    </row>
    <row r="432" spans="2:11" ht="24.9" customHeight="1" thickTop="1" thickBot="1" x14ac:dyDescent="0.25">
      <c r="B432" s="150" t="s">
        <v>1033</v>
      </c>
      <c r="C432" s="151" t="str">
        <f>+'LISTA DE INSUMOS'!A758</f>
        <v>EQU002</v>
      </c>
      <c r="D432" s="146" t="str">
        <f>+'LISTA DE INSUMOS'!B758</f>
        <v>Herramienta menor (% mano obra)</v>
      </c>
      <c r="E432" s="145" t="str">
        <f>+'LISTA DE INSUMOS'!C758</f>
        <v>%MO</v>
      </c>
      <c r="F432" s="147">
        <v>0.1</v>
      </c>
      <c r="G432" s="148">
        <f>I430</f>
        <v>5457</v>
      </c>
      <c r="H432" s="145">
        <v>0</v>
      </c>
      <c r="I432" s="148">
        <f>ROUND((F432*G432),0)</f>
        <v>546</v>
      </c>
      <c r="J432" s="47"/>
      <c r="K432" s="143"/>
    </row>
    <row r="433" spans="2:11" ht="24.9" customHeight="1" x14ac:dyDescent="0.2">
      <c r="B433" s="117" t="s">
        <v>474</v>
      </c>
      <c r="C433" s="117"/>
      <c r="D433" s="112" t="s">
        <v>1664</v>
      </c>
      <c r="E433" s="117" t="s">
        <v>2585</v>
      </c>
      <c r="F433" s="149"/>
      <c r="G433" s="119">
        <f>ROUND(SUM(I433:I435),0)</f>
        <v>5127</v>
      </c>
      <c r="H433" s="120"/>
      <c r="I433" s="119"/>
      <c r="J433" s="47"/>
      <c r="K433" s="143"/>
    </row>
    <row r="434" spans="2:11" ht="24.9" customHeight="1" thickBot="1" x14ac:dyDescent="0.25">
      <c r="B434" s="175" t="s">
        <v>1325</v>
      </c>
      <c r="C434" s="108" t="str">
        <f>+'LISTA DE INSUMOS'!A165</f>
        <v>MAT120</v>
      </c>
      <c r="D434" s="139" t="str">
        <f>+'LISTA DE INSUMOS'!B165</f>
        <v>Geotextil no tejido 1,600 a = 3,50 m</v>
      </c>
      <c r="E434" s="108" t="str">
        <f>+'LISTA DE INSUMOS'!C165</f>
        <v>M2</v>
      </c>
      <c r="F434" s="140">
        <v>1</v>
      </c>
      <c r="G434" s="141">
        <f>'LISTA DE INSUMOS'!E165</f>
        <v>3843.0260999999996</v>
      </c>
      <c r="H434" s="108">
        <v>1.03</v>
      </c>
      <c r="I434" s="141">
        <f>ROUND((F434*G434*H434),0)</f>
        <v>3958</v>
      </c>
      <c r="J434" s="47"/>
      <c r="K434" s="143"/>
    </row>
    <row r="435" spans="2:11" ht="24.9" customHeight="1" thickTop="1" thickBot="1" x14ac:dyDescent="0.25">
      <c r="B435" s="153" t="s">
        <v>1034</v>
      </c>
      <c r="C435" s="145" t="str">
        <f>+'LISTA DE INSUMOS'!A7</f>
        <v>MOB004</v>
      </c>
      <c r="D435" s="146" t="str">
        <f>+'LISTA DE INSUMOS'!B7</f>
        <v>Ayudante (jornal + prestaciones)</v>
      </c>
      <c r="E435" s="145" t="str">
        <f>+'LISTA DE INSUMOS'!C7</f>
        <v>Dia</v>
      </c>
      <c r="F435" s="147">
        <v>1</v>
      </c>
      <c r="G435" s="148">
        <f>+'LISTA DE INSUMOS'!E7</f>
        <v>81861</v>
      </c>
      <c r="H435" s="154">
        <f>1/70</f>
        <v>1.4285714285714285E-2</v>
      </c>
      <c r="I435" s="148">
        <f>ROUND((F435*G435*H435),0)</f>
        <v>1169</v>
      </c>
      <c r="J435" s="47"/>
      <c r="K435" s="143"/>
    </row>
    <row r="436" spans="2:11" ht="18" hidden="1" customHeight="1" x14ac:dyDescent="0.2">
      <c r="B436" s="117" t="s">
        <v>1506</v>
      </c>
      <c r="C436" s="117"/>
      <c r="D436" s="112" t="s">
        <v>3250</v>
      </c>
      <c r="E436" s="117" t="s">
        <v>2586</v>
      </c>
      <c r="F436" s="118"/>
      <c r="G436" s="119">
        <f>SUM(I437:I451)</f>
        <v>241057</v>
      </c>
      <c r="H436" s="120"/>
      <c r="I436" s="119"/>
      <c r="J436" s="47"/>
      <c r="K436" s="143"/>
    </row>
    <row r="437" spans="2:11" ht="24.9" hidden="1" customHeight="1" x14ac:dyDescent="0.2">
      <c r="B437" s="737" t="s">
        <v>1035</v>
      </c>
      <c r="C437" s="108" t="str">
        <f>+'LISTA DE INSUMOS'!A209</f>
        <v>MAT170</v>
      </c>
      <c r="D437" s="139" t="str">
        <f>+'LISTA DE INSUMOS'!B209</f>
        <v>Geotextil tejido 3000-4000 TR</v>
      </c>
      <c r="E437" s="108" t="str">
        <f>+'LISTA DE INSUMOS'!C209</f>
        <v>M2</v>
      </c>
      <c r="F437" s="140">
        <v>4.5</v>
      </c>
      <c r="G437" s="141">
        <f>'LISTA DE INSUMOS'!E209</f>
        <v>8504.5574476799993</v>
      </c>
      <c r="H437" s="108">
        <v>1.05</v>
      </c>
      <c r="I437" s="141">
        <f>ROUND((F437*G437*H437),0)</f>
        <v>40184</v>
      </c>
      <c r="J437" s="47"/>
      <c r="K437" s="143"/>
    </row>
    <row r="438" spans="2:11" ht="24.9" hidden="1" customHeight="1" x14ac:dyDescent="0.2">
      <c r="B438" s="737"/>
      <c r="C438" s="108" t="str">
        <f>+'LISTA DE INSUMOS'!A204</f>
        <v>MAT164</v>
      </c>
      <c r="D438" s="139" t="str">
        <f>+'LISTA DE INSUMOS'!B204</f>
        <v>Tierra no vegetal</v>
      </c>
      <c r="E438" s="108" t="str">
        <f>+'LISTA DE INSUMOS'!C204</f>
        <v>M3</v>
      </c>
      <c r="F438" s="140">
        <v>1</v>
      </c>
      <c r="G438" s="141">
        <f>'LISTA DE INSUMOS'!E204</f>
        <v>13083.720718109247</v>
      </c>
      <c r="H438" s="108">
        <v>1.3</v>
      </c>
      <c r="I438" s="141">
        <f>ROUND((F438*G438*H438),0)</f>
        <v>17009</v>
      </c>
      <c r="J438" s="47"/>
      <c r="K438" s="143"/>
    </row>
    <row r="439" spans="2:11" ht="24.9" hidden="1" customHeight="1" x14ac:dyDescent="0.2">
      <c r="B439" s="737"/>
      <c r="C439" s="108" t="str">
        <f>+'LISTA DE INSUMOS'!A46</f>
        <v>MAT017</v>
      </c>
      <c r="D439" s="139" t="str">
        <f>+'LISTA DE INSUMOS'!B46</f>
        <v>Tabla para formaleta de 1" x 10" x 2,9 m</v>
      </c>
      <c r="E439" s="108" t="str">
        <f>+'LISTA DE INSUMOS'!C46</f>
        <v>M</v>
      </c>
      <c r="F439" s="140">
        <v>1.5</v>
      </c>
      <c r="G439" s="141">
        <f>'LISTA DE INSUMOS'!E46</f>
        <v>8112.0359999999991</v>
      </c>
      <c r="H439" s="108">
        <v>0</v>
      </c>
      <c r="I439" s="141">
        <f>ROUND((F439*G439),0)</f>
        <v>12168</v>
      </c>
      <c r="J439" s="47"/>
      <c r="K439" s="143"/>
    </row>
    <row r="440" spans="2:11" ht="8.1" hidden="1" customHeight="1" x14ac:dyDescent="0.2">
      <c r="B440" s="737"/>
      <c r="C440" s="108" t="str">
        <f>+'LISTA DE INSUMOS'!A49</f>
        <v>MAT018</v>
      </c>
      <c r="D440" s="139" t="str">
        <f>+'LISTA DE INSUMOS'!B49</f>
        <v>Cuartón de sajo 2" x 4" x 2,9 m</v>
      </c>
      <c r="E440" s="108" t="str">
        <f>+'LISTA DE INSUMOS'!C49</f>
        <v>M</v>
      </c>
      <c r="F440" s="140">
        <v>1</v>
      </c>
      <c r="G440" s="141">
        <f>'LISTA DE INSUMOS'!E49</f>
        <v>11944.810644542158</v>
      </c>
      <c r="H440" s="108">
        <v>0</v>
      </c>
      <c r="I440" s="141">
        <f>ROUND((F440*G440),0)</f>
        <v>11945</v>
      </c>
      <c r="J440" s="47"/>
      <c r="K440" s="143"/>
    </row>
    <row r="441" spans="2:11" ht="24.9" hidden="1" customHeight="1" x14ac:dyDescent="0.2">
      <c r="B441" s="737"/>
      <c r="C441" s="108" t="str">
        <f>+'LISTA DE INSUMOS'!A52</f>
        <v>MAT021</v>
      </c>
      <c r="D441" s="139" t="str">
        <f>+'LISTA DE INSUMOS'!B52</f>
        <v>Puntilla (promedio)</v>
      </c>
      <c r="E441" s="108" t="str">
        <f>+'LISTA DE INSUMOS'!C52</f>
        <v>Lb</v>
      </c>
      <c r="F441" s="189">
        <v>0.2</v>
      </c>
      <c r="G441" s="141">
        <f>'LISTA DE INSUMOS'!E52</f>
        <v>6690.6972299999998</v>
      </c>
      <c r="H441" s="108">
        <v>0</v>
      </c>
      <c r="I441" s="141">
        <f>ROUND((F441*G441),0)</f>
        <v>1338</v>
      </c>
      <c r="J441" s="47"/>
      <c r="K441" s="143"/>
    </row>
    <row r="442" spans="2:11" ht="24.9" hidden="1" customHeight="1" x14ac:dyDescent="0.2">
      <c r="B442" s="737"/>
      <c r="C442" s="125" t="str">
        <f>+'LISTA DE INSUMOS'!A53</f>
        <v>MAT022</v>
      </c>
      <c r="D442" s="155" t="str">
        <f>+'LISTA DE INSUMOS'!B53</f>
        <v>Alambre negro calibre 17</v>
      </c>
      <c r="E442" s="125" t="str">
        <f>+'LISTA DE INSUMOS'!C53</f>
        <v>Kg</v>
      </c>
      <c r="F442" s="140">
        <v>0.4</v>
      </c>
      <c r="G442" s="170">
        <f>'LISTA DE INSUMOS'!E53</f>
        <v>7948.98</v>
      </c>
      <c r="H442" s="108">
        <v>1.05</v>
      </c>
      <c r="I442" s="141">
        <f>ROUND((F442*G442*H442),0)</f>
        <v>3339</v>
      </c>
      <c r="J442" s="47"/>
      <c r="K442" s="143"/>
    </row>
    <row r="443" spans="2:11" ht="24.9" hidden="1" customHeight="1" x14ac:dyDescent="0.2">
      <c r="B443" s="737"/>
      <c r="C443" s="108" t="str">
        <f>+'LISTA DE INSUMOS'!A51</f>
        <v>MAT020</v>
      </c>
      <c r="D443" s="139" t="str">
        <f>+'LISTA DE INSUMOS'!B51</f>
        <v>Guadua basa longitud promedio = 5 m</v>
      </c>
      <c r="E443" s="108" t="str">
        <f>+'LISTA DE INSUMOS'!C51</f>
        <v>Un</v>
      </c>
      <c r="F443" s="140">
        <v>0.04</v>
      </c>
      <c r="G443" s="141">
        <f>'LISTA DE INSUMOS'!E51</f>
        <v>8662.3499999999985</v>
      </c>
      <c r="H443" s="108">
        <v>0</v>
      </c>
      <c r="I443" s="141">
        <f>ROUND((F443*G443),0)</f>
        <v>346</v>
      </c>
      <c r="J443" s="47"/>
      <c r="K443" s="143"/>
    </row>
    <row r="444" spans="2:11" ht="24.9" hidden="1" customHeight="1" thickTop="1" x14ac:dyDescent="0.2">
      <c r="B444" s="758" t="s">
        <v>1310</v>
      </c>
      <c r="C444" s="108" t="str">
        <f>+B210</f>
        <v>ITE040</v>
      </c>
      <c r="D444" s="139" t="str">
        <f>+D210</f>
        <v>Corte en material común con máquina</v>
      </c>
      <c r="E444" s="108" t="str">
        <f>+E210</f>
        <v>M3</v>
      </c>
      <c r="F444" s="140">
        <v>1</v>
      </c>
      <c r="G444" s="141">
        <f>G210</f>
        <v>7109</v>
      </c>
      <c r="H444" s="108">
        <v>0</v>
      </c>
      <c r="I444" s="141">
        <f>ROUND((F444*G444),0)</f>
        <v>7109</v>
      </c>
      <c r="J444" s="47"/>
      <c r="K444" s="143"/>
    </row>
    <row r="445" spans="2:11" ht="24.9" hidden="1" customHeight="1" x14ac:dyDescent="0.2">
      <c r="B445" s="759"/>
      <c r="C445" s="108" t="str">
        <f>+B331</f>
        <v>ITE054</v>
      </c>
      <c r="D445" s="139" t="str">
        <f>+D331</f>
        <v>Cargue mecánico de material</v>
      </c>
      <c r="E445" s="108" t="str">
        <f>+E331</f>
        <v>M3</v>
      </c>
      <c r="F445" s="140">
        <v>1.3</v>
      </c>
      <c r="G445" s="141">
        <f>G331</f>
        <v>5613</v>
      </c>
      <c r="H445" s="108">
        <v>0</v>
      </c>
      <c r="I445" s="141">
        <f>ROUND((F445*G445),0)</f>
        <v>7297</v>
      </c>
      <c r="J445" s="47"/>
      <c r="K445" s="143"/>
    </row>
    <row r="446" spans="2:11" ht="24.9" hidden="1" customHeight="1" x14ac:dyDescent="0.2">
      <c r="B446" s="759"/>
      <c r="C446" s="108" t="str">
        <f>+B336</f>
        <v>ITE056</v>
      </c>
      <c r="D446" s="167" t="str">
        <f>+D336</f>
        <v xml:space="preserve">Transporte material &lt; 40 Km </v>
      </c>
      <c r="E446" s="166" t="str">
        <f>+E336</f>
        <v>M3-Km</v>
      </c>
      <c r="F446" s="160">
        <v>15</v>
      </c>
      <c r="G446" s="141">
        <f>G336</f>
        <v>1634</v>
      </c>
      <c r="H446" s="108">
        <v>0</v>
      </c>
      <c r="I446" s="141">
        <f>ROUND((F446*G446),0)</f>
        <v>24510</v>
      </c>
      <c r="J446" s="47"/>
      <c r="K446" s="143"/>
    </row>
    <row r="447" spans="2:11" ht="24.9" hidden="1" customHeight="1" thickBot="1" x14ac:dyDescent="0.25">
      <c r="B447" s="760"/>
      <c r="C447" s="166" t="str">
        <f>+B417</f>
        <v>ITE068</v>
      </c>
      <c r="D447" s="167" t="str">
        <f>+D417</f>
        <v>Transporte maquinaría pesada</v>
      </c>
      <c r="E447" s="108" t="str">
        <f>+E417</f>
        <v>Km</v>
      </c>
      <c r="F447" s="160">
        <v>60</v>
      </c>
      <c r="G447" s="141">
        <f>G417</f>
        <v>26702</v>
      </c>
      <c r="H447" s="142">
        <f>1/400</f>
        <v>2.5000000000000001E-3</v>
      </c>
      <c r="I447" s="141">
        <f>ROUND((F447*G447*H447),0)</f>
        <v>4005</v>
      </c>
      <c r="J447" s="47"/>
      <c r="K447" s="143"/>
    </row>
    <row r="448" spans="2:11" ht="24.9" hidden="1" customHeight="1" thickTop="1" x14ac:dyDescent="0.2">
      <c r="B448" s="156" t="s">
        <v>1034</v>
      </c>
      <c r="C448" s="125" t="str">
        <f>+'LISTA DE INSUMOS'!A16</f>
        <v>MOB013</v>
      </c>
      <c r="D448" s="155" t="str">
        <f>+'LISTA DE INSUMOS'!B16</f>
        <v>Cuadrilla C 1 Of + 7 Ay (jornal + prestaciones)</v>
      </c>
      <c r="E448" s="125" t="str">
        <f>+'LISTA DE INSUMOS'!C16</f>
        <v>Día</v>
      </c>
      <c r="F448" s="140">
        <v>1</v>
      </c>
      <c r="G448" s="190">
        <f>'LISTA DE INSUMOS'!E16</f>
        <v>736750</v>
      </c>
      <c r="H448" s="108">
        <f>1/8</f>
        <v>0.125</v>
      </c>
      <c r="I448" s="141">
        <f>ROUND((F448*G448*H448),0)</f>
        <v>92094</v>
      </c>
      <c r="J448" s="47"/>
      <c r="K448" s="143"/>
    </row>
    <row r="449" spans="2:11" ht="24.9" hidden="1" customHeight="1" thickTop="1" x14ac:dyDescent="0.2">
      <c r="B449" s="674" t="s">
        <v>1033</v>
      </c>
      <c r="C449" s="108" t="str">
        <f>+'LISTA DE INSUMOS'!A758</f>
        <v>EQU002</v>
      </c>
      <c r="D449" s="139" t="str">
        <f>+'LISTA DE INSUMOS'!B758</f>
        <v>Herramienta menor (% mano obra)</v>
      </c>
      <c r="E449" s="108" t="str">
        <f>+'LISTA DE INSUMOS'!C758</f>
        <v>%MO</v>
      </c>
      <c r="F449" s="140">
        <v>0.1</v>
      </c>
      <c r="G449" s="141">
        <f>I448</f>
        <v>92094</v>
      </c>
      <c r="H449" s="108">
        <v>0</v>
      </c>
      <c r="I449" s="141">
        <f>ROUND((F449*G449),0)</f>
        <v>9209</v>
      </c>
      <c r="J449" s="47"/>
      <c r="K449" s="143"/>
    </row>
    <row r="450" spans="2:11" ht="24.9" hidden="1" customHeight="1" thickBot="1" x14ac:dyDescent="0.25">
      <c r="B450" s="675"/>
      <c r="C450" s="125" t="str">
        <f>+'LISTA DE INSUMOS'!A805</f>
        <v>EQU050</v>
      </c>
      <c r="D450" s="155" t="str">
        <f>+'LISTA DE INSUMOS'!B805</f>
        <v>Cilindro compactador 2 toneladas</v>
      </c>
      <c r="E450" s="125" t="str">
        <f>+'LISTA DE INSUMOS'!C805</f>
        <v>Hr</v>
      </c>
      <c r="F450" s="160">
        <v>1</v>
      </c>
      <c r="G450" s="170">
        <f>'LISTA DE INSUMOS'!E805</f>
        <v>87527.838749999995</v>
      </c>
      <c r="H450" s="142">
        <v>0.1</v>
      </c>
      <c r="I450" s="141">
        <f>ROUND((F450*G450*H450),0)</f>
        <v>8753</v>
      </c>
      <c r="J450" s="47"/>
      <c r="K450" s="143"/>
    </row>
    <row r="451" spans="2:11" ht="24.9" hidden="1" customHeight="1" thickTop="1" thickBot="1" x14ac:dyDescent="0.25">
      <c r="B451" s="171" t="s">
        <v>421</v>
      </c>
      <c r="C451" s="145" t="str">
        <f>+'LISTA DE INSUMOS'!A824</f>
        <v>ESY002</v>
      </c>
      <c r="D451" s="146" t="str">
        <f>+'LISTA DE INSUMOS'!B824</f>
        <v>Toma de densidades</v>
      </c>
      <c r="E451" s="145" t="str">
        <f>+'LISTA DE INSUMOS'!C824</f>
        <v>Un</v>
      </c>
      <c r="F451" s="172">
        <f>1/40</f>
        <v>2.5000000000000001E-2</v>
      </c>
      <c r="G451" s="173">
        <f>'LISTA DE INSUMOS'!E824</f>
        <v>70022.270999999993</v>
      </c>
      <c r="H451" s="174">
        <v>0</v>
      </c>
      <c r="I451" s="148">
        <f>ROUND((F451*G451),0)</f>
        <v>1751</v>
      </c>
      <c r="J451" s="47"/>
      <c r="K451" s="143"/>
    </row>
    <row r="452" spans="2:11" ht="24.9" customHeight="1" x14ac:dyDescent="0.2">
      <c r="B452" s="117" t="s">
        <v>1430</v>
      </c>
      <c r="C452" s="120"/>
      <c r="D452" s="112" t="s">
        <v>176</v>
      </c>
      <c r="E452" s="117" t="s">
        <v>1412</v>
      </c>
      <c r="F452" s="118"/>
      <c r="G452" s="119">
        <f>ROUND(SUM(I453:I456),0)</f>
        <v>13164</v>
      </c>
      <c r="H452" s="120"/>
      <c r="I452" s="119"/>
      <c r="J452" s="47"/>
      <c r="K452" s="143"/>
    </row>
    <row r="453" spans="2:11" ht="24.9" customHeight="1" x14ac:dyDescent="0.2">
      <c r="B453" s="657" t="s">
        <v>1325</v>
      </c>
      <c r="C453" s="125" t="str">
        <f>+'LISTA DE INSUMOS'!A42</f>
        <v>MAT013</v>
      </c>
      <c r="D453" s="155" t="str">
        <f>+'LISTA DE INSUMOS'!B42</f>
        <v xml:space="preserve">Agua </v>
      </c>
      <c r="E453" s="125" t="str">
        <f>+'LISTA DE INSUMOS'!C42</f>
        <v>Lt</v>
      </c>
      <c r="F453" s="140">
        <v>1</v>
      </c>
      <c r="G453" s="514">
        <f>'LISTA DE INSUMOS'!E42</f>
        <v>96.828790046226644</v>
      </c>
      <c r="H453" s="108">
        <f>1</f>
        <v>1</v>
      </c>
      <c r="I453" s="141">
        <f>ROUND((F453*G453*H453),0)</f>
        <v>97</v>
      </c>
      <c r="J453" s="47"/>
      <c r="K453" s="143"/>
    </row>
    <row r="454" spans="2:11" ht="24.9" customHeight="1" thickBot="1" x14ac:dyDescent="0.25">
      <c r="B454" s="657"/>
      <c r="C454" s="125" t="str">
        <f>+'LISTA DE INSUMOS'!A601</f>
        <v>MAT618</v>
      </c>
      <c r="D454" s="155" t="str">
        <f>+'LISTA DE INSUMOS'!B601</f>
        <v>Gasolina</v>
      </c>
      <c r="E454" s="125" t="str">
        <f>+'LISTA DE INSUMOS'!C601</f>
        <v>Gl</v>
      </c>
      <c r="F454" s="140">
        <v>1</v>
      </c>
      <c r="G454" s="515">
        <f>'LISTA DE INSUMOS'!E601</f>
        <v>10920.4870665</v>
      </c>
      <c r="H454" s="108">
        <f>1/70</f>
        <v>1.4285714285714285E-2</v>
      </c>
      <c r="I454" s="141">
        <f>ROUND((F454*G454*H454),0)</f>
        <v>156</v>
      </c>
      <c r="J454" s="47"/>
      <c r="K454" s="143"/>
    </row>
    <row r="455" spans="2:11" ht="24.9" customHeight="1" thickTop="1" thickBot="1" x14ac:dyDescent="0.25">
      <c r="B455" s="156" t="s">
        <v>1034</v>
      </c>
      <c r="C455" s="125" t="str">
        <f>+'LISTA DE INSUMOS'!A8</f>
        <v>MOB005</v>
      </c>
      <c r="D455" s="155" t="str">
        <f>+'LISTA DE INSUMOS'!B8</f>
        <v>Ayudante práctico (jornal + prestaciones)</v>
      </c>
      <c r="E455" s="125" t="str">
        <f>+'LISTA DE INSUMOS'!C8</f>
        <v>Dia</v>
      </c>
      <c r="F455" s="140">
        <v>1</v>
      </c>
      <c r="G455" s="141">
        <f>+'LISTA DE INSUMOS'!E8</f>
        <v>114606</v>
      </c>
      <c r="H455" s="108">
        <f>1/15</f>
        <v>6.6666666666666666E-2</v>
      </c>
      <c r="I455" s="141">
        <f>ROUND((F455*G455*H455),0)</f>
        <v>7640</v>
      </c>
      <c r="J455" s="47"/>
      <c r="K455" s="143"/>
    </row>
    <row r="456" spans="2:11" ht="24.9" customHeight="1" thickTop="1" thickBot="1" x14ac:dyDescent="0.25">
      <c r="B456" s="150" t="s">
        <v>1033</v>
      </c>
      <c r="C456" s="197" t="str">
        <f>+'LISTA DE INSUMOS'!A788</f>
        <v>EQU031</v>
      </c>
      <c r="D456" s="198" t="str">
        <f>+'LISTA DE INSUMOS'!B788</f>
        <v>Cortadora de concreto con disco</v>
      </c>
      <c r="E456" s="194" t="str">
        <f>+'LISTA DE INSUMOS'!C788</f>
        <v>Día</v>
      </c>
      <c r="F456" s="147">
        <v>1</v>
      </c>
      <c r="G456" s="199">
        <f>'LISTA DE INSUMOS'!E788</f>
        <v>79061.436627087198</v>
      </c>
      <c r="H456" s="145">
        <f>1/15</f>
        <v>6.6666666666666666E-2</v>
      </c>
      <c r="I456" s="148">
        <f>ROUND((F456*G456*H456),0)</f>
        <v>5271</v>
      </c>
      <c r="J456" s="47"/>
      <c r="K456" s="143"/>
    </row>
    <row r="457" spans="2:11" ht="24.9" customHeight="1" x14ac:dyDescent="0.2">
      <c r="B457" s="117" t="s">
        <v>1967</v>
      </c>
      <c r="C457" s="120"/>
      <c r="D457" s="112" t="s">
        <v>177</v>
      </c>
      <c r="E457" s="117" t="s">
        <v>1412</v>
      </c>
      <c r="F457" s="118"/>
      <c r="G457" s="119">
        <f>ROUND(SUM(I458:I461),0)</f>
        <v>9936</v>
      </c>
      <c r="H457" s="120"/>
      <c r="I457" s="119"/>
      <c r="J457" s="47"/>
      <c r="K457" s="143"/>
    </row>
    <row r="458" spans="2:11" ht="24.9" customHeight="1" x14ac:dyDescent="0.2">
      <c r="B458" s="657" t="s">
        <v>1325</v>
      </c>
      <c r="C458" s="125" t="str">
        <f>+'LISTA DE INSUMOS'!A42</f>
        <v>MAT013</v>
      </c>
      <c r="D458" s="155" t="str">
        <f>+'LISTA DE INSUMOS'!B42</f>
        <v xml:space="preserve">Agua </v>
      </c>
      <c r="E458" s="125" t="str">
        <f>+'LISTA DE INSUMOS'!C42</f>
        <v>Lt</v>
      </c>
      <c r="F458" s="140">
        <v>1</v>
      </c>
      <c r="G458" s="170">
        <f>'LISTA DE INSUMOS'!E42</f>
        <v>96.828790046226644</v>
      </c>
      <c r="H458" s="108">
        <f>1</f>
        <v>1</v>
      </c>
      <c r="I458" s="141">
        <f>ROUND((F458*G458*H458),0)</f>
        <v>97</v>
      </c>
      <c r="J458" s="47"/>
      <c r="K458" s="143"/>
    </row>
    <row r="459" spans="2:11" ht="24.9" customHeight="1" thickBot="1" x14ac:dyDescent="0.25">
      <c r="B459" s="657"/>
      <c r="C459" s="125" t="str">
        <f>+'LISTA DE INSUMOS'!A601</f>
        <v>MAT618</v>
      </c>
      <c r="D459" s="155" t="str">
        <f>+'LISTA DE INSUMOS'!B601</f>
        <v>Gasolina</v>
      </c>
      <c r="E459" s="125" t="str">
        <f>+'LISTA DE INSUMOS'!C601</f>
        <v>Gl</v>
      </c>
      <c r="F459" s="140">
        <v>1</v>
      </c>
      <c r="G459" s="170">
        <f>'LISTA DE INSUMOS'!E601</f>
        <v>10920.4870665</v>
      </c>
      <c r="H459" s="108">
        <f>1/70</f>
        <v>1.4285714285714285E-2</v>
      </c>
      <c r="I459" s="141">
        <f>ROUND((F459*G459*H459),0)</f>
        <v>156</v>
      </c>
      <c r="J459" s="47"/>
      <c r="K459" s="143"/>
    </row>
    <row r="460" spans="2:11" ht="24.9" customHeight="1" thickTop="1" thickBot="1" x14ac:dyDescent="0.25">
      <c r="B460" s="156" t="s">
        <v>1034</v>
      </c>
      <c r="C460" s="125" t="str">
        <f>+'LISTA DE INSUMOS'!A8</f>
        <v>MOB005</v>
      </c>
      <c r="D460" s="155" t="str">
        <f>+'LISTA DE INSUMOS'!B8</f>
        <v>Ayudante práctico (jornal + prestaciones)</v>
      </c>
      <c r="E460" s="125" t="str">
        <f>+'LISTA DE INSUMOS'!C8</f>
        <v>Dia</v>
      </c>
      <c r="F460" s="140">
        <v>1</v>
      </c>
      <c r="G460" s="141">
        <f>+'LISTA DE INSUMOS'!E8</f>
        <v>114606</v>
      </c>
      <c r="H460" s="108">
        <f>1/20</f>
        <v>0.05</v>
      </c>
      <c r="I460" s="141">
        <f>ROUND((F460*G460*H460),0)</f>
        <v>5730</v>
      </c>
      <c r="J460" s="47"/>
      <c r="K460" s="143"/>
    </row>
    <row r="461" spans="2:11" ht="24.9" customHeight="1" thickTop="1" thickBot="1" x14ac:dyDescent="0.25">
      <c r="B461" s="150" t="s">
        <v>1033</v>
      </c>
      <c r="C461" s="197" t="str">
        <f>+'LISTA DE INSUMOS'!A788</f>
        <v>EQU031</v>
      </c>
      <c r="D461" s="198" t="str">
        <f>+'LISTA DE INSUMOS'!B788</f>
        <v>Cortadora de concreto con disco</v>
      </c>
      <c r="E461" s="194" t="str">
        <f>+'LISTA DE INSUMOS'!C788</f>
        <v>Día</v>
      </c>
      <c r="F461" s="147">
        <v>1</v>
      </c>
      <c r="G461" s="199">
        <f>'LISTA DE INSUMOS'!E788</f>
        <v>79061.436627087198</v>
      </c>
      <c r="H461" s="145">
        <f>1/20</f>
        <v>0.05</v>
      </c>
      <c r="I461" s="148">
        <f>ROUND((F461*G461*H461),0)</f>
        <v>3953</v>
      </c>
      <c r="J461" s="47"/>
      <c r="K461" s="143"/>
    </row>
    <row r="462" spans="2:11" s="317" customFormat="1" ht="24.9" hidden="1" customHeight="1" x14ac:dyDescent="0.2">
      <c r="B462" s="319" t="s">
        <v>1663</v>
      </c>
      <c r="C462" s="319"/>
      <c r="D462" s="320" t="s">
        <v>1602</v>
      </c>
      <c r="E462" s="319" t="s">
        <v>1603</v>
      </c>
      <c r="F462" s="332"/>
      <c r="G462" s="312">
        <f>ROUND(SUM(I462:I466),0)</f>
        <v>4080004</v>
      </c>
      <c r="H462" s="322"/>
      <c r="I462" s="312"/>
      <c r="J462" s="313"/>
      <c r="K462" s="323"/>
    </row>
    <row r="463" spans="2:11" s="317" customFormat="1" ht="24.9" hidden="1" customHeight="1" x14ac:dyDescent="0.2">
      <c r="B463" s="658" t="s">
        <v>1325</v>
      </c>
      <c r="C463" s="322" t="str">
        <f>+'LISTA DE INSUMOS'!A367</f>
        <v>MAT360</v>
      </c>
      <c r="D463" s="324" t="str">
        <f>+'LISTA DE INSUMOS'!B367</f>
        <v>Paleta pare - siga en polietileno y texto reflectivo, de 40 cm</v>
      </c>
      <c r="E463" s="322" t="str">
        <f>+'LISTA DE INSUMOS'!C367</f>
        <v>Un</v>
      </c>
      <c r="F463" s="325">
        <v>2</v>
      </c>
      <c r="G463" s="312">
        <f>'LISTA DE INSUMOS'!E367</f>
        <v>33427.91611001303</v>
      </c>
      <c r="H463" s="322">
        <f>1/10</f>
        <v>0.1</v>
      </c>
      <c r="I463" s="312">
        <f>ROUND((F463*G463*H463),0)</f>
        <v>6686</v>
      </c>
      <c r="J463" s="313"/>
      <c r="K463" s="323"/>
    </row>
    <row r="464" spans="2:11" s="317" customFormat="1" ht="24.9" hidden="1" customHeight="1" thickBot="1" x14ac:dyDescent="0.25">
      <c r="B464" s="658"/>
      <c r="C464" s="322" t="str">
        <f>+'LISTA DE INSUMOS'!A307</f>
        <v>MAT281</v>
      </c>
      <c r="D464" s="324" t="str">
        <f>+'LISTA DE INSUMOS'!B307</f>
        <v>Senalizador Trafico 1.3m Base Caucho</v>
      </c>
      <c r="E464" s="322" t="str">
        <f>+'LISTA DE INSUMOS'!C307</f>
        <v>Un</v>
      </c>
      <c r="F464" s="325">
        <v>4</v>
      </c>
      <c r="G464" s="312">
        <f>'LISTA DE INSUMOS'!E307</f>
        <v>52982.250229094992</v>
      </c>
      <c r="H464" s="322">
        <f>1/10</f>
        <v>0.1</v>
      </c>
      <c r="I464" s="312">
        <f>ROUND((F464*G464*H464),0)</f>
        <v>21193</v>
      </c>
      <c r="J464" s="313"/>
      <c r="K464" s="323"/>
    </row>
    <row r="465" spans="2:11" s="317" customFormat="1" ht="24.9" hidden="1" customHeight="1" thickTop="1" thickBot="1" x14ac:dyDescent="0.25">
      <c r="B465" s="348" t="s">
        <v>1034</v>
      </c>
      <c r="C465" s="322" t="str">
        <f>+'LISTA DE INSUMOS'!A16</f>
        <v>MOB013</v>
      </c>
      <c r="D465" s="324" t="str">
        <f>+'LISTA DE INSUMOS'!B16</f>
        <v>Cuadrilla C 1 Of + 7 Ay (jornal + prestaciones)</v>
      </c>
      <c r="E465" s="322" t="str">
        <f>+'LISTA DE INSUMOS'!C16</f>
        <v>Día</v>
      </c>
      <c r="F465" s="325">
        <v>1</v>
      </c>
      <c r="G465" s="312">
        <f>'LISTA DE INSUMOS'!E16</f>
        <v>736750</v>
      </c>
      <c r="H465" s="322">
        <f>1/0.2</f>
        <v>5</v>
      </c>
      <c r="I465" s="312">
        <f>ROUND((F465*G465*H465),0)</f>
        <v>3683750</v>
      </c>
      <c r="J465" s="313"/>
      <c r="K465" s="323"/>
    </row>
    <row r="466" spans="2:11" s="317" customFormat="1" ht="24.9" hidden="1" customHeight="1" thickTop="1" thickBot="1" x14ac:dyDescent="0.25">
      <c r="B466" s="255" t="s">
        <v>1033</v>
      </c>
      <c r="C466" s="327" t="str">
        <f>+'LISTA DE INSUMOS'!A758</f>
        <v>EQU002</v>
      </c>
      <c r="D466" s="328" t="str">
        <f>+'LISTA DE INSUMOS'!B758</f>
        <v>Herramienta menor (% mano obra)</v>
      </c>
      <c r="E466" s="329" t="str">
        <f>+'LISTA DE INSUMOS'!C758</f>
        <v>%MO</v>
      </c>
      <c r="F466" s="330">
        <v>0.1</v>
      </c>
      <c r="G466" s="331">
        <f>I465</f>
        <v>3683750</v>
      </c>
      <c r="H466" s="329">
        <v>0</v>
      </c>
      <c r="I466" s="331">
        <f>ROUND((F466*G466),0)</f>
        <v>368375</v>
      </c>
      <c r="J466" s="313"/>
      <c r="K466" s="323"/>
    </row>
    <row r="467" spans="2:11" ht="2.1" hidden="1" customHeight="1" x14ac:dyDescent="0.2">
      <c r="B467" s="117" t="s">
        <v>1966</v>
      </c>
      <c r="C467" s="117"/>
      <c r="D467" s="112" t="s">
        <v>1075</v>
      </c>
      <c r="E467" s="117" t="s">
        <v>2585</v>
      </c>
      <c r="F467" s="118"/>
      <c r="G467" s="119">
        <f>ROUND(SUM(I467:I473),0)</f>
        <v>169580</v>
      </c>
      <c r="H467" s="120"/>
      <c r="I467" s="119"/>
      <c r="J467" s="47"/>
      <c r="K467" s="143"/>
    </row>
    <row r="468" spans="2:11" ht="24.9" hidden="1" customHeight="1" x14ac:dyDescent="0.2">
      <c r="B468" s="657" t="s">
        <v>1325</v>
      </c>
      <c r="C468" s="108" t="str">
        <f>+'LISTA DE INSUMOS'!A396</f>
        <v>MAT398</v>
      </c>
      <c r="D468" s="139" t="str">
        <f>+'LISTA DE INSUMOS'!B396</f>
        <v>Valla informativa lona imopresa full color</v>
      </c>
      <c r="E468" s="108" t="str">
        <f>+'LISTA DE INSUMOS'!C396</f>
        <v>M2</v>
      </c>
      <c r="F468" s="140">
        <v>1</v>
      </c>
      <c r="G468" s="141">
        <f>+'LISTA DE INSUMOS'!E396</f>
        <v>75093.051245789786</v>
      </c>
      <c r="H468" s="108">
        <v>0</v>
      </c>
      <c r="I468" s="141">
        <f>ROUND((F468*G468),0)</f>
        <v>75093</v>
      </c>
      <c r="J468" s="47"/>
      <c r="K468" s="143"/>
    </row>
    <row r="469" spans="2:11" ht="24.9" hidden="1" customHeight="1" thickBot="1" x14ac:dyDescent="0.25">
      <c r="B469" s="659"/>
      <c r="C469" s="125" t="str">
        <f>+'LISTA DE INSUMOS'!A322</f>
        <v>MAT299</v>
      </c>
      <c r="D469" s="155" t="str">
        <f>+'LISTA DE INSUMOS'!B322</f>
        <v>Perlín promedio (C 12- (2,0mm))</v>
      </c>
      <c r="E469" s="125" t="str">
        <f>+'LISTA DE INSUMOS'!C322</f>
        <v>M</v>
      </c>
      <c r="F469" s="140">
        <v>1.5</v>
      </c>
      <c r="G469" s="141">
        <f>+'LISTA DE INSUMOS'!E322</f>
        <v>21081.773921933996</v>
      </c>
      <c r="H469" s="108">
        <v>1.05</v>
      </c>
      <c r="I469" s="141">
        <f>ROUND((F469*G469*H469),0)</f>
        <v>33204</v>
      </c>
      <c r="J469" s="47"/>
      <c r="K469" s="143"/>
    </row>
    <row r="470" spans="2:11" ht="24.9" hidden="1" customHeight="1" thickTop="1" thickBot="1" x14ac:dyDescent="0.25">
      <c r="B470" s="191" t="s">
        <v>1310</v>
      </c>
      <c r="C470" s="108" t="str">
        <f>+B562</f>
        <v>ITE094</v>
      </c>
      <c r="D470" s="167" t="str">
        <f>+D562</f>
        <v>Concreto de 10,3 Mpa (1500 psi) (producción)</v>
      </c>
      <c r="E470" s="108" t="str">
        <f>+E562</f>
        <v>M3</v>
      </c>
      <c r="F470" s="152">
        <v>3.1E-2</v>
      </c>
      <c r="G470" s="141">
        <f>G562</f>
        <v>484569</v>
      </c>
      <c r="H470" s="108">
        <v>1.05</v>
      </c>
      <c r="I470" s="141">
        <f>ROUND((F470*G470*H470),0)</f>
        <v>15773</v>
      </c>
      <c r="J470" s="47"/>
      <c r="K470" s="143"/>
    </row>
    <row r="471" spans="2:11" ht="24.9" hidden="1" customHeight="1" thickTop="1" x14ac:dyDescent="0.2">
      <c r="B471" s="156" t="s">
        <v>1034</v>
      </c>
      <c r="C471" s="125" t="str">
        <f>+'LISTA DE INSUMOS'!A9</f>
        <v>MOB006</v>
      </c>
      <c r="D471" s="155" t="str">
        <f>+'LISTA DE INSUMOS'!B9</f>
        <v>Cuadrilla A 1 Of + 4 Ay (jornal + prestaciones)</v>
      </c>
      <c r="E471" s="125" t="str">
        <f>+'LISTA DE INSUMOS'!C9</f>
        <v>Día</v>
      </c>
      <c r="F471" s="160">
        <v>1</v>
      </c>
      <c r="G471" s="141">
        <f>'LISTA DE INSUMOS'!E9</f>
        <v>491167</v>
      </c>
      <c r="H471" s="108">
        <f>1/12</f>
        <v>8.3333333333333329E-2</v>
      </c>
      <c r="I471" s="141">
        <f>ROUND((F471*G471*H471),0)</f>
        <v>40931</v>
      </c>
      <c r="J471" s="47"/>
      <c r="K471" s="143"/>
    </row>
    <row r="472" spans="2:11" ht="24.9" hidden="1" customHeight="1" thickTop="1" x14ac:dyDescent="0.2">
      <c r="B472" s="674" t="s">
        <v>1033</v>
      </c>
      <c r="C472" s="108" t="str">
        <f>+'LISTA DE INSUMOS'!A758</f>
        <v>EQU002</v>
      </c>
      <c r="D472" s="139" t="str">
        <f>+'LISTA DE INSUMOS'!B758</f>
        <v>Herramienta menor (% mano obra)</v>
      </c>
      <c r="E472" s="108" t="str">
        <f>+'LISTA DE INSUMOS'!C758</f>
        <v>%MO</v>
      </c>
      <c r="F472" s="160">
        <v>0.1</v>
      </c>
      <c r="G472" s="141">
        <f>I471</f>
        <v>40931</v>
      </c>
      <c r="H472" s="108">
        <v>0</v>
      </c>
      <c r="I472" s="141">
        <f>ROUND((F472*G472),0)</f>
        <v>4093</v>
      </c>
      <c r="J472" s="47"/>
      <c r="K472" s="143"/>
    </row>
    <row r="473" spans="2:11" ht="24.9" hidden="1" customHeight="1" thickBot="1" x14ac:dyDescent="0.25">
      <c r="B473" s="709"/>
      <c r="C473" s="145" t="str">
        <f>+'LISTA DE INSUMOS'!A803</f>
        <v>EQU048</v>
      </c>
      <c r="D473" s="146" t="str">
        <f>+'LISTA DE INSUMOS'!B803</f>
        <v>Sección completa de andamio 1.2 x 1.5 m.</v>
      </c>
      <c r="E473" s="145" t="str">
        <f>+'LISTA DE INSUMOS'!C803</f>
        <v>Día</v>
      </c>
      <c r="F473" s="147">
        <v>2</v>
      </c>
      <c r="G473" s="148">
        <f>'LISTA DE INSUMOS'!E803</f>
        <v>2917.5946249999997</v>
      </c>
      <c r="H473" s="145">
        <f>1/12</f>
        <v>8.3333333333333329E-2</v>
      </c>
      <c r="I473" s="148">
        <f>ROUND((F473*G473*H473),0)</f>
        <v>486</v>
      </c>
      <c r="J473" s="47"/>
      <c r="K473" s="143"/>
    </row>
    <row r="474" spans="2:11" ht="24.9" customHeight="1" x14ac:dyDescent="0.2">
      <c r="B474" s="117" t="s">
        <v>1736</v>
      </c>
      <c r="C474" s="117"/>
      <c r="D474" s="112" t="s">
        <v>1076</v>
      </c>
      <c r="E474" s="117" t="s">
        <v>2585</v>
      </c>
      <c r="F474" s="118"/>
      <c r="G474" s="119">
        <f>ROUND(SUM(I474:I480),0)</f>
        <v>172623</v>
      </c>
      <c r="H474" s="120"/>
      <c r="I474" s="119"/>
      <c r="J474" s="47"/>
      <c r="K474" s="143"/>
    </row>
    <row r="475" spans="2:11" ht="24.9" customHeight="1" x14ac:dyDescent="0.2">
      <c r="B475" s="657" t="s">
        <v>1325</v>
      </c>
      <c r="C475" s="108" t="str">
        <f>+'LISTA DE INSUMOS'!A396</f>
        <v>MAT398</v>
      </c>
      <c r="D475" s="139" t="str">
        <f>+'LISTA DE INSUMOS'!B396</f>
        <v>Valla informativa lona imopresa full color</v>
      </c>
      <c r="E475" s="108" t="str">
        <f>+'LISTA DE INSUMOS'!C396</f>
        <v>M2</v>
      </c>
      <c r="F475" s="140">
        <v>1</v>
      </c>
      <c r="G475" s="141">
        <f>+'LISTA DE INSUMOS'!E396</f>
        <v>75093.051245789786</v>
      </c>
      <c r="H475" s="108">
        <v>0</v>
      </c>
      <c r="I475" s="141">
        <f>ROUND((F475*G475),0)</f>
        <v>75093</v>
      </c>
      <c r="J475" s="47"/>
      <c r="K475" s="143"/>
    </row>
    <row r="476" spans="2:11" ht="24.9" customHeight="1" thickBot="1" x14ac:dyDescent="0.25">
      <c r="B476" s="659"/>
      <c r="C476" s="125" t="str">
        <f>+'LISTA DE INSUMOS'!A322</f>
        <v>MAT299</v>
      </c>
      <c r="D476" s="155" t="str">
        <f>+'LISTA DE INSUMOS'!B322</f>
        <v>Perlín promedio (C 12- (2,0mm))</v>
      </c>
      <c r="E476" s="125" t="str">
        <f>+'LISTA DE INSUMOS'!C322</f>
        <v>M</v>
      </c>
      <c r="F476" s="140">
        <v>0.75</v>
      </c>
      <c r="G476" s="141">
        <f>+'LISTA DE INSUMOS'!E322</f>
        <v>21081.773921933996</v>
      </c>
      <c r="H476" s="108">
        <v>1.05</v>
      </c>
      <c r="I476" s="141">
        <f>ROUND((F476*G476*H476),0)</f>
        <v>16602</v>
      </c>
      <c r="J476" s="47"/>
      <c r="K476" s="143"/>
    </row>
    <row r="477" spans="2:11" ht="24.9" customHeight="1" thickTop="1" thickBot="1" x14ac:dyDescent="0.25">
      <c r="B477" s="191" t="s">
        <v>1310</v>
      </c>
      <c r="C477" s="108" t="str">
        <f>+B562</f>
        <v>ITE094</v>
      </c>
      <c r="D477" s="167" t="str">
        <f>D562</f>
        <v>Concreto de 10,3 Mpa (1500 psi) (producción)</v>
      </c>
      <c r="E477" s="108" t="str">
        <f>+E562</f>
        <v>M3</v>
      </c>
      <c r="F477" s="152">
        <v>0.05</v>
      </c>
      <c r="G477" s="141">
        <f>G562</f>
        <v>484569</v>
      </c>
      <c r="H477" s="108">
        <v>1.05</v>
      </c>
      <c r="I477" s="141">
        <f>ROUND((F477*G477*H477),0)</f>
        <v>25440</v>
      </c>
      <c r="J477" s="47"/>
      <c r="K477" s="143"/>
    </row>
    <row r="478" spans="2:11" ht="24.9" customHeight="1" thickTop="1" thickBot="1" x14ac:dyDescent="0.25">
      <c r="B478" s="156" t="s">
        <v>1034</v>
      </c>
      <c r="C478" s="125" t="str">
        <f>+'LISTA DE INSUMOS'!A9</f>
        <v>MOB006</v>
      </c>
      <c r="D478" s="155" t="str">
        <f>+'LISTA DE INSUMOS'!B9</f>
        <v>Cuadrilla A 1 Of + 4 Ay (jornal + prestaciones)</v>
      </c>
      <c r="E478" s="125" t="str">
        <f>+'LISTA DE INSUMOS'!C9</f>
        <v>Día</v>
      </c>
      <c r="F478" s="160">
        <v>1</v>
      </c>
      <c r="G478" s="141">
        <f>'LISTA DE INSUMOS'!E9</f>
        <v>491167</v>
      </c>
      <c r="H478" s="108">
        <f>1/10</f>
        <v>0.1</v>
      </c>
      <c r="I478" s="141">
        <f>ROUND((F478*G478*H478),0)</f>
        <v>49117</v>
      </c>
      <c r="J478" s="47"/>
      <c r="K478" s="143"/>
    </row>
    <row r="479" spans="2:11" ht="24.9" customHeight="1" thickTop="1" x14ac:dyDescent="0.2">
      <c r="B479" s="674" t="s">
        <v>1033</v>
      </c>
      <c r="C479" s="108" t="str">
        <f>+'LISTA DE INSUMOS'!A758</f>
        <v>EQU002</v>
      </c>
      <c r="D479" s="139" t="str">
        <f>+'LISTA DE INSUMOS'!B758</f>
        <v>Herramienta menor (% mano obra)</v>
      </c>
      <c r="E479" s="108" t="str">
        <f>+'LISTA DE INSUMOS'!C758</f>
        <v>%MO</v>
      </c>
      <c r="F479" s="160">
        <v>0.1</v>
      </c>
      <c r="G479" s="141">
        <f>I478</f>
        <v>49117</v>
      </c>
      <c r="H479" s="108">
        <v>0</v>
      </c>
      <c r="I479" s="141">
        <f>ROUND((F479*G479),0)</f>
        <v>4912</v>
      </c>
      <c r="J479" s="47"/>
      <c r="K479" s="143"/>
    </row>
    <row r="480" spans="2:11" ht="24.9" customHeight="1" thickBot="1" x14ac:dyDescent="0.25">
      <c r="B480" s="709"/>
      <c r="C480" s="145" t="str">
        <f>+'LISTA DE INSUMOS'!A803</f>
        <v>EQU048</v>
      </c>
      <c r="D480" s="146" t="str">
        <f>+'LISTA DE INSUMOS'!B803</f>
        <v>Sección completa de andamio 1.2 x 1.5 m.</v>
      </c>
      <c r="E480" s="145" t="str">
        <f>+'LISTA DE INSUMOS'!C803</f>
        <v>Día</v>
      </c>
      <c r="F480" s="147">
        <v>6</v>
      </c>
      <c r="G480" s="148">
        <f>'LISTA DE INSUMOS'!E803</f>
        <v>2917.5946249999997</v>
      </c>
      <c r="H480" s="145">
        <f>1/12</f>
        <v>8.3333333333333329E-2</v>
      </c>
      <c r="I480" s="148">
        <f>ROUND((F480*G480*H480),0)</f>
        <v>1459</v>
      </c>
      <c r="J480" s="47"/>
      <c r="K480" s="143"/>
    </row>
    <row r="481" spans="2:11" ht="24.9" customHeight="1" x14ac:dyDescent="0.2">
      <c r="B481" s="117" t="s">
        <v>1561</v>
      </c>
      <c r="C481" s="117"/>
      <c r="D481" s="112" t="s">
        <v>3220</v>
      </c>
      <c r="E481" s="117" t="s">
        <v>2586</v>
      </c>
      <c r="F481" s="118"/>
      <c r="G481" s="119">
        <f>ROUND(SUM(I481:I484),0)</f>
        <v>7936</v>
      </c>
      <c r="H481" s="120"/>
      <c r="I481" s="119"/>
      <c r="J481" s="47">
        <v>9841</v>
      </c>
      <c r="K481" s="143"/>
    </row>
    <row r="482" spans="2:11" ht="24.9" customHeight="1" thickBot="1" x14ac:dyDescent="0.25">
      <c r="B482" s="191" t="s">
        <v>1310</v>
      </c>
      <c r="C482" s="166" t="str">
        <f>+B417</f>
        <v>ITE068</v>
      </c>
      <c r="D482" s="167" t="str">
        <f>+D417</f>
        <v>Transporte maquinaría pesada</v>
      </c>
      <c r="E482" s="166" t="str">
        <f>+E417</f>
        <v>Km</v>
      </c>
      <c r="F482" s="176">
        <v>60</v>
      </c>
      <c r="G482" s="141">
        <f>G417</f>
        <v>26702</v>
      </c>
      <c r="H482" s="168">
        <f>1/350</f>
        <v>2.8571428571428571E-3</v>
      </c>
      <c r="I482" s="141">
        <f>ROUND((F482*G482*H482),0)</f>
        <v>4577</v>
      </c>
      <c r="J482" s="47"/>
      <c r="K482" s="143"/>
    </row>
    <row r="483" spans="2:11" ht="24.9" customHeight="1" thickTop="1" thickBot="1" x14ac:dyDescent="0.25">
      <c r="B483" s="156" t="s">
        <v>1034</v>
      </c>
      <c r="C483" s="108" t="str">
        <f>+'LISTA DE INSUMOS'!A7</f>
        <v>MOB004</v>
      </c>
      <c r="D483" s="139" t="str">
        <f>+'LISTA DE INSUMOS'!B7</f>
        <v>Ayudante (jornal + prestaciones)</v>
      </c>
      <c r="E483" s="108" t="str">
        <f>+'LISTA DE INSUMOS'!C7</f>
        <v>Dia</v>
      </c>
      <c r="F483" s="140">
        <v>1</v>
      </c>
      <c r="G483" s="141">
        <f>+'LISTA DE INSUMOS'!E7</f>
        <v>81861</v>
      </c>
      <c r="H483" s="142">
        <f>1/500</f>
        <v>2E-3</v>
      </c>
      <c r="I483" s="141">
        <f>ROUND((F483*G483*H483),0)</f>
        <v>164</v>
      </c>
      <c r="J483" s="47"/>
      <c r="K483" s="143"/>
    </row>
    <row r="484" spans="2:11" ht="24.9" customHeight="1" thickTop="1" thickBot="1" x14ac:dyDescent="0.25">
      <c r="B484" s="150" t="s">
        <v>1033</v>
      </c>
      <c r="C484" s="151" t="str">
        <f>+'LISTA DE INSUMOS'!A760</f>
        <v>EQU004</v>
      </c>
      <c r="D484" s="146" t="str">
        <f>+'LISTA DE INSUMOS'!B760</f>
        <v>Buldózer D65-8</v>
      </c>
      <c r="E484" s="145" t="str">
        <f>+'LISTA DE INSUMOS'!C760</f>
        <v>Hr</v>
      </c>
      <c r="F484" s="147">
        <v>1</v>
      </c>
      <c r="G484" s="148">
        <f>'LISTA DE INSUMOS'!E760</f>
        <v>191706.97354379998</v>
      </c>
      <c r="H484" s="154">
        <f>1/60</f>
        <v>1.6666666666666666E-2</v>
      </c>
      <c r="I484" s="148">
        <f>ROUND((F484*G484*H484),0)</f>
        <v>3195</v>
      </c>
      <c r="J484" s="47"/>
      <c r="K484" s="143"/>
    </row>
    <row r="485" spans="2:11" ht="24.9" customHeight="1" x14ac:dyDescent="0.2">
      <c r="B485" s="117" t="s">
        <v>1663</v>
      </c>
      <c r="C485" s="117"/>
      <c r="D485" s="112" t="s">
        <v>3221</v>
      </c>
      <c r="E485" s="117" t="s">
        <v>2586</v>
      </c>
      <c r="F485" s="118"/>
      <c r="G485" s="119">
        <f>SUM(I486:I489)-1</f>
        <v>39979</v>
      </c>
      <c r="H485" s="120"/>
      <c r="I485" s="119"/>
      <c r="J485" s="47"/>
      <c r="K485" s="143"/>
    </row>
    <row r="486" spans="2:11" ht="24.9" customHeight="1" thickBot="1" x14ac:dyDescent="0.25">
      <c r="B486" s="191" t="s">
        <v>1310</v>
      </c>
      <c r="C486" s="108" t="str">
        <f>+B336</f>
        <v>ITE056</v>
      </c>
      <c r="D486" s="167" t="str">
        <f>+D336</f>
        <v xml:space="preserve">Transporte material &lt; 40 Km </v>
      </c>
      <c r="E486" s="166" t="str">
        <f>+E336</f>
        <v>M3-Km</v>
      </c>
      <c r="F486" s="140">
        <v>15</v>
      </c>
      <c r="G486" s="141">
        <f>G336</f>
        <v>1634</v>
      </c>
      <c r="H486" s="142">
        <v>0</v>
      </c>
      <c r="I486" s="141">
        <f>ROUND((F486*G486),0)</f>
        <v>24510</v>
      </c>
      <c r="J486" s="47"/>
      <c r="K486" s="143"/>
    </row>
    <row r="487" spans="2:11" ht="24.9" customHeight="1" thickTop="1" thickBot="1" x14ac:dyDescent="0.25">
      <c r="B487" s="156" t="s">
        <v>1034</v>
      </c>
      <c r="C487" s="108" t="str">
        <f>+'LISTA DE INSUMOS'!A7</f>
        <v>MOB004</v>
      </c>
      <c r="D487" s="139" t="str">
        <f>+'LISTA DE INSUMOS'!B7</f>
        <v>Ayudante (jornal + prestaciones)</v>
      </c>
      <c r="E487" s="108" t="str">
        <f>+'LISTA DE INSUMOS'!C7</f>
        <v>Dia</v>
      </c>
      <c r="F487" s="140">
        <v>1</v>
      </c>
      <c r="G487" s="141">
        <f>+'LISTA DE INSUMOS'!E7</f>
        <v>81861</v>
      </c>
      <c r="H487" s="142">
        <f>1/66</f>
        <v>1.5151515151515152E-2</v>
      </c>
      <c r="I487" s="141">
        <f>ROUND((F487*G487*H487),0)</f>
        <v>1240</v>
      </c>
      <c r="J487" s="47"/>
      <c r="K487" s="143"/>
    </row>
    <row r="488" spans="2:11" ht="24.9" customHeight="1" thickTop="1" x14ac:dyDescent="0.2">
      <c r="B488" s="670" t="s">
        <v>1033</v>
      </c>
      <c r="C488" s="108" t="s">
        <v>3164</v>
      </c>
      <c r="D488" s="139" t="s">
        <v>3165</v>
      </c>
      <c r="E488" s="108" t="s">
        <v>1432</v>
      </c>
      <c r="F488" s="140">
        <v>1</v>
      </c>
      <c r="G488" s="141">
        <v>8000</v>
      </c>
      <c r="H488" s="142">
        <v>1</v>
      </c>
      <c r="I488" s="141">
        <v>8000</v>
      </c>
      <c r="J488" s="47"/>
      <c r="K488" s="143"/>
    </row>
    <row r="489" spans="2:11" ht="24.9" customHeight="1" thickBot="1" x14ac:dyDescent="0.25">
      <c r="B489" s="750"/>
      <c r="C489" s="151" t="str">
        <f>+'LISTA DE INSUMOS'!A781</f>
        <v>EQU024</v>
      </c>
      <c r="D489" s="146" t="str">
        <f>+'LISTA DE INSUMOS'!B781</f>
        <v>Retroexcavadora de orugas  capacidad 0,9 M3</v>
      </c>
      <c r="E489" s="145" t="str">
        <f>+'LISTA DE INSUMOS'!C781</f>
        <v>Hr</v>
      </c>
      <c r="F489" s="147">
        <v>1</v>
      </c>
      <c r="G489" s="148">
        <f>'LISTA DE INSUMOS'!E781</f>
        <v>186912.78205599997</v>
      </c>
      <c r="H489" s="154">
        <f>1/30</f>
        <v>3.3333333333333333E-2</v>
      </c>
      <c r="I489" s="148">
        <f>ROUND((F489*G489*H489),0)</f>
        <v>6230</v>
      </c>
      <c r="J489" s="47"/>
      <c r="K489" s="143"/>
    </row>
    <row r="490" spans="2:11" ht="22.5" customHeight="1" thickBot="1" x14ac:dyDescent="0.25">
      <c r="B490" s="117" t="s">
        <v>1638</v>
      </c>
      <c r="C490" s="117"/>
      <c r="D490" s="112" t="s">
        <v>1975</v>
      </c>
      <c r="E490" s="117" t="s">
        <v>2436</v>
      </c>
      <c r="F490" s="118"/>
      <c r="G490" s="119">
        <f>ROUND(SUM(I490:I492),0)</f>
        <v>15661</v>
      </c>
      <c r="H490" s="120"/>
      <c r="I490" s="119"/>
      <c r="J490" s="47"/>
      <c r="K490" s="143"/>
    </row>
    <row r="491" spans="2:11" ht="20.25" customHeight="1" thickTop="1" x14ac:dyDescent="0.2">
      <c r="B491" s="156" t="s">
        <v>1034</v>
      </c>
      <c r="C491" s="108" t="str">
        <f>+'LISTA DE INSUMOS'!A28</f>
        <v>MOB024</v>
      </c>
      <c r="D491" s="139" t="str">
        <f>+'LISTA DE INSUMOS'!B28</f>
        <v>Mulero</v>
      </c>
      <c r="E491" s="108" t="str">
        <f>+'LISTA DE INSUMOS'!C28</f>
        <v>Día</v>
      </c>
      <c r="F491" s="160">
        <v>1</v>
      </c>
      <c r="G491" s="141">
        <f>+'LISTA DE INSUMOS'!E28</f>
        <v>81861</v>
      </c>
      <c r="H491" s="108">
        <f>1/25</f>
        <v>0.04</v>
      </c>
      <c r="I491" s="141">
        <f>ROUND((F491*G491*H491),0)</f>
        <v>3274</v>
      </c>
      <c r="J491" s="47"/>
      <c r="K491" s="143"/>
    </row>
    <row r="492" spans="2:11" ht="23.25" customHeight="1" thickBot="1" x14ac:dyDescent="0.25">
      <c r="B492" s="157" t="s">
        <v>1033</v>
      </c>
      <c r="C492" s="151" t="str">
        <f>+'LISTA DE INSUMOS'!A794</f>
        <v>EQU037</v>
      </c>
      <c r="D492" s="146" t="str">
        <f>+'LISTA DE INSUMOS'!B794</f>
        <v>Transporte de materiales en mula</v>
      </c>
      <c r="E492" s="145" t="str">
        <f>+'LISTA DE INSUMOS'!C794</f>
        <v>Cg/km</v>
      </c>
      <c r="F492" s="147">
        <v>1</v>
      </c>
      <c r="G492" s="148">
        <f>+'LISTA DE INSUMOS'!E794</f>
        <v>12386.65</v>
      </c>
      <c r="H492" s="154">
        <v>1</v>
      </c>
      <c r="I492" s="148">
        <f>ROUND((F492*G492*H492),0)</f>
        <v>12387</v>
      </c>
      <c r="J492" s="47"/>
      <c r="K492" s="143"/>
    </row>
    <row r="493" spans="2:11" ht="28.5" customHeight="1" thickBot="1" x14ac:dyDescent="0.25">
      <c r="B493" s="117" t="s">
        <v>1540</v>
      </c>
      <c r="C493" s="117"/>
      <c r="D493" s="112" t="s">
        <v>1973</v>
      </c>
      <c r="E493" s="117" t="s">
        <v>2436</v>
      </c>
      <c r="F493" s="118"/>
      <c r="G493" s="119">
        <f>ROUND(SUM(I493:I494),0)</f>
        <v>8186</v>
      </c>
      <c r="H493" s="120"/>
      <c r="I493" s="119"/>
      <c r="J493" s="47"/>
      <c r="K493" s="143"/>
    </row>
    <row r="494" spans="2:11" ht="21.75" customHeight="1" thickTop="1" thickBot="1" x14ac:dyDescent="0.25">
      <c r="B494" s="150" t="s">
        <v>1033</v>
      </c>
      <c r="C494" s="151" t="str">
        <f>+'LISTA DE INSUMOS'!A7</f>
        <v>MOB004</v>
      </c>
      <c r="D494" s="146" t="str">
        <f>+'LISTA DE INSUMOS'!B7</f>
        <v>Ayudante (jornal + prestaciones)</v>
      </c>
      <c r="E494" s="145" t="str">
        <f>+'LISTA DE INSUMOS'!C7</f>
        <v>Dia</v>
      </c>
      <c r="F494" s="147">
        <v>1</v>
      </c>
      <c r="G494" s="148">
        <f>+'LISTA DE INSUMOS'!E7</f>
        <v>81861</v>
      </c>
      <c r="H494" s="154">
        <f>1/10</f>
        <v>0.1</v>
      </c>
      <c r="I494" s="148">
        <f>ROUND((F494*G494*H494),0)</f>
        <v>8186</v>
      </c>
      <c r="J494" s="47"/>
      <c r="K494" s="143"/>
    </row>
    <row r="495" spans="2:11" ht="24.9" customHeight="1" thickBot="1" x14ac:dyDescent="0.25">
      <c r="B495" s="117" t="s">
        <v>1541</v>
      </c>
      <c r="C495" s="117"/>
      <c r="D495" s="112" t="s">
        <v>2649</v>
      </c>
      <c r="E495" s="117" t="s">
        <v>2065</v>
      </c>
      <c r="F495" s="118"/>
      <c r="G495" s="119">
        <f>ROUND(SUM(I495:I497),0)</f>
        <v>3737</v>
      </c>
      <c r="H495" s="120"/>
      <c r="I495" s="119"/>
      <c r="J495" s="47"/>
      <c r="K495" s="143"/>
    </row>
    <row r="496" spans="2:11" ht="24.9" customHeight="1" thickTop="1" thickBot="1" x14ac:dyDescent="0.25">
      <c r="B496" s="156" t="s">
        <v>1034</v>
      </c>
      <c r="C496" s="108" t="str">
        <f>+'LISTA DE INSUMOS'!A7</f>
        <v>MOB004</v>
      </c>
      <c r="D496" s="139" t="str">
        <f>+'LISTA DE INSUMOS'!B7</f>
        <v>Ayudante (jornal + prestaciones)</v>
      </c>
      <c r="E496" s="108" t="str">
        <f>+'LISTA DE INSUMOS'!C7</f>
        <v>Dia</v>
      </c>
      <c r="F496" s="140">
        <v>1</v>
      </c>
      <c r="G496" s="141">
        <f>+'LISTA DE INSUMOS'!E7</f>
        <v>81861</v>
      </c>
      <c r="H496" s="142">
        <f>1/100</f>
        <v>0.01</v>
      </c>
      <c r="I496" s="141">
        <f>ROUND((F496*G496*H496),0)</f>
        <v>819</v>
      </c>
      <c r="J496" s="47"/>
      <c r="K496" s="143"/>
    </row>
    <row r="497" spans="2:11" ht="24.9" customHeight="1" thickTop="1" thickBot="1" x14ac:dyDescent="0.25">
      <c r="B497" s="150" t="s">
        <v>1033</v>
      </c>
      <c r="C497" s="145" t="str">
        <f>+'LISTA DE INSUMOS'!A803</f>
        <v>EQU048</v>
      </c>
      <c r="D497" s="146" t="str">
        <f>+'LISTA DE INSUMOS'!B803</f>
        <v>Sección completa de andamio 1.2 x 1.5 m.</v>
      </c>
      <c r="E497" s="145" t="str">
        <f>+'LISTA DE INSUMOS'!C803</f>
        <v>Día</v>
      </c>
      <c r="F497" s="147">
        <v>1</v>
      </c>
      <c r="G497" s="148">
        <f>'LISTA DE INSUMOS'!E803</f>
        <v>2917.5946249999997</v>
      </c>
      <c r="H497" s="145">
        <v>0</v>
      </c>
      <c r="I497" s="148">
        <f>ROUND((F497*G497),0)</f>
        <v>2918</v>
      </c>
      <c r="J497" s="47"/>
      <c r="K497" s="143"/>
    </row>
    <row r="498" spans="2:11" ht="24.9" customHeight="1" x14ac:dyDescent="0.2">
      <c r="B498" s="117" t="s">
        <v>1930</v>
      </c>
      <c r="C498" s="117"/>
      <c r="D498" s="112" t="s">
        <v>1962</v>
      </c>
      <c r="E498" s="117" t="s">
        <v>2585</v>
      </c>
      <c r="F498" s="118"/>
      <c r="G498" s="119">
        <f>ROUND(SUM(I498:I501),0)</f>
        <v>2868</v>
      </c>
      <c r="H498" s="120"/>
      <c r="I498" s="119"/>
      <c r="J498" s="47"/>
      <c r="K498" s="143"/>
    </row>
    <row r="499" spans="2:11" ht="24.9" customHeight="1" thickBot="1" x14ac:dyDescent="0.25">
      <c r="B499" s="175" t="s">
        <v>1325</v>
      </c>
      <c r="C499" s="108" t="str">
        <f>+'LISTA DE INSUMOS'!A411</f>
        <v>MAT422</v>
      </c>
      <c r="D499" s="139" t="str">
        <f>+'LISTA DE INSUMOS'!B411</f>
        <v>Tela para protección de edificios- polisombra 80%</v>
      </c>
      <c r="E499" s="108" t="str">
        <f>+'LISTA DE INSUMOS'!C411</f>
        <v>M2</v>
      </c>
      <c r="F499" s="140">
        <v>1</v>
      </c>
      <c r="G499" s="141">
        <f>'LISTA DE INSUMOS'!E411</f>
        <v>2611.4208202499999</v>
      </c>
      <c r="H499" s="108">
        <v>0</v>
      </c>
      <c r="I499" s="141">
        <f>ROUND((F499*G499),0)</f>
        <v>2611</v>
      </c>
      <c r="J499" s="47"/>
      <c r="K499" s="143"/>
    </row>
    <row r="500" spans="2:11" ht="24.9" customHeight="1" thickTop="1" thickBot="1" x14ac:dyDescent="0.25">
      <c r="B500" s="156" t="s">
        <v>1034</v>
      </c>
      <c r="C500" s="108" t="str">
        <f>+'LISTA DE INSUMOS'!A7</f>
        <v>MOB004</v>
      </c>
      <c r="D500" s="139" t="str">
        <f>+'LISTA DE INSUMOS'!B7</f>
        <v>Ayudante (jornal + prestaciones)</v>
      </c>
      <c r="E500" s="108" t="str">
        <f>+'LISTA DE INSUMOS'!C7</f>
        <v>Dia</v>
      </c>
      <c r="F500" s="140">
        <v>1</v>
      </c>
      <c r="G500" s="141">
        <f>+'LISTA DE INSUMOS'!E7</f>
        <v>81861</v>
      </c>
      <c r="H500" s="168">
        <f>1/350</f>
        <v>2.8571428571428571E-3</v>
      </c>
      <c r="I500" s="141">
        <f>ROUND((F500*G500*H500),0)</f>
        <v>234</v>
      </c>
      <c r="J500" s="47"/>
      <c r="K500" s="143"/>
    </row>
    <row r="501" spans="2:11" ht="24.75" customHeight="1" thickTop="1" thickBot="1" x14ac:dyDescent="0.25">
      <c r="B501" s="150" t="s">
        <v>1033</v>
      </c>
      <c r="C501" s="151" t="str">
        <f>+'LISTA DE INSUMOS'!A762</f>
        <v>EQU006</v>
      </c>
      <c r="D501" s="146" t="str">
        <f>+'LISTA DE INSUMOS'!B762</f>
        <v>Andamio (% mano obra)</v>
      </c>
      <c r="E501" s="145" t="str">
        <f>+'LISTA DE INSUMOS'!C762</f>
        <v>%MO</v>
      </c>
      <c r="F501" s="147">
        <v>0.1</v>
      </c>
      <c r="G501" s="148">
        <f>I500</f>
        <v>234</v>
      </c>
      <c r="H501" s="145">
        <v>0</v>
      </c>
      <c r="I501" s="148">
        <f>ROUND((F501*G501),0)</f>
        <v>23</v>
      </c>
      <c r="J501" s="47"/>
      <c r="K501" s="143"/>
    </row>
    <row r="502" spans="2:11" ht="21.75" customHeight="1" thickBot="1" x14ac:dyDescent="0.25">
      <c r="B502" s="117" t="s">
        <v>1601</v>
      </c>
      <c r="C502" s="117"/>
      <c r="D502" s="112" t="s">
        <v>425</v>
      </c>
      <c r="E502" s="117" t="s">
        <v>1432</v>
      </c>
      <c r="F502" s="118"/>
      <c r="G502" s="119">
        <f>ROUND(SUM(I502:I504),0)</f>
        <v>18009</v>
      </c>
      <c r="H502" s="120"/>
      <c r="I502" s="119"/>
      <c r="J502" s="47"/>
      <c r="K502" s="143"/>
    </row>
    <row r="503" spans="2:11" ht="27.75" customHeight="1" thickTop="1" thickBot="1" x14ac:dyDescent="0.25">
      <c r="B503" s="156" t="s">
        <v>1034</v>
      </c>
      <c r="C503" s="125" t="str">
        <f>+'LISTA DE INSUMOS'!A21</f>
        <v>MOB018</v>
      </c>
      <c r="D503" s="155" t="str">
        <f>+'LISTA DE INSUMOS'!B21</f>
        <v>Cuadrilla H 4 Ay (jornal + prestaciones)</v>
      </c>
      <c r="E503" s="108" t="str">
        <f>+'LISTA DE INSUMOS'!C21</f>
        <v>Día</v>
      </c>
      <c r="F503" s="140">
        <v>1</v>
      </c>
      <c r="G503" s="141">
        <f>'LISTA DE INSUMOS'!E21</f>
        <v>327444</v>
      </c>
      <c r="H503" s="142">
        <f>1/20</f>
        <v>0.05</v>
      </c>
      <c r="I503" s="141">
        <f>ROUND((F503*G503*H503),0)</f>
        <v>16372</v>
      </c>
      <c r="J503" s="47"/>
      <c r="K503" s="143"/>
    </row>
    <row r="504" spans="2:11" ht="19.5" customHeight="1" thickTop="1" thickBot="1" x14ac:dyDescent="0.25">
      <c r="B504" s="150" t="s">
        <v>1033</v>
      </c>
      <c r="C504" s="151" t="str">
        <f>+'LISTA DE INSUMOS'!A758</f>
        <v>EQU002</v>
      </c>
      <c r="D504" s="146" t="str">
        <f>+'LISTA DE INSUMOS'!B758</f>
        <v>Herramienta menor (% mano obra)</v>
      </c>
      <c r="E504" s="145" t="str">
        <f>+'LISTA DE INSUMOS'!C758</f>
        <v>%MO</v>
      </c>
      <c r="F504" s="147">
        <v>0.1</v>
      </c>
      <c r="G504" s="148">
        <f>I503</f>
        <v>16372</v>
      </c>
      <c r="H504" s="145">
        <v>0</v>
      </c>
      <c r="I504" s="148">
        <f>ROUND((F504*G504),0)</f>
        <v>1637</v>
      </c>
      <c r="J504" s="47"/>
      <c r="K504" s="143"/>
    </row>
    <row r="505" spans="2:11" ht="24.9" customHeight="1" x14ac:dyDescent="0.2">
      <c r="B505" s="117" t="s">
        <v>2040</v>
      </c>
      <c r="C505" s="117"/>
      <c r="D505" s="112" t="s">
        <v>1487</v>
      </c>
      <c r="E505" s="117" t="s">
        <v>1412</v>
      </c>
      <c r="F505" s="118"/>
      <c r="G505" s="119">
        <f>ROUND(SUM(I505:I509),0)</f>
        <v>9448</v>
      </c>
      <c r="H505" s="120"/>
      <c r="I505" s="119"/>
      <c r="J505" s="47">
        <v>11688</v>
      </c>
      <c r="K505" s="143"/>
    </row>
    <row r="506" spans="2:11" ht="24.9" customHeight="1" x14ac:dyDescent="0.2">
      <c r="B506" s="657" t="s">
        <v>1325</v>
      </c>
      <c r="C506" s="108" t="str">
        <f>+'LISTA DE INSUMOS'!A215</f>
        <v>MAT181</v>
      </c>
      <c r="D506" s="139" t="str">
        <f>+'LISTA DE INSUMOS'!B215</f>
        <v>Señalizador tubular trafico (2 líneas de cinta)</v>
      </c>
      <c r="E506" s="108" t="str">
        <f>+'LISTA DE INSUMOS'!C215</f>
        <v>Un</v>
      </c>
      <c r="F506" s="140">
        <v>0.62</v>
      </c>
      <c r="G506" s="141">
        <f>'LISTA DE INSUMOS'!E215</f>
        <v>68573.680266167983</v>
      </c>
      <c r="H506" s="108">
        <f>1/6</f>
        <v>0.16666666666666666</v>
      </c>
      <c r="I506" s="141">
        <f>ROUND((F506*G506*H506),0)</f>
        <v>7086</v>
      </c>
      <c r="J506" s="47"/>
      <c r="K506" s="143"/>
    </row>
    <row r="507" spans="2:11" ht="24.9" customHeight="1" thickBot="1" x14ac:dyDescent="0.25">
      <c r="B507" s="659"/>
      <c r="C507" s="108" t="str">
        <f>+'LISTA DE INSUMOS'!A401</f>
        <v>MAT412</v>
      </c>
      <c r="D507" s="139" t="str">
        <f>+'LISTA DE INSUMOS'!B401</f>
        <v>Tela de cerramiento a = 2,10 m (rollo por 100 m)</v>
      </c>
      <c r="E507" s="108" t="str">
        <f>+'LISTA DE INSUMOS'!C401</f>
        <v>M2</v>
      </c>
      <c r="F507" s="140">
        <v>1</v>
      </c>
      <c r="G507" s="141">
        <f>'LISTA DE INSUMOS'!E401</f>
        <v>2045.4370408164</v>
      </c>
      <c r="H507" s="108">
        <v>1.1000000000000001</v>
      </c>
      <c r="I507" s="141">
        <f>ROUND((F507*G507*H507),0)</f>
        <v>2250</v>
      </c>
      <c r="J507" s="47"/>
      <c r="K507" s="143"/>
    </row>
    <row r="508" spans="2:11" ht="24.9" customHeight="1" thickTop="1" thickBot="1" x14ac:dyDescent="0.25">
      <c r="B508" s="156" t="s">
        <v>1034</v>
      </c>
      <c r="C508" s="108" t="str">
        <f>+'LISTA DE INSUMOS'!A7</f>
        <v>MOB004</v>
      </c>
      <c r="D508" s="139" t="str">
        <f>+'LISTA DE INSUMOS'!B7</f>
        <v>Ayudante (jornal + prestaciones)</v>
      </c>
      <c r="E508" s="108" t="str">
        <f>+'LISTA DE INSUMOS'!C7</f>
        <v>Dia</v>
      </c>
      <c r="F508" s="140">
        <v>1</v>
      </c>
      <c r="G508" s="141">
        <f>+'LISTA DE INSUMOS'!E7</f>
        <v>81861</v>
      </c>
      <c r="H508" s="168">
        <f>1/800</f>
        <v>1.25E-3</v>
      </c>
      <c r="I508" s="141">
        <f>ROUND((F508*G508*H508),0)</f>
        <v>102</v>
      </c>
      <c r="J508" s="47"/>
      <c r="K508" s="143"/>
    </row>
    <row r="509" spans="2:11" ht="24.9" customHeight="1" thickTop="1" thickBot="1" x14ac:dyDescent="0.25">
      <c r="B509" s="150" t="s">
        <v>1033</v>
      </c>
      <c r="C509" s="151" t="str">
        <f>+'LISTA DE INSUMOS'!A758</f>
        <v>EQU002</v>
      </c>
      <c r="D509" s="146" t="str">
        <f>+'LISTA DE INSUMOS'!B758</f>
        <v>Herramienta menor (% mano obra)</v>
      </c>
      <c r="E509" s="145" t="str">
        <f>+'LISTA DE INSUMOS'!C758</f>
        <v>%MO</v>
      </c>
      <c r="F509" s="147">
        <v>0.1</v>
      </c>
      <c r="G509" s="148">
        <f>I508</f>
        <v>102</v>
      </c>
      <c r="H509" s="145">
        <v>0</v>
      </c>
      <c r="I509" s="148">
        <f>ROUND((F509*G509),0)</f>
        <v>10</v>
      </c>
      <c r="J509" s="47"/>
      <c r="K509" s="143"/>
    </row>
    <row r="510" spans="2:11" ht="24.9" customHeight="1" x14ac:dyDescent="0.2">
      <c r="B510" s="117" t="s">
        <v>2039</v>
      </c>
      <c r="C510" s="117"/>
      <c r="D510" s="112" t="s">
        <v>1557</v>
      </c>
      <c r="E510" s="117" t="s">
        <v>1435</v>
      </c>
      <c r="F510" s="118"/>
      <c r="G510" s="119">
        <f>ROUND(SUM(I510:I513),0)</f>
        <v>74494</v>
      </c>
      <c r="H510" s="120"/>
      <c r="I510" s="119"/>
      <c r="J510" s="47"/>
      <c r="K510" s="143"/>
    </row>
    <row r="511" spans="2:11" ht="24.9" customHeight="1" x14ac:dyDescent="0.2">
      <c r="B511" s="678" t="s">
        <v>1034</v>
      </c>
      <c r="C511" s="108" t="str">
        <f>+'LISTA DE INSUMOS'!A7</f>
        <v>MOB004</v>
      </c>
      <c r="D511" s="139" t="str">
        <f>+'LISTA DE INSUMOS'!B7</f>
        <v>Ayudante (jornal + prestaciones)</v>
      </c>
      <c r="E511" s="108" t="str">
        <f>+'LISTA DE INSUMOS'!C7</f>
        <v>Dia</v>
      </c>
      <c r="F511" s="140">
        <v>1</v>
      </c>
      <c r="G511" s="141">
        <f>+'LISTA DE INSUMOS'!E7</f>
        <v>81861</v>
      </c>
      <c r="H511" s="108">
        <v>0.7</v>
      </c>
      <c r="I511" s="141">
        <f>ROUND((F511*G511*H511),0)</f>
        <v>57303</v>
      </c>
      <c r="J511" s="47"/>
      <c r="K511" s="143"/>
    </row>
    <row r="512" spans="2:11" ht="24.9" customHeight="1" thickBot="1" x14ac:dyDescent="0.25">
      <c r="B512" s="705"/>
      <c r="C512" s="108" t="str">
        <f>+'LISTA DE INSUMOS'!A14</f>
        <v>MOB011</v>
      </c>
      <c r="D512" s="139" t="str">
        <f>+'LISTA DE INSUMOS'!B14</f>
        <v>Acarreo Horizontal (% mano obra)</v>
      </c>
      <c r="E512" s="108" t="str">
        <f>+'LISTA DE INSUMOS'!C14</f>
        <v>% MO</v>
      </c>
      <c r="F512" s="140">
        <v>0.1</v>
      </c>
      <c r="G512" s="141">
        <f>I511</f>
        <v>57303</v>
      </c>
      <c r="H512" s="108">
        <v>0</v>
      </c>
      <c r="I512" s="141">
        <f>ROUND((F512*G512),0)</f>
        <v>5730</v>
      </c>
      <c r="J512" s="47"/>
      <c r="K512" s="143"/>
    </row>
    <row r="513" spans="2:11" ht="24.9" customHeight="1" thickTop="1" thickBot="1" x14ac:dyDescent="0.25">
      <c r="B513" s="150" t="s">
        <v>1033</v>
      </c>
      <c r="C513" s="151" t="str">
        <f>+'LISTA DE INSUMOS'!A758</f>
        <v>EQU002</v>
      </c>
      <c r="D513" s="146" t="str">
        <f>+'LISTA DE INSUMOS'!B758</f>
        <v>Herramienta menor (% mano obra)</v>
      </c>
      <c r="E513" s="145" t="str">
        <f>+'LISTA DE INSUMOS'!C758</f>
        <v>%MO</v>
      </c>
      <c r="F513" s="147">
        <v>0.2</v>
      </c>
      <c r="G513" s="148">
        <f>I511</f>
        <v>57303</v>
      </c>
      <c r="H513" s="145">
        <v>0</v>
      </c>
      <c r="I513" s="148">
        <f>ROUND((F513*G513),0)</f>
        <v>11461</v>
      </c>
      <c r="J513" s="47"/>
      <c r="K513" s="143"/>
    </row>
    <row r="514" spans="2:11" ht="24.9" customHeight="1" x14ac:dyDescent="0.2">
      <c r="B514" s="117" t="s">
        <v>1649</v>
      </c>
      <c r="C514" s="117"/>
      <c r="D514" s="112" t="s">
        <v>1559</v>
      </c>
      <c r="E514" s="117" t="s">
        <v>1412</v>
      </c>
      <c r="F514" s="118"/>
      <c r="G514" s="119">
        <f>ROUND(SUM(I514:I517),0)</f>
        <v>106419</v>
      </c>
      <c r="H514" s="120"/>
      <c r="I514" s="119"/>
      <c r="J514" s="47"/>
      <c r="K514" s="143"/>
    </row>
    <row r="515" spans="2:11" ht="24.9" customHeight="1" x14ac:dyDescent="0.2">
      <c r="B515" s="678" t="s">
        <v>1034</v>
      </c>
      <c r="C515" s="108" t="str">
        <f>+'LISTA DE INSUMOS'!A7</f>
        <v>MOB004</v>
      </c>
      <c r="D515" s="139" t="str">
        <f>+'LISTA DE INSUMOS'!B7</f>
        <v>Ayudante (jornal + prestaciones)</v>
      </c>
      <c r="E515" s="108" t="str">
        <f>+'LISTA DE INSUMOS'!C7</f>
        <v>Dia</v>
      </c>
      <c r="F515" s="140">
        <v>1</v>
      </c>
      <c r="G515" s="141">
        <f>+'LISTA DE INSUMOS'!E7</f>
        <v>81861</v>
      </c>
      <c r="H515" s="108">
        <v>1</v>
      </c>
      <c r="I515" s="141">
        <f>ROUND((F515*G515*H515),0)</f>
        <v>81861</v>
      </c>
      <c r="J515" s="47"/>
      <c r="K515" s="143"/>
    </row>
    <row r="516" spans="2:11" ht="24.9" customHeight="1" thickBot="1" x14ac:dyDescent="0.25">
      <c r="B516" s="705"/>
      <c r="C516" s="108" t="str">
        <f>+'LISTA DE INSUMOS'!A14</f>
        <v>MOB011</v>
      </c>
      <c r="D516" s="139" t="str">
        <f>+'LISTA DE INSUMOS'!B14</f>
        <v>Acarreo Horizontal (% mano obra)</v>
      </c>
      <c r="E516" s="108" t="str">
        <f>+'LISTA DE INSUMOS'!C14</f>
        <v>% MO</v>
      </c>
      <c r="F516" s="140">
        <v>0.1</v>
      </c>
      <c r="G516" s="141">
        <f>I515</f>
        <v>81861</v>
      </c>
      <c r="H516" s="108">
        <v>0</v>
      </c>
      <c r="I516" s="141">
        <f>ROUND((F516*G516),0)</f>
        <v>8186</v>
      </c>
      <c r="J516" s="47"/>
      <c r="K516" s="143"/>
    </row>
    <row r="517" spans="2:11" ht="24.9" customHeight="1" thickTop="1" thickBot="1" x14ac:dyDescent="0.25">
      <c r="B517" s="150" t="s">
        <v>1033</v>
      </c>
      <c r="C517" s="151" t="str">
        <f>+'LISTA DE INSUMOS'!A758</f>
        <v>EQU002</v>
      </c>
      <c r="D517" s="146" t="str">
        <f>+'LISTA DE INSUMOS'!B758</f>
        <v>Herramienta menor (% mano obra)</v>
      </c>
      <c r="E517" s="145" t="str">
        <f>+'LISTA DE INSUMOS'!C758</f>
        <v>%MO</v>
      </c>
      <c r="F517" s="147">
        <v>0.2</v>
      </c>
      <c r="G517" s="148">
        <f>I515</f>
        <v>81861</v>
      </c>
      <c r="H517" s="145">
        <v>0</v>
      </c>
      <c r="I517" s="148">
        <f>ROUND((F517*G517),0)</f>
        <v>16372</v>
      </c>
      <c r="J517" s="47"/>
      <c r="K517" s="143"/>
    </row>
    <row r="518" spans="2:11" ht="24.9" customHeight="1" x14ac:dyDescent="0.2">
      <c r="B518" s="117" t="s">
        <v>1904</v>
      </c>
      <c r="C518" s="117"/>
      <c r="D518" s="112" t="s">
        <v>1578</v>
      </c>
      <c r="E518" s="117" t="s">
        <v>2586</v>
      </c>
      <c r="F518" s="118"/>
      <c r="G518" s="119">
        <f>ROUND(SUM(I518:I521),0)</f>
        <v>16373</v>
      </c>
      <c r="H518" s="120"/>
      <c r="I518" s="119"/>
      <c r="J518" s="47"/>
      <c r="K518" s="143"/>
    </row>
    <row r="519" spans="2:11" ht="24.9" customHeight="1" x14ac:dyDescent="0.2">
      <c r="B519" s="678" t="s">
        <v>1034</v>
      </c>
      <c r="C519" s="108" t="str">
        <f>+'LISTA DE INSUMOS'!A20</f>
        <v>MOB017</v>
      </c>
      <c r="D519" s="139" t="str">
        <f>+'LISTA DE INSUMOS'!B20</f>
        <v>Cuadrilla G 1 Of + 2 Ay (jornal + prestaciones)</v>
      </c>
      <c r="E519" s="108" t="str">
        <f>+'LISTA DE INSUMOS'!C20</f>
        <v>Día</v>
      </c>
      <c r="F519" s="140">
        <v>1</v>
      </c>
      <c r="G519" s="141">
        <f>'LISTA DE INSUMOS'!E20</f>
        <v>327445</v>
      </c>
      <c r="H519" s="108">
        <f>1/24</f>
        <v>4.1666666666666664E-2</v>
      </c>
      <c r="I519" s="141">
        <f>ROUND((F519*G519*H519),0)</f>
        <v>13644</v>
      </c>
      <c r="J519" s="47"/>
      <c r="K519" s="143"/>
    </row>
    <row r="520" spans="2:11" ht="24.9" customHeight="1" thickBot="1" x14ac:dyDescent="0.25">
      <c r="B520" s="705"/>
      <c r="C520" s="108" t="str">
        <f>+'LISTA DE INSUMOS'!A14</f>
        <v>MOB011</v>
      </c>
      <c r="D520" s="139" t="str">
        <f>+'LISTA DE INSUMOS'!B14</f>
        <v>Acarreo Horizontal (% mano obra)</v>
      </c>
      <c r="E520" s="108" t="str">
        <f>+'LISTA DE INSUMOS'!C14</f>
        <v>% MO</v>
      </c>
      <c r="F520" s="140">
        <v>0.15</v>
      </c>
      <c r="G520" s="141">
        <f>I519</f>
        <v>13644</v>
      </c>
      <c r="H520" s="108">
        <v>0</v>
      </c>
      <c r="I520" s="141">
        <f>ROUND((F520*G520),0)</f>
        <v>2047</v>
      </c>
      <c r="J520" s="47"/>
      <c r="K520" s="143"/>
    </row>
    <row r="521" spans="2:11" ht="24.9" customHeight="1" thickTop="1" thickBot="1" x14ac:dyDescent="0.25">
      <c r="B521" s="150" t="s">
        <v>1033</v>
      </c>
      <c r="C521" s="151" t="str">
        <f>+'LISTA DE INSUMOS'!A758</f>
        <v>EQU002</v>
      </c>
      <c r="D521" s="146" t="str">
        <f>+'LISTA DE INSUMOS'!B758</f>
        <v>Herramienta menor (% mano obra)</v>
      </c>
      <c r="E521" s="145" t="str">
        <f>+'LISTA DE INSUMOS'!C758</f>
        <v>%MO</v>
      </c>
      <c r="F521" s="147">
        <v>0.05</v>
      </c>
      <c r="G521" s="148">
        <f>I519</f>
        <v>13644</v>
      </c>
      <c r="H521" s="145">
        <v>0</v>
      </c>
      <c r="I521" s="148">
        <f>ROUND((F521*G521),0)</f>
        <v>682</v>
      </c>
      <c r="J521" s="47"/>
      <c r="K521" s="143"/>
    </row>
    <row r="522" spans="2:11" ht="24.9" customHeight="1" x14ac:dyDescent="0.2">
      <c r="B522" s="117" t="s">
        <v>1974</v>
      </c>
      <c r="C522" s="117"/>
      <c r="D522" s="112" t="s">
        <v>426</v>
      </c>
      <c r="E522" s="117" t="s">
        <v>2585</v>
      </c>
      <c r="F522" s="118"/>
      <c r="G522" s="119">
        <f>ROUND(SUM(I522:I526),0)</f>
        <v>31926</v>
      </c>
      <c r="H522" s="120"/>
      <c r="I522" s="119"/>
      <c r="J522" s="47"/>
      <c r="K522" s="143"/>
    </row>
    <row r="523" spans="2:11" ht="24.9" customHeight="1" x14ac:dyDescent="0.2">
      <c r="B523" s="678" t="s">
        <v>1034</v>
      </c>
      <c r="C523" s="108" t="str">
        <f>+'LISTA DE INSUMOS'!A9</f>
        <v>MOB006</v>
      </c>
      <c r="D523" s="139" t="str">
        <f>+'LISTA DE INSUMOS'!B9</f>
        <v>Cuadrilla A 1 Of + 4 Ay (jornal + prestaciones)</v>
      </c>
      <c r="E523" s="108" t="str">
        <f>+'LISTA DE INSUMOS'!C9</f>
        <v>Día</v>
      </c>
      <c r="F523" s="140">
        <v>1</v>
      </c>
      <c r="G523" s="141">
        <f>'LISTA DE INSUMOS'!E9</f>
        <v>491167</v>
      </c>
      <c r="H523" s="108">
        <v>0.05</v>
      </c>
      <c r="I523" s="141">
        <f>ROUND((F523*G523*H523),0)</f>
        <v>24558</v>
      </c>
      <c r="J523" s="47"/>
      <c r="K523" s="143"/>
    </row>
    <row r="524" spans="2:11" ht="24.9" customHeight="1" thickBot="1" x14ac:dyDescent="0.25">
      <c r="B524" s="705"/>
      <c r="C524" s="108" t="str">
        <f>+'LISTA DE INSUMOS'!A14</f>
        <v>MOB011</v>
      </c>
      <c r="D524" s="139" t="str">
        <f>+'LISTA DE INSUMOS'!B14</f>
        <v>Acarreo Horizontal (% mano obra)</v>
      </c>
      <c r="E524" s="108" t="str">
        <f>+'LISTA DE INSUMOS'!C14</f>
        <v>% MO</v>
      </c>
      <c r="F524" s="140">
        <v>0.1</v>
      </c>
      <c r="G524" s="141">
        <f>I523</f>
        <v>24558</v>
      </c>
      <c r="H524" s="108">
        <v>0</v>
      </c>
      <c r="I524" s="141">
        <f>ROUND((F524*G524),0)</f>
        <v>2456</v>
      </c>
      <c r="J524" s="47"/>
      <c r="K524" s="143"/>
    </row>
    <row r="525" spans="2:11" ht="24.9" customHeight="1" thickTop="1" x14ac:dyDescent="0.2">
      <c r="B525" s="674" t="s">
        <v>1033</v>
      </c>
      <c r="C525" s="108" t="str">
        <f>+'LISTA DE INSUMOS'!A762</f>
        <v>EQU006</v>
      </c>
      <c r="D525" s="139" t="str">
        <f>+'LISTA DE INSUMOS'!B762</f>
        <v>Andamio (% mano obra)</v>
      </c>
      <c r="E525" s="108" t="str">
        <f>+'LISTA DE INSUMOS'!C762</f>
        <v>%MO</v>
      </c>
      <c r="F525" s="140">
        <v>0.1</v>
      </c>
      <c r="G525" s="141">
        <f>I523</f>
        <v>24558</v>
      </c>
      <c r="H525" s="108">
        <v>0</v>
      </c>
      <c r="I525" s="141">
        <f>ROUND((F525*G525),0)</f>
        <v>2456</v>
      </c>
      <c r="J525" s="47"/>
      <c r="K525" s="143"/>
    </row>
    <row r="526" spans="2:11" ht="24.9" customHeight="1" thickBot="1" x14ac:dyDescent="0.25">
      <c r="B526" s="709"/>
      <c r="C526" s="145" t="str">
        <f>+'LISTA DE INSUMOS'!A758</f>
        <v>EQU002</v>
      </c>
      <c r="D526" s="146" t="str">
        <f>+'LISTA DE INSUMOS'!B758</f>
        <v>Herramienta menor (% mano obra)</v>
      </c>
      <c r="E526" s="145" t="str">
        <f>+'LISTA DE INSUMOS'!C758</f>
        <v>%MO</v>
      </c>
      <c r="F526" s="147">
        <v>0.1</v>
      </c>
      <c r="G526" s="148">
        <f>I523</f>
        <v>24558</v>
      </c>
      <c r="H526" s="145">
        <v>0</v>
      </c>
      <c r="I526" s="148">
        <f>ROUND((F526*G526),0)</f>
        <v>2456</v>
      </c>
      <c r="J526" s="47"/>
      <c r="K526" s="143"/>
    </row>
    <row r="527" spans="2:11" ht="24.9" customHeight="1" x14ac:dyDescent="0.2">
      <c r="B527" s="117" t="s">
        <v>1972</v>
      </c>
      <c r="C527" s="117"/>
      <c r="D527" s="112" t="s">
        <v>1587</v>
      </c>
      <c r="E527" s="117" t="s">
        <v>2585</v>
      </c>
      <c r="F527" s="118"/>
      <c r="G527" s="119">
        <f>ROUND(SUM(I527:I530),0)</f>
        <v>4518</v>
      </c>
      <c r="H527" s="120"/>
      <c r="I527" s="119"/>
      <c r="J527" s="47"/>
      <c r="K527" s="143"/>
    </row>
    <row r="528" spans="2:11" ht="24.9" customHeight="1" x14ac:dyDescent="0.2">
      <c r="B528" s="678" t="s">
        <v>1034</v>
      </c>
      <c r="C528" s="108" t="str">
        <f>+'LISTA DE INSUMOS'!A20</f>
        <v>MOB017</v>
      </c>
      <c r="D528" s="139" t="str">
        <f>+'LISTA DE INSUMOS'!B20</f>
        <v>Cuadrilla G 1 Of + 2 Ay (jornal + prestaciones)</v>
      </c>
      <c r="E528" s="108" t="str">
        <f>+'LISTA DE INSUMOS'!C20</f>
        <v>Día</v>
      </c>
      <c r="F528" s="140">
        <v>1</v>
      </c>
      <c r="G528" s="141">
        <f>'LISTA DE INSUMOS'!E20</f>
        <v>327445</v>
      </c>
      <c r="H528" s="142">
        <v>1.2E-2</v>
      </c>
      <c r="I528" s="141">
        <f>ROUND((F528*G528*H528),0)</f>
        <v>3929</v>
      </c>
      <c r="J528" s="47"/>
      <c r="K528" s="143"/>
    </row>
    <row r="529" spans="2:40" ht="24.9" customHeight="1" thickBot="1" x14ac:dyDescent="0.25">
      <c r="B529" s="705"/>
      <c r="C529" s="108" t="str">
        <f>+'LISTA DE INSUMOS'!A14</f>
        <v>MOB011</v>
      </c>
      <c r="D529" s="139" t="str">
        <f>+'LISTA DE INSUMOS'!B14</f>
        <v>Acarreo Horizontal (% mano obra)</v>
      </c>
      <c r="E529" s="108" t="str">
        <f>+'LISTA DE INSUMOS'!C14</f>
        <v>% MO</v>
      </c>
      <c r="F529" s="140">
        <v>0.1</v>
      </c>
      <c r="G529" s="141">
        <f>I528</f>
        <v>3929</v>
      </c>
      <c r="H529" s="108">
        <v>0</v>
      </c>
      <c r="I529" s="141">
        <f>ROUND((F529*G529),0)</f>
        <v>393</v>
      </c>
      <c r="J529" s="47"/>
      <c r="K529" s="143"/>
    </row>
    <row r="530" spans="2:40" ht="24.9" customHeight="1" thickTop="1" thickBot="1" x14ac:dyDescent="0.25">
      <c r="B530" s="150" t="s">
        <v>1033</v>
      </c>
      <c r="C530" s="151" t="str">
        <f>+'LISTA DE INSUMOS'!A758</f>
        <v>EQU002</v>
      </c>
      <c r="D530" s="146" t="str">
        <f>+'LISTA DE INSUMOS'!B758</f>
        <v>Herramienta menor (% mano obra)</v>
      </c>
      <c r="E530" s="145" t="str">
        <f>+'LISTA DE INSUMOS'!C758</f>
        <v>%MO</v>
      </c>
      <c r="F530" s="147">
        <v>0.05</v>
      </c>
      <c r="G530" s="148">
        <f>I528</f>
        <v>3929</v>
      </c>
      <c r="H530" s="145">
        <v>0</v>
      </c>
      <c r="I530" s="148">
        <f>ROUND((F530*G530),0)</f>
        <v>196</v>
      </c>
      <c r="J530" s="47"/>
      <c r="K530" s="143"/>
    </row>
    <row r="531" spans="2:40" ht="24.9" customHeight="1" x14ac:dyDescent="0.2">
      <c r="B531" s="117" t="s">
        <v>1436</v>
      </c>
      <c r="C531" s="117"/>
      <c r="D531" s="112" t="s">
        <v>1582</v>
      </c>
      <c r="E531" s="117" t="s">
        <v>1435</v>
      </c>
      <c r="F531" s="118"/>
      <c r="G531" s="119">
        <f>ROUND(SUM(I531:I534),0)</f>
        <v>18828</v>
      </c>
      <c r="H531" s="120"/>
      <c r="I531" s="119"/>
      <c r="J531" s="47"/>
      <c r="K531" s="143"/>
    </row>
    <row r="532" spans="2:40" ht="24.9" customHeight="1" x14ac:dyDescent="0.2">
      <c r="B532" s="678" t="s">
        <v>1034</v>
      </c>
      <c r="C532" s="108" t="str">
        <f>+'LISTA DE INSUMOS'!A5</f>
        <v>MOB002</v>
      </c>
      <c r="D532" s="139" t="str">
        <f>+'LISTA DE INSUMOS'!B5</f>
        <v>Oficial (jornal + prestaciones)</v>
      </c>
      <c r="E532" s="108" t="str">
        <f>+'LISTA DE INSUMOS'!C5</f>
        <v>Día</v>
      </c>
      <c r="F532" s="140">
        <v>1</v>
      </c>
      <c r="G532" s="141">
        <f>+'LISTA DE INSUMOS'!E5</f>
        <v>163723</v>
      </c>
      <c r="H532" s="108">
        <f>1/10</f>
        <v>0.1</v>
      </c>
      <c r="I532" s="141">
        <f>ROUND((F532*G532*H532),0)</f>
        <v>16372</v>
      </c>
      <c r="J532" s="47"/>
      <c r="K532" s="143"/>
    </row>
    <row r="533" spans="2:40" ht="24.9" customHeight="1" thickBot="1" x14ac:dyDescent="0.25">
      <c r="B533" s="705"/>
      <c r="C533" s="108" t="str">
        <f>+'LISTA DE INSUMOS'!A14</f>
        <v>MOB011</v>
      </c>
      <c r="D533" s="139" t="str">
        <f>+'LISTA DE INSUMOS'!B14</f>
        <v>Acarreo Horizontal (% mano obra)</v>
      </c>
      <c r="E533" s="108" t="str">
        <f>+'LISTA DE INSUMOS'!C14</f>
        <v>% MO</v>
      </c>
      <c r="F533" s="140">
        <v>0.05</v>
      </c>
      <c r="G533" s="141">
        <f>I532</f>
        <v>16372</v>
      </c>
      <c r="H533" s="108">
        <v>0</v>
      </c>
      <c r="I533" s="141">
        <f>ROUND((F533*G533),0)</f>
        <v>819</v>
      </c>
      <c r="J533" s="47"/>
      <c r="K533" s="143"/>
    </row>
    <row r="534" spans="2:40" ht="24.9" customHeight="1" thickTop="1" thickBot="1" x14ac:dyDescent="0.25">
      <c r="B534" s="150" t="s">
        <v>1033</v>
      </c>
      <c r="C534" s="151" t="str">
        <f>+'LISTA DE INSUMOS'!A758</f>
        <v>EQU002</v>
      </c>
      <c r="D534" s="146" t="str">
        <f>+'LISTA DE INSUMOS'!B758</f>
        <v>Herramienta menor (% mano obra)</v>
      </c>
      <c r="E534" s="145" t="str">
        <f>+'LISTA DE INSUMOS'!C758</f>
        <v>%MO</v>
      </c>
      <c r="F534" s="147">
        <v>0.1</v>
      </c>
      <c r="G534" s="148">
        <f>I532</f>
        <v>16372</v>
      </c>
      <c r="H534" s="145">
        <v>0</v>
      </c>
      <c r="I534" s="148">
        <f>ROUND((F534*G534),0)</f>
        <v>1637</v>
      </c>
      <c r="J534" s="47"/>
      <c r="K534" s="143"/>
    </row>
    <row r="535" spans="2:40" ht="24.9" customHeight="1" x14ac:dyDescent="0.2">
      <c r="B535" s="117" t="s">
        <v>1961</v>
      </c>
      <c r="C535" s="117"/>
      <c r="D535" s="112" t="s">
        <v>2414</v>
      </c>
      <c r="E535" s="117" t="s">
        <v>2586</v>
      </c>
      <c r="F535" s="149"/>
      <c r="G535" s="119">
        <f>ROUND(SUM(I535:I543),0)</f>
        <v>643985</v>
      </c>
      <c r="H535" s="120"/>
      <c r="I535" s="119"/>
      <c r="J535" s="47"/>
      <c r="K535" s="143"/>
      <c r="M535" s="104">
        <v>427754</v>
      </c>
      <c r="O535" s="104">
        <v>385000</v>
      </c>
      <c r="W535" s="104">
        <v>412227</v>
      </c>
      <c r="AA535" s="104">
        <v>458606</v>
      </c>
      <c r="AD535" s="104">
        <v>416729</v>
      </c>
      <c r="AE535" s="104">
        <v>386246</v>
      </c>
    </row>
    <row r="536" spans="2:40" ht="24.9" customHeight="1" x14ac:dyDescent="0.2">
      <c r="B536" s="706" t="s">
        <v>1035</v>
      </c>
      <c r="C536" s="108" t="str">
        <f>+'LISTA DE INSUMOS'!A30</f>
        <v>MAT001</v>
      </c>
      <c r="D536" s="139" t="str">
        <f>+'LISTA DE INSUMOS'!B30</f>
        <v>Cemento gris saco por 50 kilos, incluye cargue, descargue y transporte</v>
      </c>
      <c r="E536" s="108" t="str">
        <f>+'LISTA DE INSUMOS'!C30</f>
        <v>Sc</v>
      </c>
      <c r="F536" s="140">
        <v>8.5</v>
      </c>
      <c r="G536" s="164">
        <f>'LISTA DE INSUMOS'!E30</f>
        <v>34500</v>
      </c>
      <c r="H536" s="108">
        <v>1.03</v>
      </c>
      <c r="I536" s="141">
        <f t="shared" ref="I536:I541" si="7">ROUND((F536*G536*H536),0)</f>
        <v>302048</v>
      </c>
      <c r="J536" s="47"/>
      <c r="K536" s="143"/>
    </row>
    <row r="537" spans="2:40" ht="24.9" customHeight="1" x14ac:dyDescent="0.2">
      <c r="B537" s="706"/>
      <c r="C537" s="108" t="str">
        <f>+'LISTA DE INSUMOS'!A32</f>
        <v>MAT003</v>
      </c>
      <c r="D537" s="139" t="str">
        <f>+'LISTA DE INSUMOS'!B32</f>
        <v>Arena</v>
      </c>
      <c r="E537" s="108" t="str">
        <f>+'LISTA DE INSUMOS'!C32</f>
        <v>M3</v>
      </c>
      <c r="F537" s="140">
        <v>0.67</v>
      </c>
      <c r="G537" s="164">
        <f>'LISTA DE INSUMOS'!E32</f>
        <v>112536.56002875</v>
      </c>
      <c r="H537" s="108">
        <v>1.03</v>
      </c>
      <c r="I537" s="141">
        <f t="shared" si="7"/>
        <v>77661</v>
      </c>
      <c r="J537" s="47"/>
      <c r="K537" s="143"/>
    </row>
    <row r="538" spans="2:40" ht="24.9" customHeight="1" x14ac:dyDescent="0.2">
      <c r="B538" s="706"/>
      <c r="C538" s="108" t="str">
        <f>+'LISTA DE INSUMOS'!A33</f>
        <v>MAT004</v>
      </c>
      <c r="D538" s="139" t="str">
        <f>+'LISTA DE INSUMOS'!B33</f>
        <v>Gravilla de río y/o triturado</v>
      </c>
      <c r="E538" s="108" t="str">
        <f>+'LISTA DE INSUMOS'!C33</f>
        <v>M3</v>
      </c>
      <c r="F538" s="140">
        <v>0.67</v>
      </c>
      <c r="G538" s="164">
        <f>'LISTA DE INSUMOS'!E33</f>
        <v>112536.56002875</v>
      </c>
      <c r="H538" s="108">
        <v>1.03</v>
      </c>
      <c r="I538" s="141">
        <f t="shared" si="7"/>
        <v>77661</v>
      </c>
      <c r="J538" s="47"/>
      <c r="K538" s="143"/>
    </row>
    <row r="539" spans="2:40" ht="24.9" customHeight="1" thickBot="1" x14ac:dyDescent="0.25">
      <c r="B539" s="708"/>
      <c r="C539" s="108" t="str">
        <f>+'LISTA DE INSUMOS'!A42</f>
        <v>MAT013</v>
      </c>
      <c r="D539" s="139" t="str">
        <f>+'LISTA DE INSUMOS'!B42</f>
        <v xml:space="preserve">Agua </v>
      </c>
      <c r="E539" s="108" t="str">
        <f>+'LISTA DE INSUMOS'!C42</f>
        <v>Lt</v>
      </c>
      <c r="F539" s="140">
        <v>200</v>
      </c>
      <c r="G539" s="164">
        <f>'LISTA DE INSUMOS'!E42</f>
        <v>96.828790046226644</v>
      </c>
      <c r="H539" s="108">
        <v>1.03</v>
      </c>
      <c r="I539" s="141">
        <f t="shared" si="7"/>
        <v>19947</v>
      </c>
      <c r="J539" s="47"/>
      <c r="K539" s="143"/>
    </row>
    <row r="540" spans="2:40" ht="24.9" customHeight="1" thickTop="1" thickBot="1" x14ac:dyDescent="0.25">
      <c r="B540" s="117" t="s">
        <v>1407</v>
      </c>
      <c r="C540" s="108" t="s">
        <v>1450</v>
      </c>
      <c r="D540" s="139" t="str">
        <f>D336</f>
        <v xml:space="preserve">Transporte material &lt; 40 Km </v>
      </c>
      <c r="E540" s="108" t="s">
        <v>2650</v>
      </c>
      <c r="F540" s="140">
        <f>SUM(F538,F537)*20</f>
        <v>26.8</v>
      </c>
      <c r="G540" s="164">
        <f>G336</f>
        <v>1634</v>
      </c>
      <c r="H540" s="108">
        <v>1</v>
      </c>
      <c r="I540" s="141">
        <f t="shared" si="7"/>
        <v>43791</v>
      </c>
      <c r="J540" s="47"/>
      <c r="K540" s="143"/>
    </row>
    <row r="541" spans="2:40" ht="24.9" customHeight="1" thickTop="1" thickBot="1" x14ac:dyDescent="0.25">
      <c r="B541" s="156" t="s">
        <v>1034</v>
      </c>
      <c r="C541" s="108" t="str">
        <f>+'LISTA DE INSUMOS'!A16</f>
        <v>MOB013</v>
      </c>
      <c r="D541" s="139" t="str">
        <f>+'LISTA DE INSUMOS'!B16</f>
        <v>Cuadrilla C 1 Of + 7 Ay (jornal + prestaciones)</v>
      </c>
      <c r="E541" s="108" t="str">
        <f>+'LISTA DE INSUMOS'!C16</f>
        <v>Día</v>
      </c>
      <c r="F541" s="140">
        <v>1</v>
      </c>
      <c r="G541" s="164">
        <f>'LISTA DE INSUMOS'!E16</f>
        <v>736750</v>
      </c>
      <c r="H541" s="108">
        <f>1/7</f>
        <v>0.14285714285714285</v>
      </c>
      <c r="I541" s="141">
        <f t="shared" si="7"/>
        <v>105250</v>
      </c>
      <c r="J541" s="47"/>
      <c r="K541" s="143"/>
    </row>
    <row r="542" spans="2:40" ht="24.9" customHeight="1" thickTop="1" x14ac:dyDescent="0.2">
      <c r="B542" s="674" t="s">
        <v>1033</v>
      </c>
      <c r="C542" s="108" t="str">
        <f>+'LISTA DE INSUMOS'!A758</f>
        <v>EQU002</v>
      </c>
      <c r="D542" s="139" t="str">
        <f>+'LISTA DE INSUMOS'!B758</f>
        <v>Herramienta menor (% mano obra)</v>
      </c>
      <c r="E542" s="108" t="str">
        <f>+'LISTA DE INSUMOS'!C758</f>
        <v>%MO</v>
      </c>
      <c r="F542" s="140">
        <v>0.1</v>
      </c>
      <c r="G542" s="164">
        <f>I541</f>
        <v>105250</v>
      </c>
      <c r="H542" s="108">
        <v>0</v>
      </c>
      <c r="I542" s="141">
        <f>ROUND((F542*G542),0)</f>
        <v>10525</v>
      </c>
      <c r="J542" s="47"/>
      <c r="K542" s="143"/>
    </row>
    <row r="543" spans="2:40" ht="24.9" customHeight="1" thickBot="1" x14ac:dyDescent="0.25">
      <c r="B543" s="709"/>
      <c r="C543" s="145" t="str">
        <f>+'LISTA DE INSUMOS'!A759</f>
        <v>EQU003</v>
      </c>
      <c r="D543" s="146" t="str">
        <f>+'LISTA DE INSUMOS'!B759</f>
        <v>Concretadora gasolina 1 o 1 1/2 sacos</v>
      </c>
      <c r="E543" s="145" t="str">
        <f>+'LISTA DE INSUMOS'!C759</f>
        <v>Día</v>
      </c>
      <c r="F543" s="147">
        <v>1</v>
      </c>
      <c r="G543" s="188">
        <f>'LISTA DE INSUMOS'!E759</f>
        <v>49716.008472358793</v>
      </c>
      <c r="H543" s="145">
        <f>1/7</f>
        <v>0.14285714285714285</v>
      </c>
      <c r="I543" s="148">
        <f>ROUND((F543*G543*H543),0)</f>
        <v>7102</v>
      </c>
      <c r="J543" s="47"/>
      <c r="K543" s="143"/>
    </row>
    <row r="544" spans="2:40" ht="24.9" customHeight="1" x14ac:dyDescent="0.2">
      <c r="B544" s="117" t="s">
        <v>1485</v>
      </c>
      <c r="C544" s="117"/>
      <c r="D544" s="112" t="s">
        <v>53</v>
      </c>
      <c r="E544" s="117" t="s">
        <v>2586</v>
      </c>
      <c r="F544" s="149"/>
      <c r="G544" s="119">
        <f>ROUND(SUM(I544:I552),0)</f>
        <v>596118</v>
      </c>
      <c r="H544" s="120"/>
      <c r="I544" s="119"/>
      <c r="J544" s="47">
        <v>518743</v>
      </c>
      <c r="K544" s="143"/>
      <c r="L544" s="104">
        <f>339932+52849</f>
        <v>392781</v>
      </c>
      <c r="O544" s="104">
        <v>340000</v>
      </c>
      <c r="P544" s="104">
        <v>329091</v>
      </c>
      <c r="Q544" s="104">
        <v>417395</v>
      </c>
      <c r="R544" s="104">
        <v>406189</v>
      </c>
      <c r="S544" s="104">
        <v>370567</v>
      </c>
      <c r="T544" s="104">
        <v>400000</v>
      </c>
      <c r="U544" s="104">
        <v>451407</v>
      </c>
      <c r="V544" s="104">
        <v>546549</v>
      </c>
      <c r="W544" s="104">
        <v>356938</v>
      </c>
      <c r="X544" s="104">
        <v>494041</v>
      </c>
      <c r="Z544" s="104">
        <v>451922</v>
      </c>
      <c r="AA544" s="104">
        <v>402000</v>
      </c>
      <c r="AC544" s="104">
        <v>509985</v>
      </c>
      <c r="AD544" s="104">
        <v>361284</v>
      </c>
      <c r="AE544" s="104">
        <v>351623</v>
      </c>
      <c r="AF544" s="104">
        <v>550242</v>
      </c>
      <c r="AG544" s="104">
        <v>427463</v>
      </c>
      <c r="AI544" s="104">
        <v>394061</v>
      </c>
      <c r="AK544" s="104">
        <v>525028</v>
      </c>
      <c r="AL544" s="104">
        <v>562390</v>
      </c>
      <c r="AM544" s="104">
        <v>399674</v>
      </c>
      <c r="AN544" s="104">
        <v>380000</v>
      </c>
    </row>
    <row r="545" spans="2:39" ht="24.9" customHeight="1" x14ac:dyDescent="0.2">
      <c r="B545" s="706" t="s">
        <v>1035</v>
      </c>
      <c r="C545" s="108" t="str">
        <f>+'LISTA DE INSUMOS'!A30</f>
        <v>MAT001</v>
      </c>
      <c r="D545" s="139" t="str">
        <f>+'LISTA DE INSUMOS'!B30</f>
        <v>Cemento gris saco por 50 kilos, incluye cargue, descargue y transporte</v>
      </c>
      <c r="E545" s="108" t="str">
        <f>+'LISTA DE INSUMOS'!C30</f>
        <v>Sc</v>
      </c>
      <c r="F545" s="140">
        <v>7</v>
      </c>
      <c r="G545" s="164">
        <f>'LISTA DE INSUMOS'!E30</f>
        <v>34500</v>
      </c>
      <c r="H545" s="108">
        <v>1.03</v>
      </c>
      <c r="I545" s="141">
        <f t="shared" ref="I545:I550" si="8">ROUND((F545*G545*H545),0)</f>
        <v>248745</v>
      </c>
      <c r="J545" s="47"/>
      <c r="K545" s="143"/>
    </row>
    <row r="546" spans="2:39" ht="24.9" customHeight="1" x14ac:dyDescent="0.2">
      <c r="B546" s="706"/>
      <c r="C546" s="108" t="str">
        <f>+'LISTA DE INSUMOS'!A32</f>
        <v>MAT003</v>
      </c>
      <c r="D546" s="139" t="str">
        <f>+'LISTA DE INSUMOS'!B32</f>
        <v>Arena</v>
      </c>
      <c r="E546" s="108" t="str">
        <f>+'LISTA DE INSUMOS'!C32</f>
        <v>M3</v>
      </c>
      <c r="F546" s="140">
        <v>0.55000000000000004</v>
      </c>
      <c r="G546" s="164">
        <f>'LISTA DE INSUMOS'!E32</f>
        <v>112536.56002875</v>
      </c>
      <c r="H546" s="108">
        <v>1.03</v>
      </c>
      <c r="I546" s="141">
        <f t="shared" si="8"/>
        <v>63752</v>
      </c>
      <c r="J546" s="47"/>
      <c r="K546" s="143"/>
    </row>
    <row r="547" spans="2:39" ht="24.9" customHeight="1" x14ac:dyDescent="0.2">
      <c r="B547" s="706"/>
      <c r="C547" s="108" t="str">
        <f>+'LISTA DE INSUMOS'!A33</f>
        <v>MAT004</v>
      </c>
      <c r="D547" s="139" t="str">
        <f>+'LISTA DE INSUMOS'!B33</f>
        <v>Gravilla de río y/o triturado</v>
      </c>
      <c r="E547" s="108" t="str">
        <f>+'LISTA DE INSUMOS'!C33</f>
        <v>M3</v>
      </c>
      <c r="F547" s="140">
        <v>0.84</v>
      </c>
      <c r="G547" s="164">
        <f>'LISTA DE INSUMOS'!E33</f>
        <v>112536.56002875</v>
      </c>
      <c r="H547" s="108">
        <v>1.03</v>
      </c>
      <c r="I547" s="141">
        <f t="shared" si="8"/>
        <v>97367</v>
      </c>
      <c r="J547" s="47"/>
      <c r="K547" s="143"/>
    </row>
    <row r="548" spans="2:39" ht="24.9" customHeight="1" thickBot="1" x14ac:dyDescent="0.25">
      <c r="B548" s="708"/>
      <c r="C548" s="108" t="str">
        <f>+'LISTA DE INSUMOS'!A42</f>
        <v>MAT013</v>
      </c>
      <c r="D548" s="139" t="str">
        <f>+'LISTA DE INSUMOS'!B42</f>
        <v xml:space="preserve">Agua </v>
      </c>
      <c r="E548" s="108" t="str">
        <f>+'LISTA DE INSUMOS'!C42</f>
        <v>Lt</v>
      </c>
      <c r="F548" s="140">
        <v>180</v>
      </c>
      <c r="G548" s="164">
        <f>'LISTA DE INSUMOS'!E42</f>
        <v>96.828790046226644</v>
      </c>
      <c r="H548" s="108">
        <v>1.03</v>
      </c>
      <c r="I548" s="141">
        <f t="shared" si="8"/>
        <v>17952</v>
      </c>
      <c r="J548" s="47"/>
      <c r="K548" s="143"/>
    </row>
    <row r="549" spans="2:39" ht="24.9" customHeight="1" thickTop="1" thickBot="1" x14ac:dyDescent="0.25">
      <c r="B549" s="117" t="s">
        <v>1407</v>
      </c>
      <c r="C549" s="108" t="s">
        <v>1450</v>
      </c>
      <c r="D549" s="139" t="str">
        <f>D336</f>
        <v xml:space="preserve">Transporte material &lt; 40 Km </v>
      </c>
      <c r="E549" s="108" t="s">
        <v>2650</v>
      </c>
      <c r="F549" s="140">
        <f>SUM(F547,F546)*20</f>
        <v>27.800000000000004</v>
      </c>
      <c r="G549" s="164">
        <f>G336</f>
        <v>1634</v>
      </c>
      <c r="H549" s="108">
        <v>1</v>
      </c>
      <c r="I549" s="141">
        <f t="shared" si="8"/>
        <v>45425</v>
      </c>
      <c r="J549" s="47"/>
      <c r="K549" s="143"/>
    </row>
    <row r="550" spans="2:39" ht="24.9" customHeight="1" thickTop="1" thickBot="1" x14ac:dyDescent="0.25">
      <c r="B550" s="156" t="s">
        <v>1034</v>
      </c>
      <c r="C550" s="108" t="str">
        <f>+'LISTA DE INSUMOS'!A16</f>
        <v>MOB013</v>
      </c>
      <c r="D550" s="139" t="str">
        <f>+'LISTA DE INSUMOS'!B16</f>
        <v>Cuadrilla C 1 Of + 7 Ay (jornal + prestaciones)</v>
      </c>
      <c r="E550" s="108" t="str">
        <f>+'LISTA DE INSUMOS'!C16</f>
        <v>Día</v>
      </c>
      <c r="F550" s="140">
        <v>1</v>
      </c>
      <c r="G550" s="164">
        <f>'LISTA DE INSUMOS'!E16</f>
        <v>736750</v>
      </c>
      <c r="H550" s="108">
        <f>1/7</f>
        <v>0.14285714285714285</v>
      </c>
      <c r="I550" s="141">
        <f t="shared" si="8"/>
        <v>105250</v>
      </c>
      <c r="J550" s="47"/>
      <c r="K550" s="143"/>
    </row>
    <row r="551" spans="2:39" ht="24.9" customHeight="1" thickTop="1" x14ac:dyDescent="0.2">
      <c r="B551" s="674" t="s">
        <v>1033</v>
      </c>
      <c r="C551" s="108" t="str">
        <f>+'LISTA DE INSUMOS'!A758</f>
        <v>EQU002</v>
      </c>
      <c r="D551" s="139" t="str">
        <f>+'LISTA DE INSUMOS'!B758</f>
        <v>Herramienta menor (% mano obra)</v>
      </c>
      <c r="E551" s="108" t="str">
        <f>+'LISTA DE INSUMOS'!C758</f>
        <v>%MO</v>
      </c>
      <c r="F551" s="140">
        <v>0.1</v>
      </c>
      <c r="G551" s="164">
        <f>I550</f>
        <v>105250</v>
      </c>
      <c r="H551" s="108">
        <v>0</v>
      </c>
      <c r="I551" s="141">
        <f>ROUND((F551*G551),0)</f>
        <v>10525</v>
      </c>
      <c r="J551" s="47"/>
      <c r="K551" s="143"/>
    </row>
    <row r="552" spans="2:39" ht="24.9" customHeight="1" thickBot="1" x14ac:dyDescent="0.25">
      <c r="B552" s="709"/>
      <c r="C552" s="145" t="str">
        <f>+'LISTA DE INSUMOS'!A759</f>
        <v>EQU003</v>
      </c>
      <c r="D552" s="146" t="str">
        <f>+'LISTA DE INSUMOS'!B759</f>
        <v>Concretadora gasolina 1 o 1 1/2 sacos</v>
      </c>
      <c r="E552" s="145" t="str">
        <f>+'LISTA DE INSUMOS'!C759</f>
        <v>Día</v>
      </c>
      <c r="F552" s="147">
        <v>1</v>
      </c>
      <c r="G552" s="188">
        <f>'LISTA DE INSUMOS'!E759</f>
        <v>49716.008472358793</v>
      </c>
      <c r="H552" s="145">
        <f>1/7</f>
        <v>0.14285714285714285</v>
      </c>
      <c r="I552" s="148">
        <f>ROUND((F552*G552*H552),0)</f>
        <v>7102</v>
      </c>
      <c r="J552" s="47"/>
      <c r="K552" s="143"/>
    </row>
    <row r="553" spans="2:39" ht="24.9" customHeight="1" x14ac:dyDescent="0.2">
      <c r="B553" s="117" t="s">
        <v>1486</v>
      </c>
      <c r="C553" s="117"/>
      <c r="D553" s="112" t="s">
        <v>52</v>
      </c>
      <c r="E553" s="117" t="s">
        <v>2586</v>
      </c>
      <c r="F553" s="149"/>
      <c r="G553" s="119">
        <f>SUM(I554:I561)</f>
        <v>566526</v>
      </c>
      <c r="H553" s="120"/>
      <c r="I553" s="119"/>
      <c r="J553" s="47"/>
      <c r="K553" s="143"/>
      <c r="L553" s="104">
        <f>288364+52849</f>
        <v>341213</v>
      </c>
      <c r="O553" s="104">
        <v>310000</v>
      </c>
      <c r="P553" s="104">
        <v>375790</v>
      </c>
      <c r="Q553" s="104">
        <v>276167</v>
      </c>
      <c r="W553" s="104">
        <v>333549</v>
      </c>
      <c r="X553" s="104">
        <v>457199</v>
      </c>
      <c r="AA553" s="104">
        <v>378000</v>
      </c>
      <c r="AD553" s="104">
        <v>333987</v>
      </c>
      <c r="AE553" s="104">
        <v>306430</v>
      </c>
      <c r="AG553" s="104">
        <v>401562</v>
      </c>
      <c r="AM553" s="104">
        <v>376840</v>
      </c>
    </row>
    <row r="554" spans="2:39" ht="24.9" customHeight="1" x14ac:dyDescent="0.2">
      <c r="B554" s="706" t="s">
        <v>1035</v>
      </c>
      <c r="C554" s="108" t="str">
        <f>+'LISTA DE INSUMOS'!A30</f>
        <v>MAT001</v>
      </c>
      <c r="D554" s="139" t="str">
        <f>+'LISTA DE INSUMOS'!B30</f>
        <v>Cemento gris saco por 50 kilos, incluye cargue, descargue y transporte</v>
      </c>
      <c r="E554" s="108" t="str">
        <f>+'LISTA DE INSUMOS'!C30</f>
        <v>Sc</v>
      </c>
      <c r="F554" s="140">
        <v>6</v>
      </c>
      <c r="G554" s="164">
        <f>'LISTA DE INSUMOS'!E30</f>
        <v>34500</v>
      </c>
      <c r="H554" s="108">
        <v>1.03</v>
      </c>
      <c r="I554" s="141">
        <f t="shared" ref="I554:I559" si="9">ROUND((F554*G554*H554),0)</f>
        <v>213210</v>
      </c>
      <c r="J554" s="47"/>
      <c r="K554" s="143"/>
    </row>
    <row r="555" spans="2:39" ht="24.9" customHeight="1" x14ac:dyDescent="0.2">
      <c r="B555" s="706"/>
      <c r="C555" s="108" t="str">
        <f>+'LISTA DE INSUMOS'!A32</f>
        <v>MAT003</v>
      </c>
      <c r="D555" s="139" t="str">
        <f>+'LISTA DE INSUMOS'!B32</f>
        <v>Arena</v>
      </c>
      <c r="E555" s="108" t="str">
        <f>+'LISTA DE INSUMOS'!C32</f>
        <v>M3</v>
      </c>
      <c r="F555" s="140">
        <v>0.48</v>
      </c>
      <c r="G555" s="164">
        <f>'LISTA DE INSUMOS'!E32</f>
        <v>112536.56002875</v>
      </c>
      <c r="H555" s="108">
        <v>1.03</v>
      </c>
      <c r="I555" s="141">
        <f t="shared" si="9"/>
        <v>55638</v>
      </c>
      <c r="J555" s="47"/>
      <c r="K555" s="143"/>
    </row>
    <row r="556" spans="2:39" ht="24.9" customHeight="1" x14ac:dyDescent="0.2">
      <c r="B556" s="706"/>
      <c r="C556" s="108" t="str">
        <f>+'LISTA DE INSUMOS'!A33</f>
        <v>MAT004</v>
      </c>
      <c r="D556" s="139" t="str">
        <f>+'LISTA DE INSUMOS'!B33</f>
        <v>Gravilla de río y/o triturado</v>
      </c>
      <c r="E556" s="108" t="str">
        <f>+'LISTA DE INSUMOS'!C33</f>
        <v>M3</v>
      </c>
      <c r="F556" s="140">
        <v>0.95</v>
      </c>
      <c r="G556" s="164">
        <f>'LISTA DE INSUMOS'!E33</f>
        <v>112536.56002875</v>
      </c>
      <c r="H556" s="108">
        <v>1.03</v>
      </c>
      <c r="I556" s="141">
        <f t="shared" si="9"/>
        <v>110117</v>
      </c>
      <c r="J556" s="47"/>
      <c r="K556" s="143"/>
    </row>
    <row r="557" spans="2:39" ht="24.9" customHeight="1" thickBot="1" x14ac:dyDescent="0.25">
      <c r="B557" s="708"/>
      <c r="C557" s="108" t="str">
        <f>+'LISTA DE INSUMOS'!A42</f>
        <v>MAT013</v>
      </c>
      <c r="D557" s="139" t="str">
        <f>+'LISTA DE INSUMOS'!B42</f>
        <v xml:space="preserve">Agua </v>
      </c>
      <c r="E557" s="108" t="str">
        <f>+'LISTA DE INSUMOS'!C42</f>
        <v>Lt</v>
      </c>
      <c r="F557" s="140">
        <v>180</v>
      </c>
      <c r="G557" s="164">
        <f>'LISTA DE INSUMOS'!E42</f>
        <v>96.828790046226644</v>
      </c>
      <c r="H557" s="108">
        <v>1.03</v>
      </c>
      <c r="I557" s="141">
        <f t="shared" si="9"/>
        <v>17952</v>
      </c>
      <c r="J557" s="47"/>
      <c r="K557" s="143"/>
    </row>
    <row r="558" spans="2:39" ht="24.9" customHeight="1" thickTop="1" thickBot="1" x14ac:dyDescent="0.25">
      <c r="B558" s="117" t="s">
        <v>1407</v>
      </c>
      <c r="C558" s="108" t="s">
        <v>1450</v>
      </c>
      <c r="D558" s="139" t="str">
        <f>D336</f>
        <v xml:space="preserve">Transporte material &lt; 40 Km </v>
      </c>
      <c r="E558" s="108" t="s">
        <v>2650</v>
      </c>
      <c r="F558" s="140">
        <f>SUM(F556,F555)*20</f>
        <v>28.599999999999998</v>
      </c>
      <c r="G558" s="164">
        <f>G336</f>
        <v>1634</v>
      </c>
      <c r="H558" s="108">
        <v>1</v>
      </c>
      <c r="I558" s="141">
        <f t="shared" si="9"/>
        <v>46732</v>
      </c>
      <c r="J558" s="47"/>
      <c r="K558" s="143"/>
    </row>
    <row r="559" spans="2:39" ht="24.9" customHeight="1" thickTop="1" thickBot="1" x14ac:dyDescent="0.25">
      <c r="B559" s="156" t="s">
        <v>1034</v>
      </c>
      <c r="C559" s="108" t="str">
        <f>+'LISTA DE INSUMOS'!A16</f>
        <v>MOB013</v>
      </c>
      <c r="D559" s="139" t="str">
        <f>+'LISTA DE INSUMOS'!B16</f>
        <v>Cuadrilla C 1 Of + 7 Ay (jornal + prestaciones)</v>
      </c>
      <c r="E559" s="108" t="str">
        <f>+'LISTA DE INSUMOS'!C16</f>
        <v>Día</v>
      </c>
      <c r="F559" s="140">
        <v>1</v>
      </c>
      <c r="G559" s="164">
        <f>'LISTA DE INSUMOS'!E16</f>
        <v>736750</v>
      </c>
      <c r="H559" s="108">
        <f>1/7</f>
        <v>0.14285714285714285</v>
      </c>
      <c r="I559" s="141">
        <f t="shared" si="9"/>
        <v>105250</v>
      </c>
      <c r="J559" s="47"/>
      <c r="K559" s="143"/>
    </row>
    <row r="560" spans="2:39" ht="24.9" customHeight="1" thickTop="1" x14ac:dyDescent="0.2">
      <c r="B560" s="674" t="s">
        <v>1033</v>
      </c>
      <c r="C560" s="108" t="str">
        <f>+'LISTA DE INSUMOS'!A758</f>
        <v>EQU002</v>
      </c>
      <c r="D560" s="139" t="str">
        <f>+'LISTA DE INSUMOS'!B758</f>
        <v>Herramienta menor (% mano obra)</v>
      </c>
      <c r="E560" s="108" t="str">
        <f>+'LISTA DE INSUMOS'!C758</f>
        <v>%MO</v>
      </c>
      <c r="F560" s="140">
        <v>0.1</v>
      </c>
      <c r="G560" s="164">
        <f>I559</f>
        <v>105250</v>
      </c>
      <c r="H560" s="108">
        <v>0</v>
      </c>
      <c r="I560" s="141">
        <f>ROUND((F560*G560),0)</f>
        <v>10525</v>
      </c>
      <c r="J560" s="47"/>
      <c r="K560" s="143"/>
    </row>
    <row r="561" spans="2:40" ht="24.9" customHeight="1" thickBot="1" x14ac:dyDescent="0.25">
      <c r="B561" s="709"/>
      <c r="C561" s="145" t="str">
        <f>+'LISTA DE INSUMOS'!A759</f>
        <v>EQU003</v>
      </c>
      <c r="D561" s="146" t="str">
        <f>+'LISTA DE INSUMOS'!B759</f>
        <v>Concretadora gasolina 1 o 1 1/2 sacos</v>
      </c>
      <c r="E561" s="145" t="str">
        <f>+'LISTA DE INSUMOS'!C759</f>
        <v>Día</v>
      </c>
      <c r="F561" s="147">
        <v>1</v>
      </c>
      <c r="G561" s="188">
        <f>'LISTA DE INSUMOS'!E759</f>
        <v>49716.008472358793</v>
      </c>
      <c r="H561" s="145">
        <f>1/7</f>
        <v>0.14285714285714285</v>
      </c>
      <c r="I561" s="148">
        <f>ROUND((F561*G561*H561),0)</f>
        <v>7102</v>
      </c>
      <c r="J561" s="47"/>
      <c r="K561" s="143"/>
    </row>
    <row r="562" spans="2:40" ht="24.9" customHeight="1" x14ac:dyDescent="0.2">
      <c r="B562" s="117" t="s">
        <v>1556</v>
      </c>
      <c r="C562" s="117"/>
      <c r="D562" s="112" t="s">
        <v>2415</v>
      </c>
      <c r="E562" s="117" t="s">
        <v>2586</v>
      </c>
      <c r="F562" s="149"/>
      <c r="G562" s="119">
        <f>ROUND(SUM(I562:I570),0)</f>
        <v>484569</v>
      </c>
      <c r="H562" s="120"/>
      <c r="I562" s="119"/>
      <c r="J562" s="47"/>
      <c r="K562" s="143"/>
    </row>
    <row r="563" spans="2:40" ht="24.9" customHeight="1" x14ac:dyDescent="0.2">
      <c r="B563" s="706" t="s">
        <v>1035</v>
      </c>
      <c r="C563" s="108" t="str">
        <f>+'LISTA DE INSUMOS'!A30</f>
        <v>MAT001</v>
      </c>
      <c r="D563" s="139" t="str">
        <f>+'LISTA DE INSUMOS'!B30</f>
        <v>Cemento gris saco por 50 kilos, incluye cargue, descargue y transporte</v>
      </c>
      <c r="E563" s="108" t="str">
        <f>+'LISTA DE INSUMOS'!C30</f>
        <v>Sc</v>
      </c>
      <c r="F563" s="140">
        <v>3.5</v>
      </c>
      <c r="G563" s="164">
        <f>'LISTA DE INSUMOS'!E30</f>
        <v>34500</v>
      </c>
      <c r="H563" s="108">
        <v>1.03</v>
      </c>
      <c r="I563" s="141">
        <f t="shared" ref="I563:I568" si="10">ROUND((F563*G563*H563),0)</f>
        <v>124373</v>
      </c>
      <c r="J563" s="47"/>
      <c r="K563" s="143"/>
    </row>
    <row r="564" spans="2:40" ht="24.9" customHeight="1" x14ac:dyDescent="0.2">
      <c r="B564" s="706"/>
      <c r="C564" s="108" t="str">
        <f>+'LISTA DE INSUMOS'!A32</f>
        <v>MAT003</v>
      </c>
      <c r="D564" s="139" t="str">
        <f>+'LISTA DE INSUMOS'!B32</f>
        <v>Arena</v>
      </c>
      <c r="E564" s="108" t="str">
        <f>+'LISTA DE INSUMOS'!C32</f>
        <v>M3</v>
      </c>
      <c r="F564" s="140">
        <v>0.56000000000000005</v>
      </c>
      <c r="G564" s="164">
        <f>'LISTA DE INSUMOS'!E32</f>
        <v>112536.56002875</v>
      </c>
      <c r="H564" s="108">
        <v>1.03</v>
      </c>
      <c r="I564" s="141">
        <f t="shared" si="10"/>
        <v>64911</v>
      </c>
      <c r="J564" s="47"/>
      <c r="K564" s="143"/>
    </row>
    <row r="565" spans="2:40" ht="24.9" customHeight="1" x14ac:dyDescent="0.2">
      <c r="B565" s="706"/>
      <c r="C565" s="108" t="str">
        <f>+'LISTA DE INSUMOS'!A33</f>
        <v>MAT004</v>
      </c>
      <c r="D565" s="139" t="str">
        <f>+'LISTA DE INSUMOS'!B33</f>
        <v>Gravilla de río y/o triturado</v>
      </c>
      <c r="E565" s="108" t="str">
        <f>+'LISTA DE INSUMOS'!C33</f>
        <v>M3</v>
      </c>
      <c r="F565" s="140">
        <v>0.97</v>
      </c>
      <c r="G565" s="164">
        <f>'LISTA DE INSUMOS'!E33</f>
        <v>112536.56002875</v>
      </c>
      <c r="H565" s="108">
        <v>1.03</v>
      </c>
      <c r="I565" s="141">
        <f t="shared" si="10"/>
        <v>112435</v>
      </c>
      <c r="J565" s="47"/>
      <c r="K565" s="143"/>
    </row>
    <row r="566" spans="2:40" ht="24.9" customHeight="1" thickBot="1" x14ac:dyDescent="0.25">
      <c r="B566" s="708"/>
      <c r="C566" s="108" t="str">
        <f>+'LISTA DE INSUMOS'!A42</f>
        <v>MAT013</v>
      </c>
      <c r="D566" s="139" t="str">
        <f>+'LISTA DE INSUMOS'!B42</f>
        <v xml:space="preserve">Agua </v>
      </c>
      <c r="E566" s="108" t="str">
        <f>+'LISTA DE INSUMOS'!C42</f>
        <v>Lt</v>
      </c>
      <c r="F566" s="140">
        <v>100</v>
      </c>
      <c r="G566" s="164">
        <f>'LISTA DE INSUMOS'!E42</f>
        <v>96.828790046226644</v>
      </c>
      <c r="H566" s="108">
        <v>1.03</v>
      </c>
      <c r="I566" s="141">
        <f t="shared" si="10"/>
        <v>9973</v>
      </c>
      <c r="J566" s="47"/>
      <c r="K566" s="143"/>
    </row>
    <row r="567" spans="2:40" ht="24.9" customHeight="1" thickTop="1" thickBot="1" x14ac:dyDescent="0.25">
      <c r="B567" s="117" t="s">
        <v>1407</v>
      </c>
      <c r="C567" s="108" t="s">
        <v>1450</v>
      </c>
      <c r="D567" s="139" t="str">
        <f>D336</f>
        <v xml:space="preserve">Transporte material &lt; 40 Km </v>
      </c>
      <c r="E567" s="108" t="s">
        <v>2650</v>
      </c>
      <c r="F567" s="140">
        <f>SUM(F565,F564)*20</f>
        <v>30.6</v>
      </c>
      <c r="G567" s="164">
        <f>G336</f>
        <v>1634</v>
      </c>
      <c r="H567" s="108">
        <v>1</v>
      </c>
      <c r="I567" s="141">
        <f t="shared" si="10"/>
        <v>50000</v>
      </c>
      <c r="J567" s="47"/>
      <c r="K567" s="143"/>
    </row>
    <row r="568" spans="2:40" ht="24.9" customHeight="1" thickTop="1" thickBot="1" x14ac:dyDescent="0.25">
      <c r="B568" s="156" t="s">
        <v>1034</v>
      </c>
      <c r="C568" s="108" t="str">
        <f>+'LISTA DE INSUMOS'!A16</f>
        <v>MOB013</v>
      </c>
      <c r="D568" s="139" t="str">
        <f>+'LISTA DE INSUMOS'!B16</f>
        <v>Cuadrilla C 1 Of + 7 Ay (jornal + prestaciones)</v>
      </c>
      <c r="E568" s="108" t="str">
        <f>+'LISTA DE INSUMOS'!C16</f>
        <v>Día</v>
      </c>
      <c r="F568" s="140">
        <v>1</v>
      </c>
      <c r="G568" s="164">
        <f>'LISTA DE INSUMOS'!E16</f>
        <v>736750</v>
      </c>
      <c r="H568" s="108">
        <f>1/7</f>
        <v>0.14285714285714285</v>
      </c>
      <c r="I568" s="141">
        <f t="shared" si="10"/>
        <v>105250</v>
      </c>
      <c r="J568" s="47"/>
      <c r="K568" s="143"/>
    </row>
    <row r="569" spans="2:40" ht="24.9" customHeight="1" thickTop="1" x14ac:dyDescent="0.2">
      <c r="B569" s="674" t="s">
        <v>1033</v>
      </c>
      <c r="C569" s="108" t="str">
        <f>+'LISTA DE INSUMOS'!A758</f>
        <v>EQU002</v>
      </c>
      <c r="D569" s="139" t="str">
        <f>+'LISTA DE INSUMOS'!B758</f>
        <v>Herramienta menor (% mano obra)</v>
      </c>
      <c r="E569" s="108" t="str">
        <f>+'LISTA DE INSUMOS'!C758</f>
        <v>%MO</v>
      </c>
      <c r="F569" s="140">
        <v>0.1</v>
      </c>
      <c r="G569" s="164">
        <f>I568</f>
        <v>105250</v>
      </c>
      <c r="H569" s="108">
        <v>0</v>
      </c>
      <c r="I569" s="141">
        <f>ROUND((F569*G569),0)</f>
        <v>10525</v>
      </c>
      <c r="J569" s="47"/>
      <c r="K569" s="143"/>
    </row>
    <row r="570" spans="2:40" ht="24.9" customHeight="1" thickBot="1" x14ac:dyDescent="0.25">
      <c r="B570" s="709"/>
      <c r="C570" s="145" t="str">
        <f>+'LISTA DE INSUMOS'!A759</f>
        <v>EQU003</v>
      </c>
      <c r="D570" s="146" t="str">
        <f>+'LISTA DE INSUMOS'!B759</f>
        <v>Concretadora gasolina 1 o 1 1/2 sacos</v>
      </c>
      <c r="E570" s="145" t="str">
        <f>+'LISTA DE INSUMOS'!C759</f>
        <v>Día</v>
      </c>
      <c r="F570" s="147">
        <v>1</v>
      </c>
      <c r="G570" s="188">
        <f>'LISTA DE INSUMOS'!E759</f>
        <v>49716.008472358793</v>
      </c>
      <c r="H570" s="145">
        <f>1/7</f>
        <v>0.14285714285714285</v>
      </c>
      <c r="I570" s="148">
        <f>ROUND((F570*G570*H570),0)</f>
        <v>7102</v>
      </c>
      <c r="J570" s="47"/>
      <c r="K570" s="143"/>
    </row>
    <row r="571" spans="2:40" ht="24.9" customHeight="1" x14ac:dyDescent="0.2">
      <c r="B571" s="117" t="s">
        <v>1558</v>
      </c>
      <c r="C571" s="117"/>
      <c r="D571" s="112" t="s">
        <v>2416</v>
      </c>
      <c r="E571" s="117" t="s">
        <v>2586</v>
      </c>
      <c r="F571" s="149"/>
      <c r="G571" s="119">
        <f>ROUND(SUM(I571:I573),0)</f>
        <v>639576</v>
      </c>
      <c r="H571" s="120"/>
      <c r="I571" s="119"/>
      <c r="J571" s="47"/>
      <c r="K571" s="143"/>
    </row>
    <row r="572" spans="2:40" ht="24.9" customHeight="1" thickBot="1" x14ac:dyDescent="0.25">
      <c r="B572" s="175" t="s">
        <v>1325</v>
      </c>
      <c r="C572" s="108" t="str">
        <f>+'LISTA DE INSUMOS'!A376</f>
        <v>MAT370</v>
      </c>
      <c r="D572" s="139" t="str">
        <f>+'LISTA DE INSUMOS'!B376</f>
        <v>Impermeabilizante para concreto</v>
      </c>
      <c r="E572" s="108" t="str">
        <f>+'LISTA DE INSUMOS'!C376</f>
        <v>Kg</v>
      </c>
      <c r="F572" s="140">
        <f>7*0.25</f>
        <v>1.75</v>
      </c>
      <c r="G572" s="141">
        <f>'LISTA DE INSUMOS'!E376</f>
        <v>24109.941066665848</v>
      </c>
      <c r="H572" s="108">
        <v>1.03</v>
      </c>
      <c r="I572" s="141">
        <f>ROUND((F572*G572*H572),0)</f>
        <v>43458</v>
      </c>
      <c r="J572" s="47"/>
      <c r="K572" s="143"/>
    </row>
    <row r="573" spans="2:40" ht="24.9" customHeight="1" thickTop="1" thickBot="1" x14ac:dyDescent="0.25">
      <c r="B573" s="204" t="s">
        <v>1310</v>
      </c>
      <c r="C573" s="145" t="str">
        <f>+B544</f>
        <v>ITE092</v>
      </c>
      <c r="D573" s="146" t="str">
        <f>+D544</f>
        <v>Concreto de 20,7 Mpa (3000 psi) (producción)</v>
      </c>
      <c r="E573" s="145" t="str">
        <f>+E544</f>
        <v>M3</v>
      </c>
      <c r="F573" s="147">
        <v>1</v>
      </c>
      <c r="G573" s="148">
        <f>G544</f>
        <v>596118</v>
      </c>
      <c r="H573" s="145">
        <v>0</v>
      </c>
      <c r="I573" s="148">
        <f>ROUND((F573*G573),0)</f>
        <v>596118</v>
      </c>
      <c r="J573" s="47"/>
      <c r="K573" s="143"/>
    </row>
    <row r="574" spans="2:40" ht="24.9" customHeight="1" x14ac:dyDescent="0.2">
      <c r="B574" s="117" t="s">
        <v>2940</v>
      </c>
      <c r="C574" s="117"/>
      <c r="D574" s="112" t="s">
        <v>1756</v>
      </c>
      <c r="E574" s="117" t="s">
        <v>2586</v>
      </c>
      <c r="F574" s="149"/>
      <c r="G574" s="119">
        <f>ROUND(SUM(I574:I580),0)</f>
        <v>580906</v>
      </c>
      <c r="H574" s="120"/>
      <c r="I574" s="119"/>
      <c r="J574" s="47">
        <v>387716</v>
      </c>
      <c r="K574" s="143"/>
      <c r="O574" s="104">
        <v>320000</v>
      </c>
      <c r="P574" s="104">
        <v>327794</v>
      </c>
      <c r="Z574" s="104">
        <v>399341</v>
      </c>
      <c r="AA574" s="104">
        <v>350000</v>
      </c>
      <c r="AC574" s="104">
        <v>454433</v>
      </c>
      <c r="AD574" s="104">
        <v>322251</v>
      </c>
      <c r="AF574" s="104">
        <v>475912</v>
      </c>
      <c r="AH574" s="104">
        <v>547939</v>
      </c>
      <c r="AI574" s="104">
        <v>446964</v>
      </c>
      <c r="AM574" s="104">
        <v>355190</v>
      </c>
      <c r="AN574" s="104">
        <v>320000</v>
      </c>
    </row>
    <row r="575" spans="2:40" ht="24.9" customHeight="1" x14ac:dyDescent="0.2">
      <c r="B575" s="672" t="s">
        <v>1035</v>
      </c>
      <c r="C575" s="108" t="str">
        <f>+'LISTA DE INSUMOS'!A30</f>
        <v>MAT001</v>
      </c>
      <c r="D575" s="139" t="str">
        <f>+'LISTA DE INSUMOS'!B30</f>
        <v>Cemento gris saco por 50 kilos, incluye cargue, descargue y transporte</v>
      </c>
      <c r="E575" s="108" t="str">
        <f>+'LISTA DE INSUMOS'!C30</f>
        <v>Sc</v>
      </c>
      <c r="F575" s="140">
        <v>9</v>
      </c>
      <c r="G575" s="141">
        <f>'LISTA DE INSUMOS'!E30</f>
        <v>34500</v>
      </c>
      <c r="H575" s="108">
        <v>1.03</v>
      </c>
      <c r="I575" s="141">
        <f>ROUND((F575*G575*H575),0)</f>
        <v>319815</v>
      </c>
      <c r="J575" s="47"/>
      <c r="K575" s="143"/>
    </row>
    <row r="576" spans="2:40" ht="24.9" customHeight="1" x14ac:dyDescent="0.2">
      <c r="B576" s="672"/>
      <c r="C576" s="108" t="str">
        <f>+'LISTA DE INSUMOS'!A32</f>
        <v>MAT003</v>
      </c>
      <c r="D576" s="139" t="str">
        <f>+'LISTA DE INSUMOS'!B32</f>
        <v>Arena</v>
      </c>
      <c r="E576" s="108" t="str">
        <f>+'LISTA DE INSUMOS'!C32</f>
        <v>M3</v>
      </c>
      <c r="F576" s="140">
        <v>1.0900000000000001</v>
      </c>
      <c r="G576" s="141">
        <f>'LISTA DE INSUMOS'!E32</f>
        <v>112536.56002875</v>
      </c>
      <c r="H576" s="108">
        <v>1.03</v>
      </c>
      <c r="I576" s="141">
        <f>ROUND((F576*G576*H576),0)</f>
        <v>126345</v>
      </c>
      <c r="J576" s="47"/>
      <c r="K576" s="143"/>
    </row>
    <row r="577" spans="2:23" ht="24.9" customHeight="1" thickBot="1" x14ac:dyDescent="0.25">
      <c r="B577" s="673"/>
      <c r="C577" s="108" t="str">
        <f>+'LISTA DE INSUMOS'!A42</f>
        <v>MAT013</v>
      </c>
      <c r="D577" s="139" t="str">
        <f>+'LISTA DE INSUMOS'!B42</f>
        <v xml:space="preserve">Agua </v>
      </c>
      <c r="E577" s="108" t="str">
        <f>+'LISTA DE INSUMOS'!C42</f>
        <v>Lt</v>
      </c>
      <c r="F577" s="140">
        <v>220</v>
      </c>
      <c r="G577" s="141">
        <f>'LISTA DE INSUMOS'!E42</f>
        <v>96.828790046226644</v>
      </c>
      <c r="H577" s="108">
        <v>1.03</v>
      </c>
      <c r="I577" s="141">
        <f>ROUND((F577*G577*H577),0)</f>
        <v>21941</v>
      </c>
      <c r="J577" s="47"/>
      <c r="K577" s="143"/>
    </row>
    <row r="578" spans="2:23" ht="24.9" customHeight="1" thickTop="1" thickBot="1" x14ac:dyDescent="0.25">
      <c r="B578" s="117" t="s">
        <v>1407</v>
      </c>
      <c r="C578" s="108" t="s">
        <v>1450</v>
      </c>
      <c r="D578" s="139" t="str">
        <f>D336</f>
        <v xml:space="preserve">Transporte material &lt; 40 Km </v>
      </c>
      <c r="E578" s="108" t="s">
        <v>2650</v>
      </c>
      <c r="F578" s="140">
        <f>SUM(F576)*20</f>
        <v>21.8</v>
      </c>
      <c r="G578" s="141">
        <f>G336</f>
        <v>1634</v>
      </c>
      <c r="H578" s="108">
        <v>1</v>
      </c>
      <c r="I578" s="141">
        <f>ROUND((F578*G578*H578),0)</f>
        <v>35621</v>
      </c>
      <c r="J578" s="47"/>
      <c r="K578" s="143"/>
    </row>
    <row r="579" spans="2:23" ht="24.9" customHeight="1" thickTop="1" thickBot="1" x14ac:dyDescent="0.25">
      <c r="B579" s="156" t="s">
        <v>1034</v>
      </c>
      <c r="C579" s="125" t="str">
        <f>+'LISTA DE INSUMOS'!A9</f>
        <v>MOB006</v>
      </c>
      <c r="D579" s="155" t="str">
        <f>+'LISTA DE INSUMOS'!B9</f>
        <v>Cuadrilla A 1 Of + 4 Ay (jornal + prestaciones)</v>
      </c>
      <c r="E579" s="108" t="str">
        <f>+'LISTA DE INSUMOS'!C9</f>
        <v>Día</v>
      </c>
      <c r="F579" s="140">
        <v>1</v>
      </c>
      <c r="G579" s="141">
        <f>'LISTA DE INSUMOS'!E9</f>
        <v>491167</v>
      </c>
      <c r="H579" s="108">
        <f>1/7</f>
        <v>0.14285714285714285</v>
      </c>
      <c r="I579" s="141">
        <f>ROUND((F579*G579*H579),0)</f>
        <v>70167</v>
      </c>
      <c r="J579" s="47"/>
      <c r="K579" s="143"/>
    </row>
    <row r="580" spans="2:23" ht="28.5" customHeight="1" thickTop="1" thickBot="1" x14ac:dyDescent="0.25">
      <c r="B580" s="150" t="s">
        <v>1033</v>
      </c>
      <c r="C580" s="151" t="str">
        <f>+'LISTA DE INSUMOS'!A758</f>
        <v>EQU002</v>
      </c>
      <c r="D580" s="146" t="str">
        <f>+'LISTA DE INSUMOS'!B758</f>
        <v>Herramienta menor (% mano obra)</v>
      </c>
      <c r="E580" s="145" t="str">
        <f>+'LISTA DE INSUMOS'!C758</f>
        <v>%MO</v>
      </c>
      <c r="F580" s="147">
        <v>0.1</v>
      </c>
      <c r="G580" s="148">
        <f>I579</f>
        <v>70167</v>
      </c>
      <c r="H580" s="145">
        <v>0</v>
      </c>
      <c r="I580" s="148">
        <f>ROUND((F580*G580),0)</f>
        <v>7017</v>
      </c>
      <c r="J580" s="47"/>
      <c r="K580" s="143"/>
    </row>
    <row r="581" spans="2:23" ht="34.5" customHeight="1" x14ac:dyDescent="0.2">
      <c r="B581" s="117" t="s">
        <v>2941</v>
      </c>
      <c r="C581" s="117"/>
      <c r="D581" s="112" t="s">
        <v>3282</v>
      </c>
      <c r="E581" s="117" t="s">
        <v>1414</v>
      </c>
      <c r="F581" s="149"/>
      <c r="G581" s="119">
        <f>ROUND(SUM(I581:I586),0)</f>
        <v>7388</v>
      </c>
      <c r="H581" s="120"/>
      <c r="I581" s="119"/>
      <c r="J581" s="47"/>
      <c r="K581" s="143"/>
    </row>
    <row r="582" spans="2:23" ht="31.5" customHeight="1" x14ac:dyDescent="0.2">
      <c r="B582" s="657" t="s">
        <v>1325</v>
      </c>
      <c r="C582" s="108" t="str">
        <f>+'LISTA DE INSUMOS'!A44</f>
        <v>MAT015</v>
      </c>
      <c r="D582" s="167" t="str">
        <f>+'LISTA DE INSUMOS'!B44</f>
        <v>Acero de Fy = 37.000 psi d=1/4 puesto en obra</v>
      </c>
      <c r="E582" s="108" t="str">
        <f>+'LISTA DE INSUMOS'!C44</f>
        <v>Kg</v>
      </c>
      <c r="F582" s="140">
        <v>1</v>
      </c>
      <c r="G582" s="141">
        <f>'LISTA DE INSUMOS'!E44</f>
        <v>4749.0059999999994</v>
      </c>
      <c r="H582" s="108">
        <v>1.03</v>
      </c>
      <c r="I582" s="141">
        <f>ROUND((F582*G582*H582),0)</f>
        <v>4891</v>
      </c>
      <c r="J582" s="47"/>
      <c r="K582" s="143"/>
    </row>
    <row r="583" spans="2:23" ht="30" customHeight="1" thickBot="1" x14ac:dyDescent="0.25">
      <c r="B583" s="659"/>
      <c r="C583" s="108" t="str">
        <f>+'LISTA DE INSUMOS'!A53</f>
        <v>MAT022</v>
      </c>
      <c r="D583" s="139" t="str">
        <f>+'LISTA DE INSUMOS'!B53</f>
        <v>Alambre negro calibre 17</v>
      </c>
      <c r="E583" s="108" t="str">
        <f>+'LISTA DE INSUMOS'!C53</f>
        <v>Kg</v>
      </c>
      <c r="F583" s="152">
        <v>0.03</v>
      </c>
      <c r="G583" s="141">
        <f>'LISTA DE INSUMOS'!E53</f>
        <v>7948.98</v>
      </c>
      <c r="H583" s="108">
        <v>1.03</v>
      </c>
      <c r="I583" s="141">
        <f>ROUND((F583*G583*H583),0)</f>
        <v>246</v>
      </c>
      <c r="J583" s="47"/>
      <c r="K583" s="143"/>
    </row>
    <row r="584" spans="2:23" ht="30" customHeight="1" thickTop="1" x14ac:dyDescent="0.2">
      <c r="B584" s="755" t="s">
        <v>1034</v>
      </c>
      <c r="C584" s="108" t="str">
        <f>+'LISTA DE INSUMOS'!A18</f>
        <v>MOB015</v>
      </c>
      <c r="D584" s="139" t="str">
        <f>+'LISTA DE INSUMOS'!B18</f>
        <v>Cuadrilla E 1 Of + 1 Ay (jornal + prestaciones)</v>
      </c>
      <c r="E584" s="108" t="str">
        <f>+'LISTA DE INSUMOS'!C18</f>
        <v>Día</v>
      </c>
      <c r="F584" s="140">
        <v>1</v>
      </c>
      <c r="G584" s="141">
        <f>'LISTA DE INSUMOS'!E18</f>
        <v>245584</v>
      </c>
      <c r="H584" s="142">
        <f>1/120</f>
        <v>8.3333333333333332E-3</v>
      </c>
      <c r="I584" s="141">
        <f>ROUND((F584*G584*H584),0)</f>
        <v>2047</v>
      </c>
      <c r="J584" s="47"/>
      <c r="K584" s="143"/>
    </row>
    <row r="585" spans="2:23" ht="30" customHeight="1" thickBot="1" x14ac:dyDescent="0.25">
      <c r="B585" s="754"/>
      <c r="C585" s="108" t="str">
        <f>'LISTA DE INSUMOS'!A14</f>
        <v>MOB011</v>
      </c>
      <c r="D585" s="139" t="str">
        <f>'LISTA DE INSUMOS'!B14</f>
        <v>Acarreo Horizontal (% mano obra)</v>
      </c>
      <c r="E585" s="108" t="str">
        <f>'LISTA DE INSUMOS'!C14</f>
        <v>% MO</v>
      </c>
      <c r="F585" s="140">
        <v>0.05</v>
      </c>
      <c r="G585" s="141">
        <f>I584</f>
        <v>2047</v>
      </c>
      <c r="H585" s="142">
        <v>1</v>
      </c>
      <c r="I585" s="141">
        <f>ROUND((F585*G585*H585),0)</f>
        <v>102</v>
      </c>
      <c r="J585" s="47"/>
      <c r="K585" s="143"/>
    </row>
    <row r="586" spans="2:23" ht="24" customHeight="1" thickTop="1" thickBot="1" x14ac:dyDescent="0.25">
      <c r="B586" s="150" t="s">
        <v>1033</v>
      </c>
      <c r="C586" s="151" t="str">
        <f>'LISTA DE INSUMOS'!A758</f>
        <v>EQU002</v>
      </c>
      <c r="D586" s="146" t="str">
        <f>'LISTA DE INSUMOS'!B758</f>
        <v>Herramienta menor (% mano obra)</v>
      </c>
      <c r="E586" s="145" t="str">
        <f>'LISTA DE INSUMOS'!C758</f>
        <v>%MO</v>
      </c>
      <c r="F586" s="147">
        <v>0.05</v>
      </c>
      <c r="G586" s="148">
        <f>I584</f>
        <v>2047</v>
      </c>
      <c r="H586" s="145">
        <v>0</v>
      </c>
      <c r="I586" s="148">
        <f>ROUND((F586*G586),0)</f>
        <v>102</v>
      </c>
      <c r="J586" s="47"/>
      <c r="K586" s="143"/>
    </row>
    <row r="587" spans="2:23" ht="30" customHeight="1" x14ac:dyDescent="0.2">
      <c r="B587" s="117" t="s">
        <v>2942</v>
      </c>
      <c r="C587" s="117"/>
      <c r="D587" s="112" t="s">
        <v>198</v>
      </c>
      <c r="E587" s="117" t="s">
        <v>1414</v>
      </c>
      <c r="F587" s="118"/>
      <c r="G587" s="119">
        <f>SUM(I588:I592)</f>
        <v>7240</v>
      </c>
      <c r="H587" s="120"/>
      <c r="I587" s="119"/>
      <c r="J587" s="47">
        <v>9090</v>
      </c>
      <c r="K587" s="143"/>
      <c r="O587" s="104">
        <v>3000</v>
      </c>
      <c r="W587" s="104">
        <v>2331</v>
      </c>
    </row>
    <row r="588" spans="2:23" ht="30" customHeight="1" x14ac:dyDescent="0.2">
      <c r="B588" s="657" t="s">
        <v>1325</v>
      </c>
      <c r="C588" s="108" t="str">
        <f>+'LISTA DE INSUMOS'!A45</f>
        <v>MAT016</v>
      </c>
      <c r="D588" s="167" t="str">
        <f>+'LISTA DE INSUMOS'!B45</f>
        <v>Acero de Fy = 60.000 psi d&gt;1/4 puesto en obra</v>
      </c>
      <c r="E588" s="108" t="str">
        <f>+'LISTA DE INSUMOS'!C45</f>
        <v>Kg</v>
      </c>
      <c r="F588" s="140">
        <v>1</v>
      </c>
      <c r="G588" s="141">
        <f>'LISTA DE INSUMOS'!E45</f>
        <v>4605.3128999999999</v>
      </c>
      <c r="H588" s="108">
        <v>1.03</v>
      </c>
      <c r="I588" s="141">
        <f>ROUND((F588*G588*H588),0)</f>
        <v>4743</v>
      </c>
      <c r="J588" s="47"/>
      <c r="K588" s="143"/>
    </row>
    <row r="589" spans="2:23" ht="24.9" customHeight="1" thickBot="1" x14ac:dyDescent="0.25">
      <c r="B589" s="659"/>
      <c r="C589" s="108" t="str">
        <f>+'LISTA DE INSUMOS'!A53</f>
        <v>MAT022</v>
      </c>
      <c r="D589" s="139" t="str">
        <f>+'LISTA DE INSUMOS'!B53</f>
        <v>Alambre negro calibre 17</v>
      </c>
      <c r="E589" s="108" t="str">
        <f>+'LISTA DE INSUMOS'!C53</f>
        <v>Kg</v>
      </c>
      <c r="F589" s="152">
        <v>0.03</v>
      </c>
      <c r="G589" s="141">
        <f>'LISTA DE INSUMOS'!E53</f>
        <v>7948.98</v>
      </c>
      <c r="H589" s="108">
        <v>1.03</v>
      </c>
      <c r="I589" s="141">
        <f>ROUND((F589*G589*H589),0)</f>
        <v>246</v>
      </c>
      <c r="J589" s="47"/>
      <c r="K589" s="143"/>
    </row>
    <row r="590" spans="2:23" ht="24.9" customHeight="1" thickTop="1" x14ac:dyDescent="0.2">
      <c r="B590" s="649" t="s">
        <v>1034</v>
      </c>
      <c r="C590" s="108" t="str">
        <f>'LISTA DE INSUMOS'!A14</f>
        <v>MOB011</v>
      </c>
      <c r="D590" s="139" t="str">
        <f>'LISTA DE INSUMOS'!B14</f>
        <v>Acarreo Horizontal (% mano obra)</v>
      </c>
      <c r="E590" s="108" t="s">
        <v>3146</v>
      </c>
      <c r="F590" s="152">
        <v>0.05</v>
      </c>
      <c r="G590" s="141">
        <f>I591</f>
        <v>2047</v>
      </c>
      <c r="H590" s="108">
        <v>1</v>
      </c>
      <c r="I590" s="141">
        <f>ROUND((F590*G590*H590),0)</f>
        <v>102</v>
      </c>
      <c r="J590" s="47"/>
      <c r="K590" s="143"/>
    </row>
    <row r="591" spans="2:23" ht="24.9" customHeight="1" thickBot="1" x14ac:dyDescent="0.25">
      <c r="B591" s="664"/>
      <c r="C591" s="108" t="str">
        <f>+'LISTA DE INSUMOS'!A18</f>
        <v>MOB015</v>
      </c>
      <c r="D591" s="139" t="str">
        <f>+'LISTA DE INSUMOS'!B18</f>
        <v>Cuadrilla E 1 Of + 1 Ay (jornal + prestaciones)</v>
      </c>
      <c r="E591" s="108" t="str">
        <f>+'LISTA DE INSUMOS'!C18</f>
        <v>Día</v>
      </c>
      <c r="F591" s="140">
        <v>1</v>
      </c>
      <c r="G591" s="141">
        <f>'LISTA DE INSUMOS'!E18</f>
        <v>245584</v>
      </c>
      <c r="H591" s="142">
        <f>1/120</f>
        <v>8.3333333333333332E-3</v>
      </c>
      <c r="I591" s="141">
        <f>ROUND((F591*G591*H591),0)</f>
        <v>2047</v>
      </c>
      <c r="J591" s="47"/>
      <c r="K591" s="143"/>
    </row>
    <row r="592" spans="2:23" ht="24.75" customHeight="1" thickTop="1" thickBot="1" x14ac:dyDescent="0.25">
      <c r="B592" s="150" t="s">
        <v>1033</v>
      </c>
      <c r="C592" s="151" t="str">
        <f>+'LISTA DE INSUMOS'!A758</f>
        <v>EQU002</v>
      </c>
      <c r="D592" s="146" t="str">
        <f>+'LISTA DE INSUMOS'!B758</f>
        <v>Herramienta menor (% mano obra)</v>
      </c>
      <c r="E592" s="145" t="str">
        <f>+'LISTA DE INSUMOS'!C758</f>
        <v>%MO</v>
      </c>
      <c r="F592" s="147">
        <v>0.05</v>
      </c>
      <c r="G592" s="148">
        <f>I591</f>
        <v>2047</v>
      </c>
      <c r="H592" s="145">
        <v>0</v>
      </c>
      <c r="I592" s="148">
        <f>ROUND((F592*G592),0)</f>
        <v>102</v>
      </c>
      <c r="J592" s="47"/>
      <c r="K592" s="143"/>
    </row>
    <row r="593" spans="2:11" ht="24.9" customHeight="1" x14ac:dyDescent="0.2">
      <c r="B593" s="117" t="s">
        <v>2943</v>
      </c>
      <c r="C593" s="117"/>
      <c r="D593" s="112" t="s">
        <v>2403</v>
      </c>
      <c r="E593" s="117" t="s">
        <v>2586</v>
      </c>
      <c r="F593" s="149"/>
      <c r="G593" s="119">
        <f>ROUND(SUM(I593:I597),0)</f>
        <v>607030</v>
      </c>
      <c r="H593" s="120"/>
      <c r="I593" s="119"/>
      <c r="J593" s="47"/>
      <c r="K593" s="143"/>
    </row>
    <row r="594" spans="2:11" ht="24.9" customHeight="1" thickBot="1" x14ac:dyDescent="0.25">
      <c r="B594" s="191" t="s">
        <v>1310</v>
      </c>
      <c r="C594" s="108" t="str">
        <f>+B562</f>
        <v>ITE094</v>
      </c>
      <c r="D594" s="139" t="str">
        <f>+D562</f>
        <v>Concreto de 10,3 Mpa (1500 psi) (producción)</v>
      </c>
      <c r="E594" s="108" t="str">
        <f>+E562</f>
        <v>M3</v>
      </c>
      <c r="F594" s="140">
        <v>1</v>
      </c>
      <c r="G594" s="141">
        <f>G562</f>
        <v>484569</v>
      </c>
      <c r="H594" s="108">
        <v>1.05</v>
      </c>
      <c r="I594" s="141">
        <f>ROUND((F594*G594*H594),0)</f>
        <v>508797</v>
      </c>
      <c r="J594" s="47"/>
      <c r="K594" s="143"/>
    </row>
    <row r="595" spans="2:11" ht="24.9" customHeight="1" thickTop="1" x14ac:dyDescent="0.2">
      <c r="B595" s="678" t="s">
        <v>1034</v>
      </c>
      <c r="C595" s="108" t="str">
        <f>+'LISTA DE INSUMOS'!A18</f>
        <v>MOB015</v>
      </c>
      <c r="D595" s="139" t="str">
        <f>+'LISTA DE INSUMOS'!B18</f>
        <v>Cuadrilla E 1 Of + 1 Ay (jornal + prestaciones)</v>
      </c>
      <c r="E595" s="108" t="str">
        <f>+'LISTA DE INSUMOS'!C18</f>
        <v>Día</v>
      </c>
      <c r="F595" s="140">
        <v>1</v>
      </c>
      <c r="G595" s="141">
        <f>'LISTA DE INSUMOS'!E18</f>
        <v>245584</v>
      </c>
      <c r="H595" s="108">
        <f>1/3</f>
        <v>0.33333333333333331</v>
      </c>
      <c r="I595" s="141">
        <f>ROUND((F595*G595*H595),0)</f>
        <v>81861</v>
      </c>
      <c r="J595" s="47"/>
      <c r="K595" s="143"/>
    </row>
    <row r="596" spans="2:11" ht="24.9" customHeight="1" thickBot="1" x14ac:dyDescent="0.25">
      <c r="B596" s="705"/>
      <c r="C596" s="108" t="str">
        <f>+'LISTA DE INSUMOS'!A14</f>
        <v>MOB011</v>
      </c>
      <c r="D596" s="139" t="str">
        <f>+'LISTA DE INSUMOS'!B14</f>
        <v>Acarreo Horizontal (% mano obra)</v>
      </c>
      <c r="E596" s="108" t="str">
        <f>+'LISTA DE INSUMOS'!C14</f>
        <v>% MO</v>
      </c>
      <c r="F596" s="140">
        <v>0.1</v>
      </c>
      <c r="G596" s="141">
        <f>I595</f>
        <v>81861</v>
      </c>
      <c r="H596" s="108">
        <v>0</v>
      </c>
      <c r="I596" s="141">
        <f>ROUND((F596*G596),0)</f>
        <v>8186</v>
      </c>
      <c r="J596" s="47"/>
      <c r="K596" s="143"/>
    </row>
    <row r="597" spans="2:11" ht="24.9" customHeight="1" thickTop="1" thickBot="1" x14ac:dyDescent="0.25">
      <c r="B597" s="150" t="s">
        <v>1033</v>
      </c>
      <c r="C597" s="151" t="str">
        <f>+'LISTA DE INSUMOS'!A758</f>
        <v>EQU002</v>
      </c>
      <c r="D597" s="146" t="str">
        <f>+'LISTA DE INSUMOS'!B758</f>
        <v>Herramienta menor (% mano obra)</v>
      </c>
      <c r="E597" s="145" t="str">
        <f>+'LISTA DE INSUMOS'!C758</f>
        <v>%MO</v>
      </c>
      <c r="F597" s="147">
        <v>0.1</v>
      </c>
      <c r="G597" s="148">
        <f>I595</f>
        <v>81861</v>
      </c>
      <c r="H597" s="145">
        <v>0</v>
      </c>
      <c r="I597" s="148">
        <f>ROUND((F597*G597),0)</f>
        <v>8186</v>
      </c>
      <c r="J597" s="47"/>
      <c r="K597" s="143"/>
    </row>
    <row r="598" spans="2:11" ht="39.75" customHeight="1" x14ac:dyDescent="0.2">
      <c r="B598" s="117" t="s">
        <v>1535</v>
      </c>
      <c r="C598" s="117"/>
      <c r="D598" s="112" t="s">
        <v>2404</v>
      </c>
      <c r="E598" s="117" t="s">
        <v>1435</v>
      </c>
      <c r="F598" s="149"/>
      <c r="G598" s="119">
        <f>ROUND(SUM(I598:I608),0)</f>
        <v>579447</v>
      </c>
      <c r="H598" s="120"/>
      <c r="I598" s="119"/>
      <c r="J598" s="47"/>
      <c r="K598" s="143"/>
    </row>
    <row r="599" spans="2:11" ht="24.9" customHeight="1" x14ac:dyDescent="0.2">
      <c r="B599" s="706" t="s">
        <v>1035</v>
      </c>
      <c r="C599" s="108" t="str">
        <f>+'LISTA DE INSUMOS'!A507</f>
        <v>MAT524</v>
      </c>
      <c r="D599" s="139" t="str">
        <f>+'LISTA DE INSUMOS'!B507</f>
        <v>Ángulo 2" X 1/8"</v>
      </c>
      <c r="E599" s="108" t="str">
        <f>+'LISTA DE INSUMOS'!C507</f>
        <v>M</v>
      </c>
      <c r="F599" s="140">
        <v>5.6</v>
      </c>
      <c r="G599" s="141">
        <f>'LISTA DE INSUMOS'!E507</f>
        <v>17064.889728809998</v>
      </c>
      <c r="H599" s="108">
        <v>1.05</v>
      </c>
      <c r="I599" s="141">
        <f>ROUND((F599*G599*H599),0)</f>
        <v>100342</v>
      </c>
      <c r="J599" s="47"/>
      <c r="K599" s="143"/>
    </row>
    <row r="600" spans="2:11" ht="28.5" customHeight="1" x14ac:dyDescent="0.2">
      <c r="B600" s="706"/>
      <c r="C600" s="108" t="str">
        <f>+'LISTA DE INSUMOS'!A50</f>
        <v>MAT019</v>
      </c>
      <c r="D600" s="139" t="str">
        <f>+'LISTA DE INSUMOS'!B50</f>
        <v>Listón sajo de 5 x 3 cm x 2,5 m (varilla)</v>
      </c>
      <c r="E600" s="108" t="str">
        <f>+'LISTA DE INSUMOS'!C50</f>
        <v>M</v>
      </c>
      <c r="F600" s="140">
        <v>3</v>
      </c>
      <c r="G600" s="141">
        <f>'LISTA DE INSUMOS'!E50</f>
        <v>7285.5458999999992</v>
      </c>
      <c r="H600" s="108">
        <f>1/2</f>
        <v>0.5</v>
      </c>
      <c r="I600" s="141">
        <f>ROUND((F600*G600*H600),0)</f>
        <v>10928</v>
      </c>
      <c r="J600" s="47"/>
      <c r="K600" s="143"/>
    </row>
    <row r="601" spans="2:11" ht="24.9" customHeight="1" x14ac:dyDescent="0.2">
      <c r="B601" s="706"/>
      <c r="C601" s="108" t="str">
        <f>+'LISTA DE INSUMOS'!A52</f>
        <v>MAT021</v>
      </c>
      <c r="D601" s="139" t="str">
        <f>+'LISTA DE INSUMOS'!B52</f>
        <v>Puntilla (promedio)</v>
      </c>
      <c r="E601" s="108" t="str">
        <f>+'LISTA DE INSUMOS'!C52</f>
        <v>Lb</v>
      </c>
      <c r="F601" s="140">
        <v>0.8</v>
      </c>
      <c r="G601" s="141">
        <f>'LISTA DE INSUMOS'!E52</f>
        <v>6690.6972299999998</v>
      </c>
      <c r="H601" s="108">
        <v>0</v>
      </c>
      <c r="I601" s="141">
        <f>ROUND((F601*G601),0)</f>
        <v>5353</v>
      </c>
      <c r="J601" s="47"/>
      <c r="K601" s="143"/>
    </row>
    <row r="602" spans="2:11" ht="24.9" customHeight="1" x14ac:dyDescent="0.2">
      <c r="B602" s="706"/>
      <c r="C602" s="108" t="str">
        <f>+'LISTA DE INSUMOS'!A67</f>
        <v>MAT034</v>
      </c>
      <c r="D602" s="139" t="str">
        <f>+'LISTA DE INSUMOS'!B67</f>
        <v>ACPM</v>
      </c>
      <c r="E602" s="108" t="str">
        <f>+'LISTA DE INSUMOS'!C67</f>
        <v>Gl</v>
      </c>
      <c r="F602" s="140">
        <v>0.2</v>
      </c>
      <c r="G602" s="141">
        <f>'LISTA DE INSUMOS'!E67</f>
        <v>9681.4499999999989</v>
      </c>
      <c r="H602" s="108">
        <v>1.05</v>
      </c>
      <c r="I602" s="141">
        <f t="shared" ref="I602:I607" si="11">ROUND((F602*G602*H602),0)</f>
        <v>2033</v>
      </c>
      <c r="J602" s="47"/>
      <c r="K602" s="143"/>
    </row>
    <row r="603" spans="2:11" ht="24.9" customHeight="1" thickBot="1" x14ac:dyDescent="0.25">
      <c r="B603" s="706"/>
      <c r="C603" s="108" t="str">
        <f>+'LISTA DE INSUMOS'!A46</f>
        <v>MAT017</v>
      </c>
      <c r="D603" s="139" t="str">
        <f>+'LISTA DE INSUMOS'!B46</f>
        <v>Tabla para formaleta de 1" x 10" x 2,9 m</v>
      </c>
      <c r="E603" s="108" t="str">
        <f>+'LISTA DE INSUMOS'!C46</f>
        <v>M</v>
      </c>
      <c r="F603" s="140">
        <v>9</v>
      </c>
      <c r="G603" s="141">
        <f>'LISTA DE INSUMOS'!E46</f>
        <v>8112.0359999999991</v>
      </c>
      <c r="H603" s="108">
        <f>1/2</f>
        <v>0.5</v>
      </c>
      <c r="I603" s="141">
        <f t="shared" si="11"/>
        <v>36504</v>
      </c>
      <c r="J603" s="47"/>
      <c r="K603" s="143"/>
    </row>
    <row r="604" spans="2:11" ht="24.9" customHeight="1" thickTop="1" x14ac:dyDescent="0.2">
      <c r="B604" s="726" t="s">
        <v>1310</v>
      </c>
      <c r="C604" s="108" t="str">
        <f>+B553</f>
        <v>ITE093</v>
      </c>
      <c r="D604" s="139" t="str">
        <f>+D553</f>
        <v>Concreto de 17,2 Mpa (2500 psi) (producción)</v>
      </c>
      <c r="E604" s="108" t="str">
        <f>+E553</f>
        <v>M3</v>
      </c>
      <c r="F604" s="140">
        <v>0.28000000000000003</v>
      </c>
      <c r="G604" s="141">
        <f>G553</f>
        <v>566526</v>
      </c>
      <c r="H604" s="108">
        <v>1.05</v>
      </c>
      <c r="I604" s="141">
        <f t="shared" si="11"/>
        <v>166559</v>
      </c>
      <c r="J604" s="47"/>
      <c r="K604" s="143"/>
    </row>
    <row r="605" spans="2:11" ht="24.9" customHeight="1" x14ac:dyDescent="0.2">
      <c r="B605" s="727"/>
      <c r="C605" s="108" t="str">
        <f>+B544</f>
        <v>ITE092</v>
      </c>
      <c r="D605" s="139" t="str">
        <f>+D544</f>
        <v>Concreto de 20,7 Mpa (3000 psi) (producción)</v>
      </c>
      <c r="E605" s="108" t="str">
        <f>+E544</f>
        <v>M3</v>
      </c>
      <c r="F605" s="152">
        <v>2.5999999999999999E-2</v>
      </c>
      <c r="G605" s="141">
        <f>G544</f>
        <v>596118</v>
      </c>
      <c r="H605" s="108">
        <v>1.05</v>
      </c>
      <c r="I605" s="141">
        <f t="shared" si="11"/>
        <v>16274</v>
      </c>
      <c r="J605" s="47"/>
      <c r="K605" s="143"/>
    </row>
    <row r="606" spans="2:11" ht="24.9" customHeight="1" thickBot="1" x14ac:dyDescent="0.25">
      <c r="B606" s="728"/>
      <c r="C606" s="108" t="str">
        <f>+B587</f>
        <v>ITE98</v>
      </c>
      <c r="D606" s="167" t="str">
        <f>+D587</f>
        <v>Acero Fy = 60.000 psi d&gt;1/4"</v>
      </c>
      <c r="E606" s="108" t="str">
        <f>+E587</f>
        <v>Kg</v>
      </c>
      <c r="F606" s="140">
        <v>3.5</v>
      </c>
      <c r="G606" s="141">
        <f>G587</f>
        <v>7240</v>
      </c>
      <c r="H606" s="108">
        <v>0</v>
      </c>
      <c r="I606" s="141">
        <f>ROUND((F606*G606),0)</f>
        <v>25340</v>
      </c>
      <c r="J606" s="47"/>
      <c r="K606" s="143"/>
    </row>
    <row r="607" spans="2:11" ht="24.9" customHeight="1" thickTop="1" thickBot="1" x14ac:dyDescent="0.25">
      <c r="B607" s="156" t="s">
        <v>1034</v>
      </c>
      <c r="C607" s="108" t="str">
        <f>+'LISTA DE INSUMOS'!A18</f>
        <v>MOB015</v>
      </c>
      <c r="D607" s="139" t="str">
        <f>+'LISTA DE INSUMOS'!B18</f>
        <v>Cuadrilla E 1 Of + 1 Ay (jornal + prestaciones)</v>
      </c>
      <c r="E607" s="108" t="str">
        <f>+'LISTA DE INSUMOS'!C18</f>
        <v>Día</v>
      </c>
      <c r="F607" s="140">
        <v>1</v>
      </c>
      <c r="G607" s="141">
        <f>'LISTA DE INSUMOS'!E18</f>
        <v>245584</v>
      </c>
      <c r="H607" s="142">
        <v>0.8</v>
      </c>
      <c r="I607" s="141">
        <f t="shared" si="11"/>
        <v>196467</v>
      </c>
      <c r="J607" s="47"/>
      <c r="K607" s="143"/>
    </row>
    <row r="608" spans="2:11" ht="24.9" customHeight="1" thickTop="1" thickBot="1" x14ac:dyDescent="0.25">
      <c r="B608" s="150" t="s">
        <v>1033</v>
      </c>
      <c r="C608" s="151" t="str">
        <f>+'LISTA DE INSUMOS'!A758</f>
        <v>EQU002</v>
      </c>
      <c r="D608" s="146" t="str">
        <f>+'LISTA DE INSUMOS'!B758</f>
        <v>Herramienta menor (% mano obra)</v>
      </c>
      <c r="E608" s="145" t="str">
        <f>+'LISTA DE INSUMOS'!C758</f>
        <v>%MO</v>
      </c>
      <c r="F608" s="147">
        <v>0.1</v>
      </c>
      <c r="G608" s="148">
        <f>I607</f>
        <v>196467</v>
      </c>
      <c r="H608" s="145">
        <v>0</v>
      </c>
      <c r="I608" s="148">
        <f>ROUND((F608*G608),0)</f>
        <v>19647</v>
      </c>
      <c r="J608" s="47"/>
      <c r="K608" s="143"/>
    </row>
    <row r="609" spans="2:11" ht="37.5" customHeight="1" x14ac:dyDescent="0.2">
      <c r="B609" s="117" t="s">
        <v>1533</v>
      </c>
      <c r="C609" s="117"/>
      <c r="D609" s="112" t="s">
        <v>216</v>
      </c>
      <c r="E609" s="117" t="s">
        <v>1435</v>
      </c>
      <c r="F609" s="149"/>
      <c r="G609" s="119">
        <f>ROUND(SUM(I609:I617),0)</f>
        <v>494608</v>
      </c>
      <c r="H609" s="120"/>
      <c r="I609" s="119"/>
      <c r="J609" s="47"/>
      <c r="K609" s="143"/>
    </row>
    <row r="610" spans="2:11" ht="24.9" customHeight="1" x14ac:dyDescent="0.2">
      <c r="B610" s="657" t="s">
        <v>1325</v>
      </c>
      <c r="C610" s="108" t="str">
        <f>+'LISTA DE INSUMOS'!A507</f>
        <v>MAT524</v>
      </c>
      <c r="D610" s="139" t="str">
        <f>+'LISTA DE INSUMOS'!B507</f>
        <v>Ángulo 2" X 1/8"</v>
      </c>
      <c r="E610" s="108" t="s">
        <v>1412</v>
      </c>
      <c r="F610" s="140">
        <v>5.6</v>
      </c>
      <c r="G610" s="141">
        <f>+'LISTA DE INSUMOS'!E507</f>
        <v>17064.889728809998</v>
      </c>
      <c r="H610" s="108">
        <v>1.05</v>
      </c>
      <c r="I610" s="141">
        <f t="shared" ref="I610:I616" si="12">ROUND((F610*G610*H610),0)</f>
        <v>100342</v>
      </c>
      <c r="J610" s="47"/>
      <c r="K610" s="143"/>
    </row>
    <row r="611" spans="2:11" ht="24.9" customHeight="1" thickBot="1" x14ac:dyDescent="0.25">
      <c r="B611" s="659"/>
      <c r="C611" s="108" t="str">
        <f>+'LISTA DE INSUMOS'!A54</f>
        <v>MAT023</v>
      </c>
      <c r="D611" s="139" t="str">
        <f>+'LISTA DE INSUMOS'!B54</f>
        <v>Ladrillo tolete común</v>
      </c>
      <c r="E611" s="108" t="str">
        <f>+'LISTA DE INSUMOS'!C54</f>
        <v>Un</v>
      </c>
      <c r="F611" s="140">
        <v>82</v>
      </c>
      <c r="G611" s="141">
        <f>'LISTA DE INSUMOS'!E54</f>
        <v>815.28</v>
      </c>
      <c r="H611" s="108">
        <v>1.03</v>
      </c>
      <c r="I611" s="141">
        <f t="shared" si="12"/>
        <v>68859</v>
      </c>
      <c r="J611" s="47"/>
      <c r="K611" s="143"/>
    </row>
    <row r="612" spans="2:11" ht="24.9" customHeight="1" thickTop="1" x14ac:dyDescent="0.2">
      <c r="B612" s="701" t="s">
        <v>1310</v>
      </c>
      <c r="C612" s="108" t="str">
        <f>+B553</f>
        <v>ITE093</v>
      </c>
      <c r="D612" s="139" t="str">
        <f>+D553</f>
        <v>Concreto de 17,2 Mpa (2500 psi) (producción)</v>
      </c>
      <c r="E612" s="108" t="str">
        <f>+E553</f>
        <v>M3</v>
      </c>
      <c r="F612" s="152">
        <v>9.6000000000000002E-2</v>
      </c>
      <c r="G612" s="141">
        <f>G553</f>
        <v>566526</v>
      </c>
      <c r="H612" s="108">
        <v>1.05</v>
      </c>
      <c r="I612" s="141">
        <f t="shared" si="12"/>
        <v>57106</v>
      </c>
      <c r="J612" s="47"/>
      <c r="K612" s="143"/>
    </row>
    <row r="613" spans="2:11" ht="24.9" customHeight="1" x14ac:dyDescent="0.2">
      <c r="B613" s="702"/>
      <c r="C613" s="108" t="str">
        <f>+B544</f>
        <v>ITE092</v>
      </c>
      <c r="D613" s="139" t="str">
        <f>+D544</f>
        <v>Concreto de 20,7 Mpa (3000 psi) (producción)</v>
      </c>
      <c r="E613" s="108" t="str">
        <f>+E544</f>
        <v>M3</v>
      </c>
      <c r="F613" s="152">
        <v>2.4E-2</v>
      </c>
      <c r="G613" s="141">
        <f>G544</f>
        <v>596118</v>
      </c>
      <c r="H613" s="108">
        <v>1.05</v>
      </c>
      <c r="I613" s="141">
        <f t="shared" si="12"/>
        <v>15022</v>
      </c>
      <c r="J613" s="47"/>
      <c r="K613" s="143"/>
    </row>
    <row r="614" spans="2:11" ht="24.9" customHeight="1" x14ac:dyDescent="0.2">
      <c r="B614" s="702"/>
      <c r="C614" s="108" t="str">
        <f>+B587</f>
        <v>ITE98</v>
      </c>
      <c r="D614" s="139" t="str">
        <f>+D587</f>
        <v>Acero Fy = 60.000 psi d&gt;1/4"</v>
      </c>
      <c r="E614" s="108" t="str">
        <f>+E587</f>
        <v>Kg</v>
      </c>
      <c r="F614" s="140">
        <v>3.2</v>
      </c>
      <c r="G614" s="141">
        <f>G587</f>
        <v>7240</v>
      </c>
      <c r="H614" s="108">
        <v>0</v>
      </c>
      <c r="I614" s="141">
        <f>ROUND((F614*G614),0)</f>
        <v>23168</v>
      </c>
      <c r="J614" s="47"/>
      <c r="K614" s="143"/>
    </row>
    <row r="615" spans="2:11" ht="24.9" customHeight="1" thickBot="1" x14ac:dyDescent="0.25">
      <c r="B615" s="702"/>
      <c r="C615" s="108" t="str">
        <f>+B574</f>
        <v>ITE96</v>
      </c>
      <c r="D615" s="139" t="str">
        <f>+D574</f>
        <v>Mortero 1:3 (producción)</v>
      </c>
      <c r="E615" s="108" t="str">
        <f>+E574</f>
        <v>M3</v>
      </c>
      <c r="F615" s="152">
        <v>8.2000000000000003E-2</v>
      </c>
      <c r="G615" s="141">
        <f>G574</f>
        <v>580906</v>
      </c>
      <c r="H615" s="108">
        <v>1.05</v>
      </c>
      <c r="I615" s="141">
        <f t="shared" si="12"/>
        <v>50016</v>
      </c>
      <c r="J615" s="47"/>
      <c r="K615" s="143"/>
    </row>
    <row r="616" spans="2:11" ht="24.9" customHeight="1" thickTop="1" thickBot="1" x14ac:dyDescent="0.25">
      <c r="B616" s="156" t="s">
        <v>1034</v>
      </c>
      <c r="C616" s="108" t="str">
        <f>+'LISTA DE INSUMOS'!A18</f>
        <v>MOB015</v>
      </c>
      <c r="D616" s="139" t="str">
        <f>+'LISTA DE INSUMOS'!B18</f>
        <v>Cuadrilla E 1 Of + 1 Ay (jornal + prestaciones)</v>
      </c>
      <c r="E616" s="108" t="str">
        <f>+'LISTA DE INSUMOS'!C18</f>
        <v>Día</v>
      </c>
      <c r="F616" s="140">
        <v>1</v>
      </c>
      <c r="G616" s="141">
        <f>'LISTA DE INSUMOS'!E18</f>
        <v>245584</v>
      </c>
      <c r="H616" s="142">
        <f>1/1.5</f>
        <v>0.66666666666666663</v>
      </c>
      <c r="I616" s="141">
        <f t="shared" si="12"/>
        <v>163723</v>
      </c>
      <c r="J616" s="47"/>
      <c r="K616" s="143"/>
    </row>
    <row r="617" spans="2:11" ht="24.9" customHeight="1" thickTop="1" thickBot="1" x14ac:dyDescent="0.25">
      <c r="B617" s="150" t="s">
        <v>1033</v>
      </c>
      <c r="C617" s="151" t="str">
        <f>+'LISTA DE INSUMOS'!A758</f>
        <v>EQU002</v>
      </c>
      <c r="D617" s="146" t="str">
        <f>+'LISTA DE INSUMOS'!B758</f>
        <v>Herramienta menor (% mano obra)</v>
      </c>
      <c r="E617" s="145" t="str">
        <f>+'LISTA DE INSUMOS'!C758</f>
        <v>%MO</v>
      </c>
      <c r="F617" s="147">
        <v>0.1</v>
      </c>
      <c r="G617" s="148">
        <f>I616</f>
        <v>163723</v>
      </c>
      <c r="H617" s="145">
        <v>0</v>
      </c>
      <c r="I617" s="148">
        <f>ROUND((F617*G617),0)</f>
        <v>16372</v>
      </c>
      <c r="J617" s="47"/>
      <c r="K617" s="143"/>
    </row>
    <row r="618" spans="2:11" ht="24.9" customHeight="1" x14ac:dyDescent="0.2">
      <c r="B618" s="117" t="s">
        <v>1532</v>
      </c>
      <c r="C618" s="117"/>
      <c r="D618" s="112" t="s">
        <v>2405</v>
      </c>
      <c r="E618" s="117" t="s">
        <v>1435</v>
      </c>
      <c r="F618" s="149"/>
      <c r="G618" s="119">
        <f>ROUND(SUM(I618:I628),0)</f>
        <v>786650</v>
      </c>
      <c r="H618" s="120"/>
      <c r="I618" s="119"/>
      <c r="J618" s="47"/>
      <c r="K618" s="143"/>
    </row>
    <row r="619" spans="2:11" ht="24.9" customHeight="1" x14ac:dyDescent="0.2">
      <c r="B619" s="706" t="s">
        <v>1035</v>
      </c>
      <c r="C619" s="108" t="str">
        <f>+'LISTA DE INSUMOS'!A507</f>
        <v>MAT524</v>
      </c>
      <c r="D619" s="139" t="str">
        <f>+'LISTA DE INSUMOS'!B507</f>
        <v>Ángulo 2" X 1/8"</v>
      </c>
      <c r="E619" s="108" t="str">
        <f>+'LISTA DE INSUMOS'!C507</f>
        <v>M</v>
      </c>
      <c r="F619" s="140">
        <f>0.85*4*2</f>
        <v>6.8</v>
      </c>
      <c r="G619" s="141">
        <f>'LISTA DE INSUMOS'!E507</f>
        <v>17064.889728809998</v>
      </c>
      <c r="H619" s="108">
        <v>1.05</v>
      </c>
      <c r="I619" s="141">
        <f>ROUND((F619*G619*H619),0)</f>
        <v>121843</v>
      </c>
      <c r="J619" s="47"/>
      <c r="K619" s="143"/>
    </row>
    <row r="620" spans="2:11" ht="24.9" customHeight="1" x14ac:dyDescent="0.2">
      <c r="B620" s="706"/>
      <c r="C620" s="108" t="str">
        <f>+'LISTA DE INSUMOS'!A50</f>
        <v>MAT019</v>
      </c>
      <c r="D620" s="139" t="str">
        <f>+'LISTA DE INSUMOS'!B50</f>
        <v>Listón sajo de 5 x 3 cm x 2,5 m (varilla)</v>
      </c>
      <c r="E620" s="108" t="str">
        <f>+'LISTA DE INSUMOS'!C50</f>
        <v>M</v>
      </c>
      <c r="F620" s="140">
        <v>4</v>
      </c>
      <c r="G620" s="141">
        <f>'LISTA DE INSUMOS'!E50</f>
        <v>7285.5458999999992</v>
      </c>
      <c r="H620" s="108">
        <f>1/2</f>
        <v>0.5</v>
      </c>
      <c r="I620" s="141">
        <f>ROUND((F620*G620*H620),0)</f>
        <v>14571</v>
      </c>
      <c r="J620" s="47"/>
      <c r="K620" s="143"/>
    </row>
    <row r="621" spans="2:11" ht="24.9" customHeight="1" x14ac:dyDescent="0.2">
      <c r="B621" s="706"/>
      <c r="C621" s="108" t="str">
        <f>+'LISTA DE INSUMOS'!A52</f>
        <v>MAT021</v>
      </c>
      <c r="D621" s="139" t="str">
        <f>+'LISTA DE INSUMOS'!B52</f>
        <v>Puntilla (promedio)</v>
      </c>
      <c r="E621" s="108" t="str">
        <f>+'LISTA DE INSUMOS'!C52</f>
        <v>Lb</v>
      </c>
      <c r="F621" s="140">
        <v>1</v>
      </c>
      <c r="G621" s="141">
        <f>'LISTA DE INSUMOS'!E52</f>
        <v>6690.6972299999998</v>
      </c>
      <c r="H621" s="108">
        <v>0</v>
      </c>
      <c r="I621" s="141">
        <f>ROUND((F621*G621),0)</f>
        <v>6691</v>
      </c>
      <c r="J621" s="47"/>
      <c r="K621" s="143"/>
    </row>
    <row r="622" spans="2:11" ht="24.9" customHeight="1" x14ac:dyDescent="0.2">
      <c r="B622" s="706"/>
      <c r="C622" s="108" t="str">
        <f>+'LISTA DE INSUMOS'!A67</f>
        <v>MAT034</v>
      </c>
      <c r="D622" s="139" t="str">
        <f>+'LISTA DE INSUMOS'!B67</f>
        <v>ACPM</v>
      </c>
      <c r="E622" s="108" t="str">
        <f>+'LISTA DE INSUMOS'!C67</f>
        <v>Gl</v>
      </c>
      <c r="F622" s="140">
        <v>0.3</v>
      </c>
      <c r="G622" s="141">
        <f>'LISTA DE INSUMOS'!E67</f>
        <v>9681.4499999999989</v>
      </c>
      <c r="H622" s="108">
        <v>1.05</v>
      </c>
      <c r="I622" s="141">
        <f>ROUND((F622*G622*H622),0)</f>
        <v>3050</v>
      </c>
      <c r="J622" s="47"/>
      <c r="K622" s="143"/>
    </row>
    <row r="623" spans="2:11" ht="24.9" customHeight="1" thickBot="1" x14ac:dyDescent="0.25">
      <c r="B623" s="706"/>
      <c r="C623" s="108" t="str">
        <f>+'LISTA DE INSUMOS'!A46</f>
        <v>MAT017</v>
      </c>
      <c r="D623" s="139" t="str">
        <f>+'LISTA DE INSUMOS'!B46</f>
        <v>Tabla para formaleta de 1" x 10" x 2,9 m</v>
      </c>
      <c r="E623" s="108" t="str">
        <f>+'LISTA DE INSUMOS'!C46</f>
        <v>M</v>
      </c>
      <c r="F623" s="140">
        <v>12</v>
      </c>
      <c r="G623" s="141">
        <f>'LISTA DE INSUMOS'!E46</f>
        <v>8112.0359999999991</v>
      </c>
      <c r="H623" s="108">
        <f>1/2</f>
        <v>0.5</v>
      </c>
      <c r="I623" s="141">
        <f>ROUND((F623*G623*H623),0)</f>
        <v>48672</v>
      </c>
      <c r="J623" s="47"/>
      <c r="K623" s="143"/>
    </row>
    <row r="624" spans="2:11" ht="24.9" customHeight="1" thickTop="1" x14ac:dyDescent="0.2">
      <c r="B624" s="726" t="s">
        <v>1310</v>
      </c>
      <c r="C624" s="108" t="str">
        <f>+B553</f>
        <v>ITE093</v>
      </c>
      <c r="D624" s="139" t="str">
        <f>+D553</f>
        <v>Concreto de 17,2 Mpa (2500 psi) (producción)</v>
      </c>
      <c r="E624" s="108" t="str">
        <f>+E553</f>
        <v>M3</v>
      </c>
      <c r="F624" s="140">
        <v>0.45</v>
      </c>
      <c r="G624" s="141">
        <f>G553</f>
        <v>566526</v>
      </c>
      <c r="H624" s="108">
        <v>1.05</v>
      </c>
      <c r="I624" s="141">
        <f>ROUND((F624*G624*H624),0)</f>
        <v>267684</v>
      </c>
      <c r="J624" s="47"/>
      <c r="K624" s="143"/>
    </row>
    <row r="625" spans="2:11" ht="24.9" customHeight="1" x14ac:dyDescent="0.2">
      <c r="B625" s="727"/>
      <c r="C625" s="108" t="str">
        <f>+B544</f>
        <v>ITE092</v>
      </c>
      <c r="D625" s="139" t="str">
        <f>+D544</f>
        <v>Concreto de 20,7 Mpa (3000 psi) (producción)</v>
      </c>
      <c r="E625" s="108" t="str">
        <f>+E544</f>
        <v>M3</v>
      </c>
      <c r="F625" s="140">
        <v>0.04</v>
      </c>
      <c r="G625" s="141">
        <f>G544</f>
        <v>596118</v>
      </c>
      <c r="H625" s="108">
        <v>1.05</v>
      </c>
      <c r="I625" s="141">
        <f>ROUND((F625*G625*H625),0)</f>
        <v>25037</v>
      </c>
      <c r="J625" s="47"/>
      <c r="K625" s="143"/>
    </row>
    <row r="626" spans="2:11" ht="24.9" customHeight="1" thickBot="1" x14ac:dyDescent="0.25">
      <c r="B626" s="728"/>
      <c r="C626" s="108" t="str">
        <f>+B587</f>
        <v>ITE98</v>
      </c>
      <c r="D626" s="139" t="str">
        <f>+D587</f>
        <v>Acero Fy = 60.000 psi d&gt;1/4"</v>
      </c>
      <c r="E626" s="108" t="str">
        <f>+E587</f>
        <v>Kg</v>
      </c>
      <c r="F626" s="140">
        <v>4</v>
      </c>
      <c r="G626" s="141">
        <f>G587</f>
        <v>7240</v>
      </c>
      <c r="H626" s="108">
        <v>0</v>
      </c>
      <c r="I626" s="141">
        <f>ROUND((F626*G626),0)</f>
        <v>28960</v>
      </c>
      <c r="J626" s="47"/>
      <c r="K626" s="143"/>
    </row>
    <row r="627" spans="2:11" ht="24.9" customHeight="1" thickTop="1" thickBot="1" x14ac:dyDescent="0.25">
      <c r="B627" s="156" t="s">
        <v>1034</v>
      </c>
      <c r="C627" s="108" t="str">
        <f>+'LISTA DE INSUMOS'!A18</f>
        <v>MOB015</v>
      </c>
      <c r="D627" s="139" t="str">
        <f>+'LISTA DE INSUMOS'!B18</f>
        <v>Cuadrilla E 1 Of + 1 Ay (jornal + prestaciones)</v>
      </c>
      <c r="E627" s="108" t="str">
        <f>+'LISTA DE INSUMOS'!C18</f>
        <v>Día</v>
      </c>
      <c r="F627" s="140">
        <v>1</v>
      </c>
      <c r="G627" s="141">
        <f>'LISTA DE INSUMOS'!E18</f>
        <v>245584</v>
      </c>
      <c r="H627" s="108">
        <f>1/1</f>
        <v>1</v>
      </c>
      <c r="I627" s="141">
        <f>ROUND((F627*G627*H627),0)</f>
        <v>245584</v>
      </c>
      <c r="J627" s="47"/>
      <c r="K627" s="143"/>
    </row>
    <row r="628" spans="2:11" ht="24.75" customHeight="1" thickTop="1" thickBot="1" x14ac:dyDescent="0.25">
      <c r="B628" s="150" t="s">
        <v>1033</v>
      </c>
      <c r="C628" s="151" t="str">
        <f>+'LISTA DE INSUMOS'!A758</f>
        <v>EQU002</v>
      </c>
      <c r="D628" s="146" t="str">
        <f>+'LISTA DE INSUMOS'!B758</f>
        <v>Herramienta menor (% mano obra)</v>
      </c>
      <c r="E628" s="145" t="str">
        <f>+'LISTA DE INSUMOS'!C758</f>
        <v>%MO</v>
      </c>
      <c r="F628" s="147">
        <v>0.1</v>
      </c>
      <c r="G628" s="148">
        <f>I627</f>
        <v>245584</v>
      </c>
      <c r="H628" s="145">
        <v>0</v>
      </c>
      <c r="I628" s="148">
        <f>ROUND((F628*G628),0)</f>
        <v>24558</v>
      </c>
      <c r="J628" s="47"/>
      <c r="K628" s="143"/>
    </row>
    <row r="629" spans="2:11" s="317" customFormat="1" ht="37.5" customHeight="1" x14ac:dyDescent="0.2">
      <c r="B629" s="117" t="s">
        <v>1531</v>
      </c>
      <c r="C629" s="437"/>
      <c r="D629" s="437" t="s">
        <v>215</v>
      </c>
      <c r="E629" s="117" t="s">
        <v>1435</v>
      </c>
      <c r="F629" s="117"/>
      <c r="G629" s="117">
        <f>ROUND(SUM(I629:I639),0)</f>
        <v>1063515</v>
      </c>
      <c r="H629" s="117"/>
      <c r="I629" s="117"/>
      <c r="J629" s="313"/>
      <c r="K629" s="323"/>
    </row>
    <row r="630" spans="2:11" s="317" customFormat="1" ht="18" customHeight="1" x14ac:dyDescent="0.2">
      <c r="B630" s="706" t="s">
        <v>1035</v>
      </c>
      <c r="C630" s="108" t="str">
        <f>+'LISTA DE INSUMOS'!A507</f>
        <v>MAT524</v>
      </c>
      <c r="D630" s="436" t="str">
        <f>+'LISTA DE INSUMOS'!B507</f>
        <v>Ángulo 2" X 1/8"</v>
      </c>
      <c r="E630" s="108" t="str">
        <f>+'LISTA DE INSUMOS'!C507</f>
        <v>M</v>
      </c>
      <c r="F630" s="108">
        <f>1.05*4*2</f>
        <v>8.4</v>
      </c>
      <c r="G630" s="108">
        <f>'LISTA DE INSUMOS'!E507</f>
        <v>17064.889728809998</v>
      </c>
      <c r="H630" s="108">
        <v>1.05</v>
      </c>
      <c r="I630" s="108">
        <f>ROUND((F630*G630*H630),0)</f>
        <v>150512</v>
      </c>
      <c r="J630" s="313"/>
      <c r="K630" s="323"/>
    </row>
    <row r="631" spans="2:11" s="317" customFormat="1" ht="19.5" customHeight="1" x14ac:dyDescent="0.2">
      <c r="B631" s="706"/>
      <c r="C631" s="108" t="str">
        <f>+'LISTA DE INSUMOS'!A50</f>
        <v>MAT019</v>
      </c>
      <c r="D631" s="436" t="str">
        <f>+'LISTA DE INSUMOS'!B50</f>
        <v>Listón sajo de 5 x 3 cm x 2,5 m (varilla)</v>
      </c>
      <c r="E631" s="108" t="str">
        <f>+'LISTA DE INSUMOS'!C50</f>
        <v>M</v>
      </c>
      <c r="F631" s="108">
        <v>6</v>
      </c>
      <c r="G631" s="108">
        <f>'LISTA DE INSUMOS'!E50</f>
        <v>7285.5458999999992</v>
      </c>
      <c r="H631" s="108">
        <f>1/2</f>
        <v>0.5</v>
      </c>
      <c r="I631" s="108">
        <f>ROUND((F631*G631*H631),0)</f>
        <v>21857</v>
      </c>
      <c r="J631" s="313"/>
      <c r="K631" s="323"/>
    </row>
    <row r="632" spans="2:11" s="317" customFormat="1" ht="21.75" customHeight="1" x14ac:dyDescent="0.2">
      <c r="B632" s="706"/>
      <c r="C632" s="108" t="str">
        <f>+'LISTA DE INSUMOS'!A52</f>
        <v>MAT021</v>
      </c>
      <c r="D632" s="436" t="str">
        <f>+'LISTA DE INSUMOS'!B52</f>
        <v>Puntilla (promedio)</v>
      </c>
      <c r="E632" s="108" t="str">
        <f>+'LISTA DE INSUMOS'!C52</f>
        <v>Lb</v>
      </c>
      <c r="F632" s="108">
        <v>1.5</v>
      </c>
      <c r="G632" s="108">
        <f>'LISTA DE INSUMOS'!E52</f>
        <v>6690.6972299999998</v>
      </c>
      <c r="H632" s="108">
        <v>0</v>
      </c>
      <c r="I632" s="108">
        <f>ROUND((F632*G632),0)</f>
        <v>10036</v>
      </c>
      <c r="J632" s="313"/>
      <c r="K632" s="323"/>
    </row>
    <row r="633" spans="2:11" s="317" customFormat="1" ht="22.5" customHeight="1" x14ac:dyDescent="0.2">
      <c r="B633" s="706"/>
      <c r="C633" s="108" t="str">
        <f>+'LISTA DE INSUMOS'!A67</f>
        <v>MAT034</v>
      </c>
      <c r="D633" s="436" t="str">
        <f>+'LISTA DE INSUMOS'!B67</f>
        <v>ACPM</v>
      </c>
      <c r="E633" s="108" t="str">
        <f>+'LISTA DE INSUMOS'!C67</f>
        <v>Gl</v>
      </c>
      <c r="F633" s="108">
        <v>0.4</v>
      </c>
      <c r="G633" s="108">
        <f>'LISTA DE INSUMOS'!E67</f>
        <v>9681.4499999999989</v>
      </c>
      <c r="H633" s="108">
        <v>1.05</v>
      </c>
      <c r="I633" s="108">
        <f>ROUND((F633*G633*H633),0)</f>
        <v>4066</v>
      </c>
      <c r="J633" s="313"/>
      <c r="K633" s="323"/>
    </row>
    <row r="634" spans="2:11" s="317" customFormat="1" ht="21" customHeight="1" thickBot="1" x14ac:dyDescent="0.25">
      <c r="B634" s="706"/>
      <c r="C634" s="108" t="str">
        <f>+'LISTA DE INSUMOS'!A46</f>
        <v>MAT017</v>
      </c>
      <c r="D634" s="436" t="str">
        <f>+'LISTA DE INSUMOS'!B46</f>
        <v>Tabla para formaleta de 1" x 10" x 2,9 m</v>
      </c>
      <c r="E634" s="108" t="str">
        <f>+'LISTA DE INSUMOS'!C46</f>
        <v>M</v>
      </c>
      <c r="F634" s="108">
        <v>18</v>
      </c>
      <c r="G634" s="108">
        <f>'LISTA DE INSUMOS'!E46</f>
        <v>8112.0359999999991</v>
      </c>
      <c r="H634" s="108">
        <f>1/2</f>
        <v>0.5</v>
      </c>
      <c r="I634" s="108">
        <f>ROUND((F634*G634*H634),0)</f>
        <v>73008</v>
      </c>
      <c r="J634" s="313"/>
      <c r="K634" s="323"/>
    </row>
    <row r="635" spans="2:11" s="317" customFormat="1" ht="21" customHeight="1" thickTop="1" x14ac:dyDescent="0.2">
      <c r="B635" s="726" t="s">
        <v>1310</v>
      </c>
      <c r="C635" s="108" t="str">
        <f>+B553</f>
        <v>ITE093</v>
      </c>
      <c r="D635" s="436" t="str">
        <f>+D553</f>
        <v>Concreto de 17,2 Mpa (2500 psi) (producción)</v>
      </c>
      <c r="E635" s="108" t="str">
        <f>+E553</f>
        <v>M3</v>
      </c>
      <c r="F635" s="108">
        <v>0.66</v>
      </c>
      <c r="G635" s="108">
        <f>G553</f>
        <v>566526</v>
      </c>
      <c r="H635" s="108">
        <v>1.05</v>
      </c>
      <c r="I635" s="108">
        <f>ROUND((F635*G635*H635),0)</f>
        <v>392603</v>
      </c>
      <c r="J635" s="313"/>
      <c r="K635" s="323"/>
    </row>
    <row r="636" spans="2:11" s="317" customFormat="1" ht="21.75" customHeight="1" x14ac:dyDescent="0.2">
      <c r="B636" s="727"/>
      <c r="C636" s="108" t="str">
        <f>+B544</f>
        <v>ITE092</v>
      </c>
      <c r="D636" s="436" t="str">
        <f>+D544</f>
        <v>Concreto de 20,7 Mpa (3000 psi) (producción)</v>
      </c>
      <c r="E636" s="108" t="str">
        <f>+E544</f>
        <v>M3</v>
      </c>
      <c r="F636" s="108">
        <v>0.06</v>
      </c>
      <c r="G636" s="108">
        <f>G544</f>
        <v>596118</v>
      </c>
      <c r="H636" s="108">
        <v>1.05</v>
      </c>
      <c r="I636" s="108">
        <f>ROUND((F636*G636*H636),0)</f>
        <v>37555</v>
      </c>
      <c r="J636" s="313"/>
      <c r="K636" s="323"/>
    </row>
    <row r="637" spans="2:11" s="317" customFormat="1" ht="15.75" customHeight="1" thickBot="1" x14ac:dyDescent="0.25">
      <c r="B637" s="728"/>
      <c r="C637" s="108" t="str">
        <f>+B587</f>
        <v>ITE98</v>
      </c>
      <c r="D637" s="436" t="str">
        <f>+D587</f>
        <v>Acero Fy = 60.000 psi d&gt;1/4"</v>
      </c>
      <c r="E637" s="108" t="str">
        <f>+E587</f>
        <v>Kg</v>
      </c>
      <c r="F637" s="108">
        <v>5</v>
      </c>
      <c r="G637" s="108">
        <f>G587</f>
        <v>7240</v>
      </c>
      <c r="H637" s="108">
        <v>0</v>
      </c>
      <c r="I637" s="108">
        <f>ROUND((F637*G637),0)</f>
        <v>36200</v>
      </c>
      <c r="J637" s="313"/>
      <c r="K637" s="323"/>
    </row>
    <row r="638" spans="2:11" s="317" customFormat="1" ht="26.25" customHeight="1" thickTop="1" thickBot="1" x14ac:dyDescent="0.25">
      <c r="B638" s="156" t="s">
        <v>1034</v>
      </c>
      <c r="C638" s="108" t="str">
        <f>+'LISTA DE INSUMOS'!A18</f>
        <v>MOB015</v>
      </c>
      <c r="D638" s="436" t="str">
        <f>+'LISTA DE INSUMOS'!B18</f>
        <v>Cuadrilla E 1 Of + 1 Ay (jornal + prestaciones)</v>
      </c>
      <c r="E638" s="108" t="str">
        <f>+'LISTA DE INSUMOS'!C18</f>
        <v>Día</v>
      </c>
      <c r="F638" s="108">
        <v>1</v>
      </c>
      <c r="G638" s="108">
        <f>'LISTA DE INSUMOS'!E18</f>
        <v>245584</v>
      </c>
      <c r="H638" s="108">
        <f>1/0.8</f>
        <v>1.25</v>
      </c>
      <c r="I638" s="108">
        <f>ROUND((F638*G638*H638),0)</f>
        <v>306980</v>
      </c>
      <c r="J638" s="313"/>
      <c r="K638" s="323"/>
    </row>
    <row r="639" spans="2:11" s="317" customFormat="1" ht="23.25" customHeight="1" thickTop="1" thickBot="1" x14ac:dyDescent="0.25">
      <c r="B639" s="255" t="s">
        <v>1033</v>
      </c>
      <c r="C639" s="108" t="str">
        <f>+'LISTA DE INSUMOS'!A758</f>
        <v>EQU002</v>
      </c>
      <c r="D639" s="436" t="str">
        <f>+'LISTA DE INSUMOS'!B758</f>
        <v>Herramienta menor (% mano obra)</v>
      </c>
      <c r="E639" s="108" t="str">
        <f>+'LISTA DE INSUMOS'!C758</f>
        <v>%MO</v>
      </c>
      <c r="F639" s="108">
        <v>0.1</v>
      </c>
      <c r="G639" s="108">
        <f>I638</f>
        <v>306980</v>
      </c>
      <c r="H639" s="108">
        <v>0</v>
      </c>
      <c r="I639" s="108">
        <f>ROUND((F639*G639),0)</f>
        <v>30698</v>
      </c>
      <c r="J639" s="313"/>
      <c r="K639" s="323"/>
    </row>
    <row r="640" spans="2:11" ht="24.9" customHeight="1" x14ac:dyDescent="0.2">
      <c r="B640" s="117" t="s">
        <v>1534</v>
      </c>
      <c r="C640" s="117"/>
      <c r="D640" s="112" t="s">
        <v>427</v>
      </c>
      <c r="E640" s="117" t="s">
        <v>1435</v>
      </c>
      <c r="F640" s="118"/>
      <c r="G640" s="119">
        <f>ROUND(SUM(I640:I646),0)</f>
        <v>520978</v>
      </c>
      <c r="H640" s="120"/>
      <c r="I640" s="119"/>
      <c r="J640" s="47"/>
      <c r="K640" s="143"/>
    </row>
    <row r="641" spans="2:13" ht="24.9" customHeight="1" x14ac:dyDescent="0.2">
      <c r="B641" s="672" t="s">
        <v>1035</v>
      </c>
      <c r="C641" s="108" t="str">
        <f>+'LISTA DE INSUMOS'!A46</f>
        <v>MAT017</v>
      </c>
      <c r="D641" s="139" t="str">
        <f>+'LISTA DE INSUMOS'!B46</f>
        <v>Tabla para formaleta de 1" x 10" x 2,9 m</v>
      </c>
      <c r="E641" s="108" t="str">
        <f>+'LISTA DE INSUMOS'!C46</f>
        <v>M</v>
      </c>
      <c r="F641" s="140">
        <v>4</v>
      </c>
      <c r="G641" s="141">
        <f>'LISTA DE INSUMOS'!E46</f>
        <v>8112.0359999999991</v>
      </c>
      <c r="H641" s="108">
        <f>1/2</f>
        <v>0.5</v>
      </c>
      <c r="I641" s="141">
        <f>ROUND((F641*G641*H641),0)</f>
        <v>16224</v>
      </c>
      <c r="J641" s="47"/>
      <c r="K641" s="143"/>
    </row>
    <row r="642" spans="2:13" ht="29.25" customHeight="1" x14ac:dyDescent="0.2">
      <c r="B642" s="672"/>
      <c r="C642" s="108" t="str">
        <f>+'LISTA DE INSUMOS'!A50</f>
        <v>MAT019</v>
      </c>
      <c r="D642" s="139" t="str">
        <f>+'LISTA DE INSUMOS'!B50</f>
        <v>Listón sajo de 5 x 3 cm x 2,5 m (varilla)</v>
      </c>
      <c r="E642" s="108" t="str">
        <f>+'LISTA DE INSUMOS'!C50</f>
        <v>M</v>
      </c>
      <c r="F642" s="140">
        <v>2</v>
      </c>
      <c r="G642" s="141">
        <f>'LISTA DE INSUMOS'!E50</f>
        <v>7285.5458999999992</v>
      </c>
      <c r="H642" s="108">
        <f>1/2</f>
        <v>0.5</v>
      </c>
      <c r="I642" s="141">
        <f>ROUND((F642*G642*H642),0)</f>
        <v>7286</v>
      </c>
      <c r="J642" s="47"/>
      <c r="K642" s="143"/>
    </row>
    <row r="643" spans="2:13" ht="24.9" customHeight="1" thickBot="1" x14ac:dyDescent="0.25">
      <c r="B643" s="673"/>
      <c r="C643" s="108" t="str">
        <f>+'LISTA DE INSUMOS'!A52</f>
        <v>MAT021</v>
      </c>
      <c r="D643" s="139" t="str">
        <f>+'LISTA DE INSUMOS'!B52</f>
        <v>Puntilla (promedio)</v>
      </c>
      <c r="E643" s="108" t="str">
        <f>+'LISTA DE INSUMOS'!C52</f>
        <v>Lb</v>
      </c>
      <c r="F643" s="140">
        <v>0.2</v>
      </c>
      <c r="G643" s="141">
        <f>'LISTA DE INSUMOS'!E52</f>
        <v>6690.6972299999998</v>
      </c>
      <c r="H643" s="108">
        <v>0</v>
      </c>
      <c r="I643" s="141">
        <f>ROUND((F643*G643),0)</f>
        <v>1338</v>
      </c>
      <c r="J643" s="47"/>
      <c r="K643" s="143"/>
    </row>
    <row r="644" spans="2:13" ht="24.9" customHeight="1" thickTop="1" thickBot="1" x14ac:dyDescent="0.25">
      <c r="B644" s="191" t="s">
        <v>1310</v>
      </c>
      <c r="C644" s="108" t="str">
        <f>+B544</f>
        <v>ITE092</v>
      </c>
      <c r="D644" s="139" t="str">
        <f>+D544</f>
        <v>Concreto de 20,7 Mpa (3000 psi) (producción)</v>
      </c>
      <c r="E644" s="108" t="str">
        <f>+E544</f>
        <v>M3</v>
      </c>
      <c r="F644" s="140">
        <v>0.62</v>
      </c>
      <c r="G644" s="141">
        <f>G544</f>
        <v>596118</v>
      </c>
      <c r="H644" s="108">
        <v>1.05</v>
      </c>
      <c r="I644" s="141">
        <f>ROUND((F644*G644*H644),0)</f>
        <v>388073</v>
      </c>
      <c r="J644" s="47"/>
      <c r="K644" s="143"/>
    </row>
    <row r="645" spans="2:13" ht="24.9" customHeight="1" thickTop="1" thickBot="1" x14ac:dyDescent="0.25">
      <c r="B645" s="156" t="s">
        <v>1034</v>
      </c>
      <c r="C645" s="108" t="str">
        <f>+'LISTA DE INSUMOS'!A18</f>
        <v>MOB015</v>
      </c>
      <c r="D645" s="139" t="str">
        <f>+'LISTA DE INSUMOS'!B18</f>
        <v>Cuadrilla E 1 Of + 1 Ay (jornal + prestaciones)</v>
      </c>
      <c r="E645" s="108" t="str">
        <f>+'LISTA DE INSUMOS'!C18</f>
        <v>Día</v>
      </c>
      <c r="F645" s="140">
        <v>1</v>
      </c>
      <c r="G645" s="141">
        <f>'LISTA DE INSUMOS'!E18</f>
        <v>245584</v>
      </c>
      <c r="H645" s="108">
        <v>0.4</v>
      </c>
      <c r="I645" s="141">
        <f>ROUND((F645*G645*H645),0)</f>
        <v>98234</v>
      </c>
      <c r="J645" s="47"/>
      <c r="K645" s="143"/>
    </row>
    <row r="646" spans="2:13" ht="24.9" customHeight="1" thickTop="1" thickBot="1" x14ac:dyDescent="0.25">
      <c r="B646" s="150" t="s">
        <v>1033</v>
      </c>
      <c r="C646" s="151" t="str">
        <f>+'LISTA DE INSUMOS'!A758</f>
        <v>EQU002</v>
      </c>
      <c r="D646" s="146" t="str">
        <f>+'LISTA DE INSUMOS'!B758</f>
        <v>Herramienta menor (% mano obra)</v>
      </c>
      <c r="E646" s="145" t="str">
        <f>+'LISTA DE INSUMOS'!C758</f>
        <v>%MO</v>
      </c>
      <c r="F646" s="147">
        <v>0.1</v>
      </c>
      <c r="G646" s="148">
        <f>I645</f>
        <v>98234</v>
      </c>
      <c r="H646" s="145">
        <v>0</v>
      </c>
      <c r="I646" s="148">
        <f>ROUND((F646*G646),0)</f>
        <v>9823</v>
      </c>
      <c r="J646" s="47"/>
      <c r="K646" s="143"/>
    </row>
    <row r="647" spans="2:13" ht="24.9" customHeight="1" x14ac:dyDescent="0.2">
      <c r="B647" s="117" t="s">
        <v>1755</v>
      </c>
      <c r="C647" s="117"/>
      <c r="D647" s="112" t="s">
        <v>2406</v>
      </c>
      <c r="E647" s="117" t="s">
        <v>1412</v>
      </c>
      <c r="F647" s="118"/>
      <c r="G647" s="119">
        <f>ROUND(SUM(I647:I652),0)</f>
        <v>768617</v>
      </c>
      <c r="H647" s="120"/>
      <c r="I647" s="119"/>
      <c r="J647" s="47"/>
      <c r="K647" s="143"/>
    </row>
    <row r="648" spans="2:13" ht="24.9" customHeight="1" thickBot="1" x14ac:dyDescent="0.25">
      <c r="B648" s="191" t="s">
        <v>1310</v>
      </c>
      <c r="C648" s="108" t="str">
        <f>+B544</f>
        <v>ITE092</v>
      </c>
      <c r="D648" s="139" t="str">
        <f>+D544</f>
        <v>Concreto de 20,7 Mpa (3000 psi) (producción)</v>
      </c>
      <c r="E648" s="108" t="str">
        <f>+E544</f>
        <v>M3</v>
      </c>
      <c r="F648" s="140">
        <v>0.76</v>
      </c>
      <c r="G648" s="141">
        <f>G544</f>
        <v>596118</v>
      </c>
      <c r="H648" s="108">
        <v>1.05</v>
      </c>
      <c r="I648" s="141">
        <f>ROUND((F648*G648*H648),0)</f>
        <v>475702</v>
      </c>
      <c r="J648" s="47"/>
      <c r="K648" s="143"/>
    </row>
    <row r="649" spans="2:13" ht="31.5" customHeight="1" thickTop="1" thickBot="1" x14ac:dyDescent="0.25">
      <c r="B649" s="158" t="s">
        <v>1034</v>
      </c>
      <c r="C649" s="108" t="str">
        <f>+'LISTA DE INSUMOS'!A9</f>
        <v>MOB006</v>
      </c>
      <c r="D649" s="139" t="str">
        <f>+'LISTA DE INSUMOS'!B9</f>
        <v>Cuadrilla A 1 Of + 4 Ay (jornal + prestaciones)</v>
      </c>
      <c r="E649" s="108" t="str">
        <f>+'LISTA DE INSUMOS'!C9</f>
        <v>Día</v>
      </c>
      <c r="F649" s="140">
        <v>1</v>
      </c>
      <c r="G649" s="141">
        <f>'LISTA DE INSUMOS'!E9</f>
        <v>491167</v>
      </c>
      <c r="H649" s="108">
        <v>0.5</v>
      </c>
      <c r="I649" s="141">
        <f>ROUND((F649*G649*H649),0)</f>
        <v>245584</v>
      </c>
      <c r="J649" s="47"/>
      <c r="K649" s="143"/>
    </row>
    <row r="650" spans="2:13" ht="30" customHeight="1" thickTop="1" x14ac:dyDescent="0.2">
      <c r="B650" s="674" t="s">
        <v>1033</v>
      </c>
      <c r="C650" s="108" t="str">
        <f>+'LISTA DE INSUMOS'!A758</f>
        <v>EQU002</v>
      </c>
      <c r="D650" s="139" t="str">
        <f>+'LISTA DE INSUMOS'!B758</f>
        <v>Herramienta menor (% mano obra)</v>
      </c>
      <c r="E650" s="108" t="str">
        <f>+'LISTA DE INSUMOS'!C758</f>
        <v>%MO</v>
      </c>
      <c r="F650" s="140">
        <v>0.1</v>
      </c>
      <c r="G650" s="141">
        <f>I649</f>
        <v>245584</v>
      </c>
      <c r="H650" s="108">
        <v>0</v>
      </c>
      <c r="I650" s="141">
        <f>ROUND((F650*G650),0)</f>
        <v>24558</v>
      </c>
      <c r="J650" s="47"/>
      <c r="K650" s="143"/>
    </row>
    <row r="651" spans="2:13" ht="30" customHeight="1" x14ac:dyDescent="0.2">
      <c r="B651" s="679"/>
      <c r="C651" s="108" t="str">
        <f>+'LISTA DE INSUMOS'!A775</f>
        <v>EQU018</v>
      </c>
      <c r="D651" s="139" t="str">
        <f>+'LISTA DE INSUMOS'!B775</f>
        <v>Vibrador eléctrico o a gasolina</v>
      </c>
      <c r="E651" s="108" t="str">
        <f>+'LISTA DE INSUMOS'!C775</f>
        <v>Día</v>
      </c>
      <c r="F651" s="160">
        <v>1</v>
      </c>
      <c r="G651" s="141">
        <f>'LISTA DE INSUMOS'!E775</f>
        <v>42234.2781968536</v>
      </c>
      <c r="H651" s="108">
        <f>1/20</f>
        <v>0.05</v>
      </c>
      <c r="I651" s="141">
        <f>ROUND((F651*G651*H651),0)</f>
        <v>2112</v>
      </c>
      <c r="J651" s="47"/>
      <c r="K651" s="143"/>
    </row>
    <row r="652" spans="2:13" ht="30" customHeight="1" thickBot="1" x14ac:dyDescent="0.25">
      <c r="B652" s="709"/>
      <c r="C652" s="145" t="str">
        <f>+'LISTA DE INSUMOS'!A785</f>
        <v>EQU028</v>
      </c>
      <c r="D652" s="146" t="str">
        <f>+'LISTA DE INSUMOS'!B785</f>
        <v>Formaleta cuerpo cámara inspección 1,20 m</v>
      </c>
      <c r="E652" s="145" t="str">
        <f>+'LISTA DE INSUMOS'!C785</f>
        <v>Día</v>
      </c>
      <c r="F652" s="147">
        <v>1</v>
      </c>
      <c r="G652" s="148">
        <f>'LISTA DE INSUMOS'!E785</f>
        <v>20660.537873689998</v>
      </c>
      <c r="H652" s="145">
        <v>0</v>
      </c>
      <c r="I652" s="148">
        <f>ROUND((F652*G652),0)</f>
        <v>20661</v>
      </c>
      <c r="J652" s="47"/>
      <c r="K652" s="143"/>
    </row>
    <row r="653" spans="2:13" ht="24.9" customHeight="1" x14ac:dyDescent="0.2">
      <c r="B653" s="117" t="s">
        <v>1413</v>
      </c>
      <c r="C653" s="117"/>
      <c r="D653" s="112" t="s">
        <v>199</v>
      </c>
      <c r="E653" s="117" t="s">
        <v>1435</v>
      </c>
      <c r="F653" s="118"/>
      <c r="G653" s="119">
        <f>ROUND(SUM(I653:I658),0)</f>
        <v>597308</v>
      </c>
      <c r="H653" s="120"/>
      <c r="I653" s="119"/>
      <c r="J653" s="47"/>
      <c r="K653" s="143"/>
    </row>
    <row r="654" spans="2:13" ht="24.9" customHeight="1" x14ac:dyDescent="0.2">
      <c r="B654" s="685" t="s">
        <v>1310</v>
      </c>
      <c r="C654" s="108" t="str">
        <f>+B544</f>
        <v>ITE092</v>
      </c>
      <c r="D654" s="139" t="str">
        <f>+D544</f>
        <v>Concreto de 20,7 Mpa (3000 psi) (producción)</v>
      </c>
      <c r="E654" s="108" t="str">
        <f>+E544</f>
        <v>M3</v>
      </c>
      <c r="F654" s="140">
        <v>0.6</v>
      </c>
      <c r="G654" s="141">
        <f>G544</f>
        <v>596118</v>
      </c>
      <c r="H654" s="108">
        <v>1.05</v>
      </c>
      <c r="I654" s="141">
        <f>ROUND((F654*G654*H654),0)</f>
        <v>375554</v>
      </c>
      <c r="J654" s="47"/>
      <c r="K654" s="143"/>
    </row>
    <row r="655" spans="2:13" ht="29.25" customHeight="1" thickBot="1" x14ac:dyDescent="0.25">
      <c r="B655" s="707"/>
      <c r="C655" s="108" t="str">
        <f>+B587</f>
        <v>ITE98</v>
      </c>
      <c r="D655" s="139" t="str">
        <f>+D587</f>
        <v>Acero Fy = 60.000 psi d&gt;1/4"</v>
      </c>
      <c r="E655" s="108" t="str">
        <f>+E587</f>
        <v>Kg</v>
      </c>
      <c r="F655" s="140">
        <f>0.4*8</f>
        <v>3.2</v>
      </c>
      <c r="G655" s="141">
        <f>G587</f>
        <v>7240</v>
      </c>
      <c r="H655" s="108">
        <v>0</v>
      </c>
      <c r="I655" s="141">
        <f>ROUND((F655*G655),0)</f>
        <v>23168</v>
      </c>
      <c r="J655" s="47"/>
      <c r="K655" s="143"/>
    </row>
    <row r="656" spans="2:13" ht="29.25" customHeight="1" thickTop="1" thickBot="1" x14ac:dyDescent="0.25">
      <c r="B656" s="158" t="s">
        <v>1034</v>
      </c>
      <c r="C656" s="108" t="str">
        <f>+'LISTA DE INSUMOS'!A9</f>
        <v>MOB006</v>
      </c>
      <c r="D656" s="139" t="str">
        <f>+'LISTA DE INSUMOS'!B9</f>
        <v>Cuadrilla A 1 Of + 4 Ay (jornal + prestaciones)</v>
      </c>
      <c r="E656" s="108" t="str">
        <f>+'LISTA DE INSUMOS'!C9</f>
        <v>Día</v>
      </c>
      <c r="F656" s="140">
        <v>1</v>
      </c>
      <c r="G656" s="141">
        <f>'LISTA DE INSUMOS'!E9</f>
        <v>491167</v>
      </c>
      <c r="H656" s="108">
        <v>0.3</v>
      </c>
      <c r="I656" s="141">
        <f>ROUND((F656*G656*H656),0)</f>
        <v>147350</v>
      </c>
      <c r="J656" s="47"/>
      <c r="K656" s="143"/>
      <c r="M656" s="207"/>
    </row>
    <row r="657" spans="2:11" ht="24.9" customHeight="1" thickTop="1" x14ac:dyDescent="0.2">
      <c r="B657" s="674" t="s">
        <v>1033</v>
      </c>
      <c r="C657" s="108" t="str">
        <f>+'LISTA DE INSUMOS'!A758</f>
        <v>EQU002</v>
      </c>
      <c r="D657" s="139" t="str">
        <f>+'LISTA DE INSUMOS'!B758</f>
        <v>Herramienta menor (% mano obra)</v>
      </c>
      <c r="E657" s="108" t="str">
        <f>+'LISTA DE INSUMOS'!C758</f>
        <v>%MO</v>
      </c>
      <c r="F657" s="140">
        <v>0.1</v>
      </c>
      <c r="G657" s="141">
        <f>I656</f>
        <v>147350</v>
      </c>
      <c r="H657" s="108">
        <v>0</v>
      </c>
      <c r="I657" s="141">
        <f>ROUND((F657*G657),0)</f>
        <v>14735</v>
      </c>
      <c r="J657" s="47"/>
      <c r="K657" s="143"/>
    </row>
    <row r="658" spans="2:11" ht="24.9" customHeight="1" thickBot="1" x14ac:dyDescent="0.25">
      <c r="B658" s="709"/>
      <c r="C658" s="145" t="str">
        <f>+'LISTA DE INSUMOS'!A782</f>
        <v>EQU025</v>
      </c>
      <c r="D658" s="146" t="str">
        <f>+'LISTA DE INSUMOS'!B782</f>
        <v>Formaleta cono cámara</v>
      </c>
      <c r="E658" s="145" t="str">
        <f>+'LISTA DE INSUMOS'!C782</f>
        <v>Día</v>
      </c>
      <c r="F658" s="147">
        <v>1</v>
      </c>
      <c r="G658" s="148">
        <f>'LISTA DE INSUMOS'!E782</f>
        <v>36501.396152936002</v>
      </c>
      <c r="H658" s="145">
        <v>0</v>
      </c>
      <c r="I658" s="148">
        <f>ROUND((F658*G658),0)</f>
        <v>36501</v>
      </c>
      <c r="J658" s="47"/>
      <c r="K658" s="143"/>
    </row>
    <row r="659" spans="2:11" ht="24.9" customHeight="1" x14ac:dyDescent="0.2">
      <c r="B659" s="117" t="s">
        <v>1415</v>
      </c>
      <c r="C659" s="117"/>
      <c r="D659" s="112" t="s">
        <v>2477</v>
      </c>
      <c r="E659" s="117" t="s">
        <v>1435</v>
      </c>
      <c r="F659" s="118"/>
      <c r="G659" s="119">
        <f>ROUND(SUM(I659:I666),0)</f>
        <v>1152087</v>
      </c>
      <c r="H659" s="120"/>
      <c r="I659" s="119"/>
      <c r="J659" s="47"/>
      <c r="K659" s="143"/>
    </row>
    <row r="660" spans="2:11" ht="33.75" customHeight="1" x14ac:dyDescent="0.2">
      <c r="B660" s="706" t="s">
        <v>1035</v>
      </c>
      <c r="C660" s="108" t="str">
        <f>+'LISTA DE INSUMOS'!A43</f>
        <v>MAT014</v>
      </c>
      <c r="D660" s="155" t="str">
        <f>+'LISTA DE INSUMOS'!B43</f>
        <v>Suministro de TAPA y CUELLO MH 70 MACIZA en polipropileno 100% recuperado COLOR VERDES</v>
      </c>
      <c r="E660" s="108" t="str">
        <f>+'LISTA DE INSUMOS'!C43</f>
        <v>Un</v>
      </c>
      <c r="F660" s="140">
        <v>1</v>
      </c>
      <c r="G660" s="141">
        <f>'LISTA DE INSUMOS'!E43</f>
        <v>850935.47531337105</v>
      </c>
      <c r="H660" s="108">
        <v>0</v>
      </c>
      <c r="I660" s="141">
        <f>ROUND((F660*G660),0)</f>
        <v>850935</v>
      </c>
      <c r="J660" s="47"/>
      <c r="K660" s="143"/>
    </row>
    <row r="661" spans="2:11" ht="24.9" customHeight="1" x14ac:dyDescent="0.2">
      <c r="B661" s="706"/>
      <c r="C661" s="108" t="str">
        <f>+'LISTA DE INSUMOS'!A46</f>
        <v>MAT017</v>
      </c>
      <c r="D661" s="139" t="str">
        <f>+'LISTA DE INSUMOS'!B46</f>
        <v>Tabla para formaleta de 1" x 10" x 2,9 m</v>
      </c>
      <c r="E661" s="108" t="str">
        <f>+'LISTA DE INSUMOS'!C46</f>
        <v>M</v>
      </c>
      <c r="F661" s="140">
        <v>6</v>
      </c>
      <c r="G661" s="141">
        <f>'LISTA DE INSUMOS'!E46</f>
        <v>8112.0359999999991</v>
      </c>
      <c r="H661" s="108">
        <f>1/4</f>
        <v>0.25</v>
      </c>
      <c r="I661" s="141">
        <f>ROUND((F661*G661*H661),0)</f>
        <v>12168</v>
      </c>
      <c r="J661" s="47"/>
      <c r="K661" s="143"/>
    </row>
    <row r="662" spans="2:11" ht="24.9" customHeight="1" x14ac:dyDescent="0.2">
      <c r="B662" s="706"/>
      <c r="C662" s="108" t="str">
        <f>+'LISTA DE INSUMOS'!A52</f>
        <v>MAT021</v>
      </c>
      <c r="D662" s="139" t="str">
        <f>+'LISTA DE INSUMOS'!B52</f>
        <v>Puntilla (promedio)</v>
      </c>
      <c r="E662" s="108" t="str">
        <f>+'LISTA DE INSUMOS'!C52</f>
        <v>Lb</v>
      </c>
      <c r="F662" s="140">
        <v>1</v>
      </c>
      <c r="G662" s="141">
        <f>'LISTA DE INSUMOS'!E52</f>
        <v>6690.6972299999998</v>
      </c>
      <c r="H662" s="108">
        <v>0</v>
      </c>
      <c r="I662" s="141">
        <f>ROUND((F662*G662),0)</f>
        <v>6691</v>
      </c>
      <c r="J662" s="47"/>
      <c r="K662" s="143"/>
    </row>
    <row r="663" spans="2:11" ht="24.9" customHeight="1" thickBot="1" x14ac:dyDescent="0.25">
      <c r="B663" s="708"/>
      <c r="C663" s="108" t="str">
        <f>+'LISTA DE INSUMOS'!A132</f>
        <v>MAT091</v>
      </c>
      <c r="D663" s="139" t="str">
        <f>+'LISTA DE INSUMOS'!B132</f>
        <v>Varillón de sajo</v>
      </c>
      <c r="E663" s="108" t="str">
        <f>+'LISTA DE INSUMOS'!C132</f>
        <v>M</v>
      </c>
      <c r="F663" s="140">
        <v>3</v>
      </c>
      <c r="G663" s="141">
        <f>'LISTA DE INSUMOS'!E132</f>
        <v>2979.6450687603597</v>
      </c>
      <c r="H663" s="108">
        <f>1/2</f>
        <v>0.5</v>
      </c>
      <c r="I663" s="141">
        <f>ROUND((F663*G663*H663),0)</f>
        <v>4469</v>
      </c>
      <c r="J663" s="47"/>
      <c r="K663" s="143"/>
    </row>
    <row r="664" spans="2:11" ht="24.9" customHeight="1" thickTop="1" thickBot="1" x14ac:dyDescent="0.25">
      <c r="B664" s="191" t="s">
        <v>1310</v>
      </c>
      <c r="C664" s="108" t="str">
        <f>+B544</f>
        <v>ITE092</v>
      </c>
      <c r="D664" s="139" t="str">
        <f>+D544</f>
        <v>Concreto de 20,7 Mpa (3000 psi) (producción)</v>
      </c>
      <c r="E664" s="108" t="str">
        <f>+E544</f>
        <v>M3</v>
      </c>
      <c r="F664" s="140">
        <v>0.3</v>
      </c>
      <c r="G664" s="141">
        <f>G544</f>
        <v>596118</v>
      </c>
      <c r="H664" s="108">
        <v>1.05</v>
      </c>
      <c r="I664" s="141">
        <f>ROUND((F664*G664*H664),0)</f>
        <v>187777</v>
      </c>
      <c r="J664" s="47"/>
      <c r="K664" s="143"/>
    </row>
    <row r="665" spans="2:11" ht="24.9" customHeight="1" thickTop="1" thickBot="1" x14ac:dyDescent="0.25">
      <c r="B665" s="156" t="s">
        <v>1034</v>
      </c>
      <c r="C665" s="108" t="str">
        <f>+'LISTA DE INSUMOS'!A17</f>
        <v>MOB014</v>
      </c>
      <c r="D665" s="139" t="str">
        <f>+'LISTA DE INSUMOS'!B17</f>
        <v>Cuadrilla D 2 Of + 4 Ay (jornal + prestaciones)</v>
      </c>
      <c r="E665" s="108" t="str">
        <f>+'LISTA DE INSUMOS'!C17</f>
        <v>Día</v>
      </c>
      <c r="F665" s="140">
        <v>1</v>
      </c>
      <c r="G665" s="141">
        <f>'LISTA DE INSUMOS'!E17</f>
        <v>654890</v>
      </c>
      <c r="H665" s="108">
        <f>1/8</f>
        <v>0.125</v>
      </c>
      <c r="I665" s="141">
        <f>ROUND((F665*G665*H665),0)</f>
        <v>81861</v>
      </c>
      <c r="J665" s="47"/>
      <c r="K665" s="143"/>
    </row>
    <row r="666" spans="2:11" ht="24.9" customHeight="1" thickTop="1" thickBot="1" x14ac:dyDescent="0.25">
      <c r="B666" s="150" t="s">
        <v>1033</v>
      </c>
      <c r="C666" s="151" t="str">
        <f>+'LISTA DE INSUMOS'!A758</f>
        <v>EQU002</v>
      </c>
      <c r="D666" s="146" t="str">
        <f>+'LISTA DE INSUMOS'!B758</f>
        <v>Herramienta menor (% mano obra)</v>
      </c>
      <c r="E666" s="145" t="str">
        <f>+'LISTA DE INSUMOS'!C758</f>
        <v>%MO</v>
      </c>
      <c r="F666" s="147">
        <v>0.1</v>
      </c>
      <c r="G666" s="148">
        <f>I665</f>
        <v>81861</v>
      </c>
      <c r="H666" s="145">
        <v>0</v>
      </c>
      <c r="I666" s="148">
        <f>ROUND((F666*G666),0)</f>
        <v>8186</v>
      </c>
      <c r="J666" s="47"/>
      <c r="K666" s="143"/>
    </row>
    <row r="667" spans="2:11" ht="24.9" customHeight="1" x14ac:dyDescent="0.2">
      <c r="B667" s="117" t="s">
        <v>2316</v>
      </c>
      <c r="C667" s="117"/>
      <c r="D667" s="112" t="s">
        <v>2625</v>
      </c>
      <c r="E667" s="117" t="s">
        <v>1435</v>
      </c>
      <c r="F667" s="118"/>
      <c r="G667" s="119">
        <f>ROUND(SUM(I667:I675),0)</f>
        <v>634574</v>
      </c>
      <c r="H667" s="120"/>
      <c r="I667" s="119"/>
      <c r="J667" s="47"/>
      <c r="K667" s="143"/>
    </row>
    <row r="668" spans="2:11" ht="24.9" customHeight="1" x14ac:dyDescent="0.2">
      <c r="B668" s="706" t="s">
        <v>1035</v>
      </c>
      <c r="C668" s="108" t="str">
        <f>+'LISTA DE INSUMOS'!A46</f>
        <v>MAT017</v>
      </c>
      <c r="D668" s="139" t="str">
        <f>+'LISTA DE INSUMOS'!B46</f>
        <v>Tabla para formaleta de 1" x 10" x 2,9 m</v>
      </c>
      <c r="E668" s="108" t="str">
        <f>+'LISTA DE INSUMOS'!C46</f>
        <v>M</v>
      </c>
      <c r="F668" s="140">
        <v>21</v>
      </c>
      <c r="G668" s="141">
        <f>'LISTA DE INSUMOS'!E46</f>
        <v>8112.0359999999991</v>
      </c>
      <c r="H668" s="108">
        <f>1/3</f>
        <v>0.33333333333333331</v>
      </c>
      <c r="I668" s="141">
        <f>ROUND((F668*G668*H668),0)</f>
        <v>56784</v>
      </c>
      <c r="J668" s="47"/>
      <c r="K668" s="143"/>
    </row>
    <row r="669" spans="2:11" ht="24.9" customHeight="1" x14ac:dyDescent="0.2">
      <c r="B669" s="706"/>
      <c r="C669" s="108" t="str">
        <f>+'LISTA DE INSUMOS'!A52</f>
        <v>MAT021</v>
      </c>
      <c r="D669" s="139" t="str">
        <f>+'LISTA DE INSUMOS'!B52</f>
        <v>Puntilla (promedio)</v>
      </c>
      <c r="E669" s="108" t="str">
        <f>+'LISTA DE INSUMOS'!C52</f>
        <v>Lb</v>
      </c>
      <c r="F669" s="140">
        <v>1.5</v>
      </c>
      <c r="G669" s="141">
        <f>'LISTA DE INSUMOS'!E52</f>
        <v>6690.6972299999998</v>
      </c>
      <c r="H669" s="108">
        <v>0</v>
      </c>
      <c r="I669" s="141">
        <f>ROUND((F669*G669),0)</f>
        <v>10036</v>
      </c>
      <c r="J669" s="47"/>
      <c r="K669" s="143"/>
    </row>
    <row r="670" spans="2:11" ht="24.9" customHeight="1" x14ac:dyDescent="0.2">
      <c r="B670" s="706"/>
      <c r="C670" s="108" t="str">
        <f>+'LISTA DE INSUMOS'!A132</f>
        <v>MAT091</v>
      </c>
      <c r="D670" s="139" t="str">
        <f>+'LISTA DE INSUMOS'!B132</f>
        <v>Varillón de sajo</v>
      </c>
      <c r="E670" s="108" t="str">
        <f>+'LISTA DE INSUMOS'!C132</f>
        <v>M</v>
      </c>
      <c r="F670" s="140">
        <v>6</v>
      </c>
      <c r="G670" s="141">
        <f>'LISTA DE INSUMOS'!E132</f>
        <v>2979.6450687603597</v>
      </c>
      <c r="H670" s="108">
        <f>1/3</f>
        <v>0.33333333333333331</v>
      </c>
      <c r="I670" s="141">
        <f>ROUND((F670*G670*H670),0)</f>
        <v>5959</v>
      </c>
      <c r="J670" s="47"/>
      <c r="K670" s="143"/>
    </row>
    <row r="671" spans="2:11" ht="24.9" customHeight="1" x14ac:dyDescent="0.2">
      <c r="B671" s="706"/>
      <c r="C671" s="108" t="str">
        <f>+'LISTA DE INSUMOS'!A67</f>
        <v>MAT034</v>
      </c>
      <c r="D671" s="139" t="str">
        <f>+'LISTA DE INSUMOS'!B67</f>
        <v>ACPM</v>
      </c>
      <c r="E671" s="108" t="str">
        <f>+'LISTA DE INSUMOS'!C67</f>
        <v>Gl</v>
      </c>
      <c r="F671" s="140">
        <v>0.5</v>
      </c>
      <c r="G671" s="141">
        <f>'LISTA DE INSUMOS'!E67</f>
        <v>9681.4499999999989</v>
      </c>
      <c r="H671" s="108">
        <v>1.05</v>
      </c>
      <c r="I671" s="141">
        <f>ROUND((F671*G671*H671),0)</f>
        <v>5083</v>
      </c>
      <c r="J671" s="47"/>
      <c r="K671" s="143"/>
    </row>
    <row r="672" spans="2:11" ht="24.9" customHeight="1" x14ac:dyDescent="0.2">
      <c r="B672" s="685" t="s">
        <v>1310</v>
      </c>
      <c r="C672" s="108" t="str">
        <f>+B544</f>
        <v>ITE092</v>
      </c>
      <c r="D672" s="139" t="str">
        <f>+D544</f>
        <v>Concreto de 20,7 Mpa (3000 psi) (producción)</v>
      </c>
      <c r="E672" s="108" t="str">
        <f>+E544</f>
        <v>M3</v>
      </c>
      <c r="F672" s="140">
        <v>0.4</v>
      </c>
      <c r="G672" s="141">
        <f>G544</f>
        <v>596118</v>
      </c>
      <c r="H672" s="108">
        <v>1.05</v>
      </c>
      <c r="I672" s="141">
        <f>ROUND((F672*G672*H672),0)</f>
        <v>250370</v>
      </c>
      <c r="J672" s="47"/>
      <c r="K672" s="143"/>
    </row>
    <row r="673" spans="2:11" ht="24.9" customHeight="1" thickBot="1" x14ac:dyDescent="0.25">
      <c r="B673" s="707"/>
      <c r="C673" s="108" t="str">
        <f>+B587</f>
        <v>ITE98</v>
      </c>
      <c r="D673" s="139" t="str">
        <f>+D587</f>
        <v>Acero Fy = 60.000 psi d&gt;1/4"</v>
      </c>
      <c r="E673" s="108" t="s">
        <v>1414</v>
      </c>
      <c r="F673" s="140">
        <v>5</v>
      </c>
      <c r="G673" s="141">
        <f>G587</f>
        <v>7240</v>
      </c>
      <c r="H673" s="108">
        <v>0</v>
      </c>
      <c r="I673" s="141">
        <f>ROUND((F673*G673),0)</f>
        <v>36200</v>
      </c>
      <c r="J673" s="47"/>
      <c r="K673" s="143"/>
    </row>
    <row r="674" spans="2:11" ht="24.9" customHeight="1" thickTop="1" thickBot="1" x14ac:dyDescent="0.25">
      <c r="B674" s="156" t="s">
        <v>1034</v>
      </c>
      <c r="C674" s="108" t="str">
        <f>+'LISTA DE INSUMOS'!A18</f>
        <v>MOB015</v>
      </c>
      <c r="D674" s="139" t="str">
        <f>+'LISTA DE INSUMOS'!B18</f>
        <v>Cuadrilla E 1 Of + 1 Ay (jornal + prestaciones)</v>
      </c>
      <c r="E674" s="108" t="str">
        <f>+'LISTA DE INSUMOS'!C18</f>
        <v>Día</v>
      </c>
      <c r="F674" s="140">
        <v>1</v>
      </c>
      <c r="G674" s="141">
        <f>'LISTA DE INSUMOS'!E18</f>
        <v>245584</v>
      </c>
      <c r="H674" s="108">
        <v>1</v>
      </c>
      <c r="I674" s="141">
        <f>ROUND((F674*G674*H674),0)</f>
        <v>245584</v>
      </c>
      <c r="J674" s="47"/>
      <c r="K674" s="143"/>
    </row>
    <row r="675" spans="2:11" ht="24.9" customHeight="1" thickTop="1" thickBot="1" x14ac:dyDescent="0.25">
      <c r="B675" s="150" t="s">
        <v>1033</v>
      </c>
      <c r="C675" s="151" t="str">
        <f>+'LISTA DE INSUMOS'!A758</f>
        <v>EQU002</v>
      </c>
      <c r="D675" s="146" t="str">
        <f>+'LISTA DE INSUMOS'!B758</f>
        <v>Herramienta menor (% mano obra)</v>
      </c>
      <c r="E675" s="145" t="str">
        <f>+'LISTA DE INSUMOS'!C758</f>
        <v>%MO</v>
      </c>
      <c r="F675" s="147">
        <v>0.1</v>
      </c>
      <c r="G675" s="148">
        <f>I674</f>
        <v>245584</v>
      </c>
      <c r="H675" s="145">
        <v>0</v>
      </c>
      <c r="I675" s="148">
        <f>ROUND((F675*G675),0)</f>
        <v>24558</v>
      </c>
      <c r="J675" s="47"/>
      <c r="K675" s="143"/>
    </row>
    <row r="676" spans="2:11" ht="24.9" customHeight="1" x14ac:dyDescent="0.2">
      <c r="B676" s="117" t="s">
        <v>1941</v>
      </c>
      <c r="C676" s="117"/>
      <c r="D676" s="112" t="s">
        <v>217</v>
      </c>
      <c r="E676" s="117" t="s">
        <v>1412</v>
      </c>
      <c r="F676" s="118"/>
      <c r="G676" s="119">
        <f>ROUND(SUM(I676:I684),0)</f>
        <v>179675</v>
      </c>
      <c r="H676" s="120"/>
      <c r="I676" s="119"/>
      <c r="J676" s="47"/>
      <c r="K676" s="143"/>
    </row>
    <row r="677" spans="2:11" ht="24.9" customHeight="1" x14ac:dyDescent="0.2">
      <c r="B677" s="672" t="s">
        <v>1035</v>
      </c>
      <c r="C677" s="108" t="str">
        <f>+'LISTA DE INSUMOS'!A46</f>
        <v>MAT017</v>
      </c>
      <c r="D677" s="139" t="str">
        <f>+'LISTA DE INSUMOS'!B46</f>
        <v>Tabla para formaleta de 1" x 10" x 2,9 m</v>
      </c>
      <c r="E677" s="108" t="str">
        <f>+'LISTA DE INSUMOS'!C46</f>
        <v>M</v>
      </c>
      <c r="F677" s="140">
        <v>4</v>
      </c>
      <c r="G677" s="141">
        <f>'LISTA DE INSUMOS'!E46</f>
        <v>8112.0359999999991</v>
      </c>
      <c r="H677" s="108">
        <f>1/2</f>
        <v>0.5</v>
      </c>
      <c r="I677" s="141">
        <f>ROUND((F677*G677*H677),0)</f>
        <v>16224</v>
      </c>
      <c r="J677" s="47"/>
      <c r="K677" s="143"/>
    </row>
    <row r="678" spans="2:11" ht="24.9" customHeight="1" x14ac:dyDescent="0.2">
      <c r="B678" s="672"/>
      <c r="C678" s="108" t="str">
        <f>+'LISTA DE INSUMOS'!A52</f>
        <v>MAT021</v>
      </c>
      <c r="D678" s="139" t="str">
        <f>+'LISTA DE INSUMOS'!B52</f>
        <v>Puntilla (promedio)</v>
      </c>
      <c r="E678" s="108" t="str">
        <f>+'LISTA DE INSUMOS'!C52</f>
        <v>Lb</v>
      </c>
      <c r="F678" s="140">
        <v>0.2</v>
      </c>
      <c r="G678" s="141">
        <f>'LISTA DE INSUMOS'!E52</f>
        <v>6690.6972299999998</v>
      </c>
      <c r="H678" s="108">
        <v>0</v>
      </c>
      <c r="I678" s="141">
        <f>ROUND((F678*G678),0)</f>
        <v>1338</v>
      </c>
      <c r="J678" s="47"/>
      <c r="K678" s="143"/>
    </row>
    <row r="679" spans="2:11" ht="24.9" customHeight="1" x14ac:dyDescent="0.2">
      <c r="B679" s="672"/>
      <c r="C679" s="108" t="str">
        <f>+'LISTA DE INSUMOS'!A67</f>
        <v>MAT034</v>
      </c>
      <c r="D679" s="139" t="str">
        <f>+'LISTA DE INSUMOS'!B67</f>
        <v>ACPM</v>
      </c>
      <c r="E679" s="108" t="str">
        <f>+'LISTA DE INSUMOS'!C67</f>
        <v>Gl</v>
      </c>
      <c r="F679" s="140">
        <v>0.3</v>
      </c>
      <c r="G679" s="141">
        <f>'LISTA DE INSUMOS'!E67</f>
        <v>9681.4499999999989</v>
      </c>
      <c r="H679" s="108">
        <v>1.05</v>
      </c>
      <c r="I679" s="141">
        <f>ROUND((F679*G679*H679),0)</f>
        <v>3050</v>
      </c>
      <c r="J679" s="47"/>
      <c r="K679" s="143"/>
    </row>
    <row r="680" spans="2:11" ht="24.9" customHeight="1" x14ac:dyDescent="0.2">
      <c r="B680" s="672"/>
      <c r="C680" s="108" t="str">
        <f>+'LISTA DE INSUMOS'!A93</f>
        <v>MAT051</v>
      </c>
      <c r="D680" s="139" t="str">
        <f>+'LISTA DE INSUMOS'!B93</f>
        <v>Antisol blanco</v>
      </c>
      <c r="E680" s="108" t="str">
        <f>+'LISTA DE INSUMOS'!C93</f>
        <v>Kg</v>
      </c>
      <c r="F680" s="140">
        <v>0.1</v>
      </c>
      <c r="G680" s="141">
        <f>'LISTA DE INSUMOS'!E93</f>
        <v>11510.734499999999</v>
      </c>
      <c r="H680" s="108">
        <v>1.03</v>
      </c>
      <c r="I680" s="141">
        <f>ROUND((F680*G680*H680),0)</f>
        <v>1186</v>
      </c>
      <c r="J680" s="47"/>
      <c r="K680" s="143"/>
    </row>
    <row r="681" spans="2:11" ht="24.9" customHeight="1" thickBot="1" x14ac:dyDescent="0.25">
      <c r="B681" s="673"/>
      <c r="C681" s="108" t="str">
        <f>+'LISTA DE INSUMOS'!A132</f>
        <v>MAT091</v>
      </c>
      <c r="D681" s="139" t="str">
        <f>+'LISTA DE INSUMOS'!B132</f>
        <v>Varillón de sajo</v>
      </c>
      <c r="E681" s="108" t="str">
        <f>+'LISTA DE INSUMOS'!C132</f>
        <v>M</v>
      </c>
      <c r="F681" s="140">
        <v>3</v>
      </c>
      <c r="G681" s="141">
        <f>'LISTA DE INSUMOS'!E132</f>
        <v>2979.6450687603597</v>
      </c>
      <c r="H681" s="108">
        <f>1/2</f>
        <v>0.5</v>
      </c>
      <c r="I681" s="141">
        <f>ROUND((F681*G681*H681),0)</f>
        <v>4469</v>
      </c>
      <c r="J681" s="47"/>
      <c r="K681" s="143"/>
    </row>
    <row r="682" spans="2:11" ht="24.9" customHeight="1" thickTop="1" thickBot="1" x14ac:dyDescent="0.25">
      <c r="B682" s="191" t="s">
        <v>1310</v>
      </c>
      <c r="C682" s="108" t="str">
        <f>+B544</f>
        <v>ITE092</v>
      </c>
      <c r="D682" s="139" t="str">
        <f>+D544</f>
        <v>Concreto de 20,7 Mpa (3000 psi) (producción)</v>
      </c>
      <c r="E682" s="108" t="str">
        <f>+E544</f>
        <v>M3</v>
      </c>
      <c r="F682" s="140">
        <v>0.13</v>
      </c>
      <c r="G682" s="141">
        <f>G544</f>
        <v>596118</v>
      </c>
      <c r="H682" s="108">
        <v>1.05</v>
      </c>
      <c r="I682" s="141">
        <f>ROUND((F682*G682*H682),0)</f>
        <v>81370</v>
      </c>
      <c r="J682" s="47"/>
      <c r="K682" s="143"/>
    </row>
    <row r="683" spans="2:11" ht="24.9" customHeight="1" thickTop="1" thickBot="1" x14ac:dyDescent="0.25">
      <c r="B683" s="156" t="s">
        <v>1034</v>
      </c>
      <c r="C683" s="108" t="str">
        <f>+'LISTA DE INSUMOS'!A20</f>
        <v>MOB017</v>
      </c>
      <c r="D683" s="139" t="str">
        <f>+'LISTA DE INSUMOS'!B20</f>
        <v>Cuadrilla G 1 Of + 2 Ay (jornal + prestaciones)</v>
      </c>
      <c r="E683" s="108" t="str">
        <f>+'LISTA DE INSUMOS'!C20</f>
        <v>Día</v>
      </c>
      <c r="F683" s="140">
        <v>1</v>
      </c>
      <c r="G683" s="141">
        <f>'LISTA DE INSUMOS'!E20</f>
        <v>327445</v>
      </c>
      <c r="H683" s="108">
        <f>1/5</f>
        <v>0.2</v>
      </c>
      <c r="I683" s="141">
        <f>ROUND((F683*G683*H683),0)</f>
        <v>65489</v>
      </c>
      <c r="J683" s="47"/>
      <c r="K683" s="143"/>
    </row>
    <row r="684" spans="2:11" ht="24.75" customHeight="1" thickTop="1" thickBot="1" x14ac:dyDescent="0.25">
      <c r="B684" s="150" t="s">
        <v>1033</v>
      </c>
      <c r="C684" s="151" t="str">
        <f>+'LISTA DE INSUMOS'!A758</f>
        <v>EQU002</v>
      </c>
      <c r="D684" s="146" t="str">
        <f>+'LISTA DE INSUMOS'!B758</f>
        <v>Herramienta menor (% mano obra)</v>
      </c>
      <c r="E684" s="145" t="str">
        <f>+'LISTA DE INSUMOS'!C758</f>
        <v>%MO</v>
      </c>
      <c r="F684" s="147">
        <v>0.1</v>
      </c>
      <c r="G684" s="148">
        <f>I683</f>
        <v>65489</v>
      </c>
      <c r="H684" s="145">
        <v>0</v>
      </c>
      <c r="I684" s="148">
        <f>ROUND((F684*G684),0)</f>
        <v>6549</v>
      </c>
      <c r="J684" s="47"/>
      <c r="K684" s="143"/>
    </row>
    <row r="685" spans="2:11" ht="25.5" customHeight="1" x14ac:dyDescent="0.2">
      <c r="B685" s="117" t="s">
        <v>1459</v>
      </c>
      <c r="C685" s="117"/>
      <c r="D685" s="112" t="s">
        <v>2626</v>
      </c>
      <c r="E685" s="117" t="s">
        <v>1412</v>
      </c>
      <c r="F685" s="118"/>
      <c r="G685" s="119">
        <f>ROUND(SUM(I685:I693),0)</f>
        <v>102919</v>
      </c>
      <c r="H685" s="120"/>
      <c r="I685" s="119"/>
      <c r="J685" s="47"/>
      <c r="K685" s="143"/>
    </row>
    <row r="686" spans="2:11" ht="33" customHeight="1" x14ac:dyDescent="0.2">
      <c r="B686" s="672" t="s">
        <v>1035</v>
      </c>
      <c r="C686" s="108" t="str">
        <f>+'LISTA DE INSUMOS'!A46</f>
        <v>MAT017</v>
      </c>
      <c r="D686" s="139" t="str">
        <f>+'LISTA DE INSUMOS'!B46</f>
        <v>Tabla para formaleta de 1" x 10" x 2,9 m</v>
      </c>
      <c r="E686" s="108" t="str">
        <f>+'LISTA DE INSUMOS'!C46</f>
        <v>M</v>
      </c>
      <c r="F686" s="140">
        <v>1</v>
      </c>
      <c r="G686" s="141">
        <f>'LISTA DE INSUMOS'!E46</f>
        <v>8112.0359999999991</v>
      </c>
      <c r="H686" s="108">
        <f>1/3</f>
        <v>0.33333333333333331</v>
      </c>
      <c r="I686" s="141">
        <f>ROUND((F686*G686*H686),0)</f>
        <v>2704</v>
      </c>
      <c r="J686" s="47"/>
      <c r="K686" s="143"/>
    </row>
    <row r="687" spans="2:11" ht="20.25" customHeight="1" x14ac:dyDescent="0.2">
      <c r="B687" s="672"/>
      <c r="C687" s="108" t="str">
        <f>+'LISTA DE INSUMOS'!A52</f>
        <v>MAT021</v>
      </c>
      <c r="D687" s="139" t="str">
        <f>+'LISTA DE INSUMOS'!B52</f>
        <v>Puntilla (promedio)</v>
      </c>
      <c r="E687" s="108" t="str">
        <f>+'LISTA DE INSUMOS'!C52</f>
        <v>Lb</v>
      </c>
      <c r="F687" s="140">
        <v>0.3</v>
      </c>
      <c r="G687" s="141">
        <f>'LISTA DE INSUMOS'!E52</f>
        <v>6690.6972299999998</v>
      </c>
      <c r="H687" s="108">
        <v>0</v>
      </c>
      <c r="I687" s="141">
        <f>ROUND((F687*G687),0)</f>
        <v>2007</v>
      </c>
      <c r="J687" s="47"/>
      <c r="K687" s="143"/>
    </row>
    <row r="688" spans="2:11" ht="27.75" customHeight="1" x14ac:dyDescent="0.2">
      <c r="B688" s="672"/>
      <c r="C688" s="108" t="str">
        <f>+'LISTA DE INSUMOS'!A67</f>
        <v>MAT034</v>
      </c>
      <c r="D688" s="139" t="str">
        <f>+'LISTA DE INSUMOS'!B67</f>
        <v>ACPM</v>
      </c>
      <c r="E688" s="108" t="str">
        <f>+'LISTA DE INSUMOS'!C67</f>
        <v>Gl</v>
      </c>
      <c r="F688" s="140">
        <v>0.1</v>
      </c>
      <c r="G688" s="141">
        <f>'LISTA DE INSUMOS'!E67</f>
        <v>9681.4499999999989</v>
      </c>
      <c r="H688" s="108">
        <v>1.05</v>
      </c>
      <c r="I688" s="141">
        <f>ROUND((F688*G688*H688),0)</f>
        <v>1017</v>
      </c>
      <c r="J688" s="47"/>
      <c r="K688" s="143"/>
    </row>
    <row r="689" spans="2:40" ht="21" customHeight="1" x14ac:dyDescent="0.2">
      <c r="B689" s="672"/>
      <c r="C689" s="108" t="str">
        <f>+'LISTA DE INSUMOS'!A93</f>
        <v>MAT051</v>
      </c>
      <c r="D689" s="139" t="str">
        <f>+'LISTA DE INSUMOS'!B93</f>
        <v>Antisol blanco</v>
      </c>
      <c r="E689" s="108" t="str">
        <f>+'LISTA DE INSUMOS'!C93</f>
        <v>Kg</v>
      </c>
      <c r="F689" s="140">
        <v>0.2</v>
      </c>
      <c r="G689" s="141">
        <f>+'LISTA DE INSUMOS'!E93</f>
        <v>11510.734499999999</v>
      </c>
      <c r="H689" s="108">
        <v>1.03</v>
      </c>
      <c r="I689" s="141">
        <f>ROUND((F689*G689*H689),0)</f>
        <v>2371</v>
      </c>
      <c r="J689" s="47"/>
      <c r="K689" s="143"/>
    </row>
    <row r="690" spans="2:40" ht="24" customHeight="1" thickBot="1" x14ac:dyDescent="0.25">
      <c r="B690" s="673"/>
      <c r="C690" s="108" t="str">
        <f>+'LISTA DE INSUMOS'!A132</f>
        <v>MAT091</v>
      </c>
      <c r="D690" s="139" t="str">
        <f>+'LISTA DE INSUMOS'!B132</f>
        <v>Varillón de sajo</v>
      </c>
      <c r="E690" s="108" t="str">
        <f>+'LISTA DE INSUMOS'!C132</f>
        <v>M</v>
      </c>
      <c r="F690" s="140">
        <v>3.5</v>
      </c>
      <c r="G690" s="141">
        <f>'LISTA DE INSUMOS'!E132</f>
        <v>2979.6450687603597</v>
      </c>
      <c r="H690" s="108">
        <f>1/2</f>
        <v>0.5</v>
      </c>
      <c r="I690" s="141">
        <f>ROUND((F690*G690*H690),0)</f>
        <v>5214</v>
      </c>
      <c r="J690" s="47"/>
      <c r="K690" s="143"/>
    </row>
    <row r="691" spans="2:40" ht="23.25" customHeight="1" thickTop="1" thickBot="1" x14ac:dyDescent="0.25">
      <c r="B691" s="318"/>
      <c r="C691" s="108" t="str">
        <f>+B544</f>
        <v>ITE092</v>
      </c>
      <c r="D691" s="139" t="str">
        <f>+D544</f>
        <v>Concreto de 20,7 Mpa (3000 psi) (producción)</v>
      </c>
      <c r="E691" s="108" t="str">
        <f>+E544</f>
        <v>M3</v>
      </c>
      <c r="F691" s="140">
        <v>0.1</v>
      </c>
      <c r="G691" s="141">
        <f>G544</f>
        <v>596118</v>
      </c>
      <c r="H691" s="108">
        <v>1.05</v>
      </c>
      <c r="I691" s="141">
        <f>ROUND((F691*G691*H691),0)</f>
        <v>62592</v>
      </c>
      <c r="J691" s="47"/>
      <c r="K691" s="143"/>
    </row>
    <row r="692" spans="2:40" ht="19.5" customHeight="1" thickTop="1" thickBot="1" x14ac:dyDescent="0.25">
      <c r="B692" s="156" t="s">
        <v>1034</v>
      </c>
      <c r="C692" s="108" t="str">
        <f>+'LISTA DE INSUMOS'!A9</f>
        <v>MOB006</v>
      </c>
      <c r="D692" s="139" t="str">
        <f>+'LISTA DE INSUMOS'!B9</f>
        <v>Cuadrilla A 1 Of + 4 Ay (jornal + prestaciones)</v>
      </c>
      <c r="E692" s="108" t="str">
        <f>+'LISTA DE INSUMOS'!C9</f>
        <v>Día</v>
      </c>
      <c r="F692" s="140">
        <v>1</v>
      </c>
      <c r="G692" s="141">
        <f>'LISTA DE INSUMOS'!E9</f>
        <v>491167</v>
      </c>
      <c r="H692" s="142">
        <f>1/20</f>
        <v>0.05</v>
      </c>
      <c r="I692" s="141">
        <f>ROUND((F692*G692*H692),0)</f>
        <v>24558</v>
      </c>
      <c r="J692" s="47"/>
      <c r="K692" s="143"/>
    </row>
    <row r="693" spans="2:40" ht="25.5" customHeight="1" thickTop="1" thickBot="1" x14ac:dyDescent="0.25">
      <c r="B693" s="150" t="s">
        <v>1033</v>
      </c>
      <c r="C693" s="151" t="str">
        <f>+'LISTA DE INSUMOS'!A758</f>
        <v>EQU002</v>
      </c>
      <c r="D693" s="146" t="str">
        <f>+'LISTA DE INSUMOS'!B758</f>
        <v>Herramienta menor (% mano obra)</v>
      </c>
      <c r="E693" s="145" t="str">
        <f>+'LISTA DE INSUMOS'!C758</f>
        <v>%MO</v>
      </c>
      <c r="F693" s="147">
        <v>0.1</v>
      </c>
      <c r="G693" s="148">
        <f>I692</f>
        <v>24558</v>
      </c>
      <c r="H693" s="145">
        <v>0</v>
      </c>
      <c r="I693" s="148">
        <f>ROUND((F693*G693),0)</f>
        <v>2456</v>
      </c>
      <c r="J693" s="47"/>
      <c r="K693" s="143"/>
    </row>
    <row r="694" spans="2:40" s="317" customFormat="1" ht="37.5" customHeight="1" x14ac:dyDescent="0.2">
      <c r="B694" s="117" t="s">
        <v>1460</v>
      </c>
      <c r="C694" s="117"/>
      <c r="D694" s="112" t="s">
        <v>218</v>
      </c>
      <c r="E694" s="117" t="s">
        <v>1412</v>
      </c>
      <c r="F694" s="117"/>
      <c r="G694" s="117">
        <f>ROUND(SUM(I694:I702),0)</f>
        <v>191853</v>
      </c>
      <c r="H694" s="117"/>
      <c r="I694" s="117"/>
      <c r="J694" s="117"/>
      <c r="K694" s="117"/>
      <c r="L694" s="117"/>
      <c r="M694" s="117"/>
      <c r="N694" s="117"/>
      <c r="O694" s="117"/>
      <c r="P694" s="117"/>
      <c r="Q694" s="117"/>
      <c r="R694" s="117"/>
      <c r="S694" s="117"/>
      <c r="T694" s="117"/>
      <c r="U694" s="117"/>
      <c r="V694" s="117"/>
      <c r="W694" s="117"/>
      <c r="X694" s="117"/>
      <c r="Y694" s="117"/>
      <c r="Z694" s="117"/>
      <c r="AA694" s="117"/>
      <c r="AB694" s="117"/>
      <c r="AC694" s="117"/>
      <c r="AD694" s="117"/>
      <c r="AE694" s="117"/>
      <c r="AF694" s="117"/>
      <c r="AG694" s="117"/>
      <c r="AH694" s="117"/>
      <c r="AI694" s="117"/>
      <c r="AJ694" s="117"/>
      <c r="AK694" s="117"/>
      <c r="AL694" s="117"/>
      <c r="AM694" s="117"/>
      <c r="AN694" s="117"/>
    </row>
    <row r="695" spans="2:40" s="317" customFormat="1" ht="30" customHeight="1" x14ac:dyDescent="0.2">
      <c r="B695" s="672" t="s">
        <v>1035</v>
      </c>
      <c r="C695" s="108" t="str">
        <f>+'LISTA DE INSUMOS'!A46</f>
        <v>MAT017</v>
      </c>
      <c r="D695" s="436" t="str">
        <f>+'LISTA DE INSUMOS'!B46</f>
        <v>Tabla para formaleta de 1" x 10" x 2,9 m</v>
      </c>
      <c r="E695" s="108" t="str">
        <f>+'LISTA DE INSUMOS'!C46</f>
        <v>M</v>
      </c>
      <c r="F695" s="108">
        <v>4</v>
      </c>
      <c r="G695" s="108">
        <f>'LISTA DE INSUMOS'!E46</f>
        <v>8112.0359999999991</v>
      </c>
      <c r="H695" s="108">
        <f>1/2</f>
        <v>0.5</v>
      </c>
      <c r="I695" s="108">
        <f>ROUND((F695*G695*H695),0)</f>
        <v>16224</v>
      </c>
      <c r="J695" s="313"/>
      <c r="K695" s="323"/>
    </row>
    <row r="696" spans="2:40" s="317" customFormat="1" ht="23.25" customHeight="1" x14ac:dyDescent="0.2">
      <c r="B696" s="672"/>
      <c r="C696" s="108" t="str">
        <f>+'LISTA DE INSUMOS'!A52</f>
        <v>MAT021</v>
      </c>
      <c r="D696" s="436" t="str">
        <f>+'LISTA DE INSUMOS'!B52</f>
        <v>Puntilla (promedio)</v>
      </c>
      <c r="E696" s="108" t="str">
        <f>+'LISTA DE INSUMOS'!C52</f>
        <v>Lb</v>
      </c>
      <c r="F696" s="108">
        <v>0.02</v>
      </c>
      <c r="G696" s="108">
        <f>'LISTA DE INSUMOS'!E52</f>
        <v>6690.6972299999998</v>
      </c>
      <c r="H696" s="108">
        <v>0</v>
      </c>
      <c r="I696" s="108">
        <f>ROUND((F696*G696),0)</f>
        <v>134</v>
      </c>
      <c r="J696" s="313"/>
      <c r="K696" s="323"/>
    </row>
    <row r="697" spans="2:40" s="317" customFormat="1" ht="17.25" customHeight="1" x14ac:dyDescent="0.2">
      <c r="B697" s="672"/>
      <c r="C697" s="108" t="str">
        <f>+'LISTA DE INSUMOS'!A67</f>
        <v>MAT034</v>
      </c>
      <c r="D697" s="436" t="str">
        <f>+'LISTA DE INSUMOS'!B67</f>
        <v>ACPM</v>
      </c>
      <c r="E697" s="108" t="str">
        <f>+'LISTA DE INSUMOS'!C67</f>
        <v>Gl</v>
      </c>
      <c r="F697" s="108">
        <v>0.3</v>
      </c>
      <c r="G697" s="108">
        <f>'LISTA DE INSUMOS'!E67</f>
        <v>9681.4499999999989</v>
      </c>
      <c r="H697" s="108">
        <v>1.05</v>
      </c>
      <c r="I697" s="108">
        <f>ROUND((F697*G697*H697),0)</f>
        <v>3050</v>
      </c>
      <c r="J697" s="313"/>
      <c r="K697" s="323"/>
    </row>
    <row r="698" spans="2:40" s="317" customFormat="1" ht="16.5" customHeight="1" x14ac:dyDescent="0.2">
      <c r="B698" s="672"/>
      <c r="C698" s="108" t="str">
        <f>+'LISTA DE INSUMOS'!A93</f>
        <v>MAT051</v>
      </c>
      <c r="D698" s="436" t="str">
        <f>+'LISTA DE INSUMOS'!B93</f>
        <v>Antisol blanco</v>
      </c>
      <c r="E698" s="108" t="str">
        <f>+'LISTA DE INSUMOS'!C93</f>
        <v>Kg</v>
      </c>
      <c r="F698" s="108">
        <v>0.2</v>
      </c>
      <c r="G698" s="108">
        <f>+'LISTA DE INSUMOS'!E93</f>
        <v>11510.734499999999</v>
      </c>
      <c r="H698" s="108">
        <v>1.03</v>
      </c>
      <c r="I698" s="108">
        <f>ROUND((F698*G698*H698),0)</f>
        <v>2371</v>
      </c>
      <c r="J698" s="313"/>
      <c r="K698" s="323"/>
    </row>
    <row r="699" spans="2:40" s="317" customFormat="1" ht="21.75" customHeight="1" thickBot="1" x14ac:dyDescent="0.25">
      <c r="B699" s="673"/>
      <c r="C699" s="108" t="str">
        <f>+'LISTA DE INSUMOS'!A132</f>
        <v>MAT091</v>
      </c>
      <c r="D699" s="436" t="str">
        <f>+'LISTA DE INSUMOS'!B132</f>
        <v>Varillón de sajo</v>
      </c>
      <c r="E699" s="108" t="str">
        <f>+'LISTA DE INSUMOS'!C132</f>
        <v>M</v>
      </c>
      <c r="F699" s="108">
        <v>3.3</v>
      </c>
      <c r="G699" s="108">
        <f>'LISTA DE INSUMOS'!E132</f>
        <v>2979.6450687603597</v>
      </c>
      <c r="H699" s="108">
        <f>1/2</f>
        <v>0.5</v>
      </c>
      <c r="I699" s="108">
        <f>ROUND((F699*G699*H699),0)</f>
        <v>4916</v>
      </c>
      <c r="J699" s="313"/>
      <c r="K699" s="323"/>
    </row>
    <row r="700" spans="2:40" s="317" customFormat="1" ht="20.25" customHeight="1" thickTop="1" thickBot="1" x14ac:dyDescent="0.25">
      <c r="B700" s="117" t="s">
        <v>1310</v>
      </c>
      <c r="C700" s="108" t="str">
        <f>+B544</f>
        <v>ITE092</v>
      </c>
      <c r="D700" s="436" t="str">
        <f>+D544</f>
        <v>Concreto de 20,7 Mpa (3000 psi) (producción)</v>
      </c>
      <c r="E700" s="108" t="str">
        <f>+E544</f>
        <v>M3</v>
      </c>
      <c r="F700" s="108">
        <v>0.12</v>
      </c>
      <c r="G700" s="108">
        <f>G544</f>
        <v>596118</v>
      </c>
      <c r="H700" s="108">
        <v>1.05</v>
      </c>
      <c r="I700" s="108">
        <f>ROUND((F700*G700*H700),0)</f>
        <v>75111</v>
      </c>
      <c r="J700" s="313"/>
      <c r="K700" s="323"/>
    </row>
    <row r="701" spans="2:40" s="317" customFormat="1" ht="21" customHeight="1" thickTop="1" thickBot="1" x14ac:dyDescent="0.25">
      <c r="B701" s="156" t="s">
        <v>1034</v>
      </c>
      <c r="C701" s="108" t="str">
        <f>+'LISTA DE INSUMOS'!A18</f>
        <v>MOB015</v>
      </c>
      <c r="D701" s="436" t="str">
        <f>+'LISTA DE INSUMOS'!B18</f>
        <v>Cuadrilla E 1 Of + 1 Ay (jornal + prestaciones)</v>
      </c>
      <c r="E701" s="108" t="str">
        <f>+'LISTA DE INSUMOS'!C18</f>
        <v>Día</v>
      </c>
      <c r="F701" s="108">
        <v>1</v>
      </c>
      <c r="G701" s="108">
        <f>'LISTA DE INSUMOS'!E18</f>
        <v>245584</v>
      </c>
      <c r="H701" s="108">
        <f>1/3</f>
        <v>0.33333333333333331</v>
      </c>
      <c r="I701" s="108">
        <f>ROUND((F701*G701*H701),0)</f>
        <v>81861</v>
      </c>
      <c r="J701" s="313"/>
      <c r="K701" s="323"/>
    </row>
    <row r="702" spans="2:40" s="317" customFormat="1" ht="29.25" customHeight="1" thickTop="1" thickBot="1" x14ac:dyDescent="0.25">
      <c r="B702" s="255" t="s">
        <v>1033</v>
      </c>
      <c r="C702" s="108" t="str">
        <f>+'LISTA DE INSUMOS'!A758</f>
        <v>EQU002</v>
      </c>
      <c r="D702" s="436" t="str">
        <f>+'LISTA DE INSUMOS'!B758</f>
        <v>Herramienta menor (% mano obra)</v>
      </c>
      <c r="E702" s="108" t="str">
        <f>+'LISTA DE INSUMOS'!C758</f>
        <v>%MO</v>
      </c>
      <c r="F702" s="108">
        <v>0.1</v>
      </c>
      <c r="G702" s="108">
        <f>I701</f>
        <v>81861</v>
      </c>
      <c r="H702" s="108">
        <v>0</v>
      </c>
      <c r="I702" s="108">
        <f>ROUND((F702*G702),0)</f>
        <v>8186</v>
      </c>
      <c r="J702" s="313"/>
      <c r="K702" s="323"/>
    </row>
    <row r="703" spans="2:40" ht="24.9" customHeight="1" x14ac:dyDescent="0.2">
      <c r="B703" s="117" t="s">
        <v>1461</v>
      </c>
      <c r="C703" s="117"/>
      <c r="D703" s="112" t="s">
        <v>2412</v>
      </c>
      <c r="E703" s="117" t="s">
        <v>2586</v>
      </c>
      <c r="F703" s="118"/>
      <c r="G703" s="119">
        <f>ROUND(SUM(I703:I713),0)</f>
        <v>1038067</v>
      </c>
      <c r="H703" s="120"/>
      <c r="I703" s="119"/>
      <c r="J703" s="47"/>
      <c r="K703" s="143"/>
    </row>
    <row r="704" spans="2:40" ht="24.9" customHeight="1" x14ac:dyDescent="0.2">
      <c r="B704" s="672" t="s">
        <v>1035</v>
      </c>
      <c r="C704" s="108" t="str">
        <f>+'LISTA DE INSUMOS'!A46</f>
        <v>MAT017</v>
      </c>
      <c r="D704" s="139" t="str">
        <f>+'LISTA DE INSUMOS'!B46</f>
        <v>Tabla para formaleta de 1" x 10" x 2,9 m</v>
      </c>
      <c r="E704" s="108" t="str">
        <f>+'LISTA DE INSUMOS'!C46</f>
        <v>M</v>
      </c>
      <c r="F704" s="140">
        <v>10</v>
      </c>
      <c r="G704" s="141">
        <f>'LISTA DE INSUMOS'!E46</f>
        <v>8112.0359999999991</v>
      </c>
      <c r="H704" s="108">
        <f>1/3</f>
        <v>0.33333333333333331</v>
      </c>
      <c r="I704" s="141">
        <f>ROUND((F704*G704*H704),0)</f>
        <v>27040</v>
      </c>
      <c r="J704" s="47"/>
      <c r="K704" s="143"/>
    </row>
    <row r="705" spans="2:11" ht="24.9" customHeight="1" x14ac:dyDescent="0.2">
      <c r="B705" s="672"/>
      <c r="C705" s="108" t="str">
        <f>+'LISTA DE INSUMOS'!A49</f>
        <v>MAT018</v>
      </c>
      <c r="D705" s="139" t="str">
        <f>+'LISTA DE INSUMOS'!B49</f>
        <v>Cuartón de sajo 2" x 4" x 2,9 m</v>
      </c>
      <c r="E705" s="108" t="str">
        <f>+'LISTA DE INSUMOS'!C49</f>
        <v>M</v>
      </c>
      <c r="F705" s="140">
        <v>6</v>
      </c>
      <c r="G705" s="141">
        <f>'LISTA DE INSUMOS'!E49</f>
        <v>11944.810644542158</v>
      </c>
      <c r="H705" s="108">
        <f>1/3</f>
        <v>0.33333333333333331</v>
      </c>
      <c r="I705" s="141">
        <f>ROUND((F705*G705*H705),0)</f>
        <v>23890</v>
      </c>
      <c r="J705" s="47"/>
      <c r="K705" s="143"/>
    </row>
    <row r="706" spans="2:11" ht="24.9" customHeight="1" x14ac:dyDescent="0.2">
      <c r="B706" s="672"/>
      <c r="C706" s="108" t="str">
        <f>+'LISTA DE INSUMOS'!A51</f>
        <v>MAT020</v>
      </c>
      <c r="D706" s="139" t="str">
        <f>+'LISTA DE INSUMOS'!B51</f>
        <v>Guadua basa longitud promedio = 5 m</v>
      </c>
      <c r="E706" s="108" t="str">
        <f>+'LISTA DE INSUMOS'!C51</f>
        <v>Un</v>
      </c>
      <c r="F706" s="140">
        <v>4</v>
      </c>
      <c r="G706" s="141">
        <f>'LISTA DE INSUMOS'!E51</f>
        <v>8662.3499999999985</v>
      </c>
      <c r="H706" s="108">
        <f>1/3</f>
        <v>0.33333333333333331</v>
      </c>
      <c r="I706" s="141">
        <f>ROUND((F706*G706*H706),0)</f>
        <v>11550</v>
      </c>
      <c r="J706" s="47"/>
      <c r="K706" s="143"/>
    </row>
    <row r="707" spans="2:11" ht="24.9" customHeight="1" x14ac:dyDescent="0.2">
      <c r="B707" s="672"/>
      <c r="C707" s="108" t="str">
        <f>+'LISTA DE INSUMOS'!A52</f>
        <v>MAT021</v>
      </c>
      <c r="D707" s="139" t="str">
        <f>+'LISTA DE INSUMOS'!B52</f>
        <v>Puntilla (promedio)</v>
      </c>
      <c r="E707" s="108" t="str">
        <f>+'LISTA DE INSUMOS'!C52</f>
        <v>Lb</v>
      </c>
      <c r="F707" s="140">
        <v>2</v>
      </c>
      <c r="G707" s="141">
        <f>'LISTA DE INSUMOS'!E52</f>
        <v>6690.6972299999998</v>
      </c>
      <c r="H707" s="108">
        <v>0</v>
      </c>
      <c r="I707" s="141">
        <f>ROUND((F707*G707),0)</f>
        <v>13381</v>
      </c>
      <c r="J707" s="47"/>
      <c r="K707" s="143"/>
    </row>
    <row r="708" spans="2:11" ht="24.9" customHeight="1" x14ac:dyDescent="0.2">
      <c r="B708" s="672"/>
      <c r="C708" s="108" t="str">
        <f>+'LISTA DE INSUMOS'!A53</f>
        <v>MAT022</v>
      </c>
      <c r="D708" s="139" t="str">
        <f>+'LISTA DE INSUMOS'!B53</f>
        <v>Alambre negro calibre 17</v>
      </c>
      <c r="E708" s="108" t="str">
        <f>+'LISTA DE INSUMOS'!C53</f>
        <v>Kg</v>
      </c>
      <c r="F708" s="140">
        <v>1</v>
      </c>
      <c r="G708" s="141">
        <f>'LISTA DE INSUMOS'!E53</f>
        <v>7948.98</v>
      </c>
      <c r="H708" s="108">
        <v>0</v>
      </c>
      <c r="I708" s="141">
        <f>ROUND((F708*G708),0)</f>
        <v>7949</v>
      </c>
      <c r="J708" s="47"/>
      <c r="K708" s="143"/>
    </row>
    <row r="709" spans="2:11" ht="24.9" customHeight="1" x14ac:dyDescent="0.2">
      <c r="B709" s="672"/>
      <c r="C709" s="108" t="str">
        <f>+'LISTA DE INSUMOS'!A93</f>
        <v>MAT051</v>
      </c>
      <c r="D709" s="139" t="str">
        <f>+'LISTA DE INSUMOS'!B93</f>
        <v>Antisol blanco</v>
      </c>
      <c r="E709" s="108" t="str">
        <f>+'LISTA DE INSUMOS'!C93</f>
        <v>Kg</v>
      </c>
      <c r="F709" s="140">
        <v>2</v>
      </c>
      <c r="G709" s="141">
        <f>+'LISTA DE INSUMOS'!E93</f>
        <v>11510.734499999999</v>
      </c>
      <c r="H709" s="108">
        <v>1.03</v>
      </c>
      <c r="I709" s="141">
        <f>ROUND((F709*G709*H709),0)</f>
        <v>23712</v>
      </c>
      <c r="J709" s="47"/>
      <c r="K709" s="143"/>
    </row>
    <row r="710" spans="2:11" ht="24.9" customHeight="1" thickBot="1" x14ac:dyDescent="0.25">
      <c r="B710" s="673"/>
      <c r="C710" s="108" t="str">
        <f>+'LISTA DE INSUMOS'!A67</f>
        <v>MAT034</v>
      </c>
      <c r="D710" s="139" t="str">
        <f>+'LISTA DE INSUMOS'!B67</f>
        <v>ACPM</v>
      </c>
      <c r="E710" s="108" t="str">
        <f>+'LISTA DE INSUMOS'!C67</f>
        <v>Gl</v>
      </c>
      <c r="F710" s="140">
        <v>1</v>
      </c>
      <c r="G710" s="141">
        <f>'LISTA DE INSUMOS'!E67</f>
        <v>9681.4499999999989</v>
      </c>
      <c r="H710" s="108">
        <v>1.05</v>
      </c>
      <c r="I710" s="141">
        <f>ROUND((F710*G710*H710),0)</f>
        <v>10166</v>
      </c>
      <c r="J710" s="47"/>
      <c r="K710" s="143"/>
    </row>
    <row r="711" spans="2:11" ht="24.9" customHeight="1" thickTop="1" thickBot="1" x14ac:dyDescent="0.25">
      <c r="B711" s="191" t="s">
        <v>1310</v>
      </c>
      <c r="C711" s="108" t="str">
        <f>+B544</f>
        <v>ITE092</v>
      </c>
      <c r="D711" s="139" t="str">
        <f>+D544</f>
        <v>Concreto de 20,7 Mpa (3000 psi) (producción)</v>
      </c>
      <c r="E711" s="108" t="str">
        <f>+E544</f>
        <v>M3</v>
      </c>
      <c r="F711" s="140">
        <v>1</v>
      </c>
      <c r="G711" s="141">
        <f>G544</f>
        <v>596118</v>
      </c>
      <c r="H711" s="108">
        <v>1.05</v>
      </c>
      <c r="I711" s="141">
        <f>ROUND((F711*G711*H711),0)</f>
        <v>625924</v>
      </c>
      <c r="J711" s="47"/>
      <c r="K711" s="143"/>
    </row>
    <row r="712" spans="2:11" ht="24.9" customHeight="1" thickTop="1" thickBot="1" x14ac:dyDescent="0.25">
      <c r="B712" s="156" t="s">
        <v>1034</v>
      </c>
      <c r="C712" s="108" t="str">
        <f>+'LISTA DE INSUMOS'!A9</f>
        <v>MOB006</v>
      </c>
      <c r="D712" s="139" t="str">
        <f>+'LISTA DE INSUMOS'!B9</f>
        <v>Cuadrilla A 1 Of + 4 Ay (jornal + prestaciones)</v>
      </c>
      <c r="E712" s="108" t="str">
        <f>+'LISTA DE INSUMOS'!C9</f>
        <v>Día</v>
      </c>
      <c r="F712" s="140">
        <v>1</v>
      </c>
      <c r="G712" s="141">
        <f>'LISTA DE INSUMOS'!E9</f>
        <v>491167</v>
      </c>
      <c r="H712" s="108">
        <v>0.54500000000000004</v>
      </c>
      <c r="I712" s="141">
        <f>ROUND((F712*G712*H712),0)</f>
        <v>267686</v>
      </c>
      <c r="J712" s="47"/>
      <c r="K712" s="143"/>
    </row>
    <row r="713" spans="2:11" ht="24.9" customHeight="1" thickTop="1" thickBot="1" x14ac:dyDescent="0.25">
      <c r="B713" s="150" t="s">
        <v>1033</v>
      </c>
      <c r="C713" s="151" t="str">
        <f>+'LISTA DE INSUMOS'!A758</f>
        <v>EQU002</v>
      </c>
      <c r="D713" s="146" t="str">
        <f>+'LISTA DE INSUMOS'!B758</f>
        <v>Herramienta menor (% mano obra)</v>
      </c>
      <c r="E713" s="145" t="str">
        <f>+'LISTA DE INSUMOS'!C758</f>
        <v>%MO</v>
      </c>
      <c r="F713" s="147">
        <v>0.1</v>
      </c>
      <c r="G713" s="148">
        <f>I712</f>
        <v>267686</v>
      </c>
      <c r="H713" s="145">
        <v>0</v>
      </c>
      <c r="I713" s="148">
        <f>ROUND((F713*G713),0)</f>
        <v>26769</v>
      </c>
      <c r="J713" s="47"/>
      <c r="K713" s="143"/>
    </row>
    <row r="714" spans="2:11" ht="24.9" customHeight="1" x14ac:dyDescent="0.2">
      <c r="B714" s="117" t="s">
        <v>1462</v>
      </c>
      <c r="C714" s="117"/>
      <c r="D714" s="112" t="s">
        <v>2627</v>
      </c>
      <c r="E714" s="117" t="s">
        <v>2586</v>
      </c>
      <c r="F714" s="118"/>
      <c r="G714" s="119">
        <f>ROUND(SUM(I714:I724),0)</f>
        <v>1129228</v>
      </c>
      <c r="H714" s="120"/>
      <c r="I714" s="119"/>
      <c r="J714" s="47"/>
      <c r="K714" s="143"/>
    </row>
    <row r="715" spans="2:11" ht="24.9" customHeight="1" x14ac:dyDescent="0.2">
      <c r="B715" s="672" t="s">
        <v>1035</v>
      </c>
      <c r="C715" s="108" t="str">
        <f>+'LISTA DE INSUMOS'!A46</f>
        <v>MAT017</v>
      </c>
      <c r="D715" s="139" t="str">
        <f>+'LISTA DE INSUMOS'!B46</f>
        <v>Tabla para formaleta de 1" x 10" x 2,9 m</v>
      </c>
      <c r="E715" s="108" t="str">
        <f>+'LISTA DE INSUMOS'!C46</f>
        <v>M</v>
      </c>
      <c r="F715" s="140">
        <v>4</v>
      </c>
      <c r="G715" s="141">
        <f>'LISTA DE INSUMOS'!E46</f>
        <v>8112.0359999999991</v>
      </c>
      <c r="H715" s="108">
        <f>1/3</f>
        <v>0.33333333333333331</v>
      </c>
      <c r="I715" s="141">
        <f>ROUND((F715*G715*H715),0)</f>
        <v>10816</v>
      </c>
      <c r="J715" s="47"/>
      <c r="K715" s="143"/>
    </row>
    <row r="716" spans="2:11" ht="24.9" customHeight="1" x14ac:dyDescent="0.2">
      <c r="B716" s="672"/>
      <c r="C716" s="108" t="str">
        <f>+'LISTA DE INSUMOS'!A50</f>
        <v>MAT019</v>
      </c>
      <c r="D716" s="139" t="str">
        <f>+'LISTA DE INSUMOS'!B50</f>
        <v>Listón sajo de 5 x 3 cm x 2,5 m (varilla)</v>
      </c>
      <c r="E716" s="108" t="str">
        <f>+'LISTA DE INSUMOS'!C50</f>
        <v>M</v>
      </c>
      <c r="F716" s="140">
        <v>2.4</v>
      </c>
      <c r="G716" s="141">
        <f>'LISTA DE INSUMOS'!E50</f>
        <v>7285.5458999999992</v>
      </c>
      <c r="H716" s="108">
        <f>1/3</f>
        <v>0.33333333333333331</v>
      </c>
      <c r="I716" s="141">
        <f>ROUND((F716*G716*H716),0)</f>
        <v>5828</v>
      </c>
      <c r="J716" s="47"/>
      <c r="K716" s="143"/>
    </row>
    <row r="717" spans="2:11" ht="24.9" customHeight="1" x14ac:dyDescent="0.2">
      <c r="B717" s="672"/>
      <c r="C717" s="108" t="str">
        <f>+'LISTA DE INSUMOS'!A52</f>
        <v>MAT021</v>
      </c>
      <c r="D717" s="139" t="str">
        <f>+'LISTA DE INSUMOS'!B52</f>
        <v>Puntilla (promedio)</v>
      </c>
      <c r="E717" s="108" t="str">
        <f>+'LISTA DE INSUMOS'!C52</f>
        <v>Lb</v>
      </c>
      <c r="F717" s="140">
        <v>2</v>
      </c>
      <c r="G717" s="141">
        <f>'LISTA DE INSUMOS'!E52</f>
        <v>6690.6972299999998</v>
      </c>
      <c r="H717" s="108">
        <v>0</v>
      </c>
      <c r="I717" s="141">
        <f>ROUND((F717*G717),0)</f>
        <v>13381</v>
      </c>
      <c r="J717" s="47"/>
      <c r="K717" s="143"/>
    </row>
    <row r="718" spans="2:11" ht="24.9" customHeight="1" x14ac:dyDescent="0.2">
      <c r="B718" s="672"/>
      <c r="C718" s="108" t="str">
        <f>+'LISTA DE INSUMOS'!A93</f>
        <v>MAT051</v>
      </c>
      <c r="D718" s="139" t="str">
        <f>+'LISTA DE INSUMOS'!B93</f>
        <v>Antisol blanco</v>
      </c>
      <c r="E718" s="108" t="str">
        <f>+'LISTA DE INSUMOS'!C93</f>
        <v>Kg</v>
      </c>
      <c r="F718" s="140">
        <v>2</v>
      </c>
      <c r="G718" s="141">
        <f>+'LISTA DE INSUMOS'!E93</f>
        <v>11510.734499999999</v>
      </c>
      <c r="H718" s="108">
        <v>1.03</v>
      </c>
      <c r="I718" s="141">
        <f>ROUND((F718*G718*H718),0)</f>
        <v>23712</v>
      </c>
      <c r="J718" s="47"/>
      <c r="K718" s="143"/>
    </row>
    <row r="719" spans="2:11" ht="24.9" customHeight="1" thickBot="1" x14ac:dyDescent="0.25">
      <c r="B719" s="673"/>
      <c r="C719" s="108" t="str">
        <f>+'LISTA DE INSUMOS'!A67</f>
        <v>MAT034</v>
      </c>
      <c r="D719" s="139" t="str">
        <f>+'LISTA DE INSUMOS'!B67</f>
        <v>ACPM</v>
      </c>
      <c r="E719" s="108" t="str">
        <f>+'LISTA DE INSUMOS'!C67</f>
        <v>Gl</v>
      </c>
      <c r="F719" s="140">
        <v>0.8</v>
      </c>
      <c r="G719" s="141">
        <f>'LISTA DE INSUMOS'!E67</f>
        <v>9681.4499999999989</v>
      </c>
      <c r="H719" s="108">
        <v>1.05</v>
      </c>
      <c r="I719" s="141">
        <f>ROUND((F719*G719*H719),0)</f>
        <v>8132</v>
      </c>
      <c r="J719" s="47"/>
      <c r="K719" s="143"/>
    </row>
    <row r="720" spans="2:11" ht="24.9" customHeight="1" thickTop="1" thickBot="1" x14ac:dyDescent="0.25">
      <c r="B720" s="191" t="s">
        <v>1310</v>
      </c>
      <c r="C720" s="108" t="str">
        <f>+B535</f>
        <v>ITE091</v>
      </c>
      <c r="D720" s="139" t="str">
        <f>+D535</f>
        <v>Concreto de 27,6 Mpa (4000 psi) (producción)</v>
      </c>
      <c r="E720" s="108" t="str">
        <f>+E535</f>
        <v>M3</v>
      </c>
      <c r="F720" s="140">
        <v>1</v>
      </c>
      <c r="G720" s="141">
        <f>+G535</f>
        <v>643985</v>
      </c>
      <c r="H720" s="108">
        <v>1.05</v>
      </c>
      <c r="I720" s="141">
        <f>ROUND((F720*G720*H720),0)</f>
        <v>676184</v>
      </c>
      <c r="J720" s="47"/>
      <c r="K720" s="143"/>
    </row>
    <row r="721" spans="2:11" ht="24.9" customHeight="1" thickTop="1" thickBot="1" x14ac:dyDescent="0.25">
      <c r="B721" s="156" t="s">
        <v>1034</v>
      </c>
      <c r="C721" s="108" t="str">
        <f>+'LISTA DE INSUMOS'!A9</f>
        <v>MOB006</v>
      </c>
      <c r="D721" s="139" t="str">
        <f>+'LISTA DE INSUMOS'!B9</f>
        <v>Cuadrilla A 1 Of + 4 Ay (jornal + prestaciones)</v>
      </c>
      <c r="E721" s="108" t="str">
        <f>+'LISTA DE INSUMOS'!C9</f>
        <v>Día</v>
      </c>
      <c r="F721" s="140">
        <v>1</v>
      </c>
      <c r="G721" s="141">
        <f>'LISTA DE INSUMOS'!E9</f>
        <v>491167</v>
      </c>
      <c r="H721" s="108">
        <v>0.7</v>
      </c>
      <c r="I721" s="141">
        <f>ROUND((F721*G721*H721),0)</f>
        <v>343817</v>
      </c>
      <c r="J721" s="47"/>
      <c r="K721" s="143"/>
    </row>
    <row r="722" spans="2:11" ht="24.9" customHeight="1" thickTop="1" x14ac:dyDescent="0.2">
      <c r="B722" s="674" t="s">
        <v>1033</v>
      </c>
      <c r="C722" s="108" t="str">
        <f>+'LISTA DE INSUMOS'!A758</f>
        <v>EQU002</v>
      </c>
      <c r="D722" s="139" t="str">
        <f>+'LISTA DE INSUMOS'!B758</f>
        <v>Herramienta menor (% mano obra)</v>
      </c>
      <c r="E722" s="108" t="str">
        <f>+'LISTA DE INSUMOS'!C758</f>
        <v>%MO</v>
      </c>
      <c r="F722" s="160">
        <v>0.1</v>
      </c>
      <c r="G722" s="141">
        <f>I721</f>
        <v>343817</v>
      </c>
      <c r="H722" s="108">
        <v>0</v>
      </c>
      <c r="I722" s="141">
        <f>ROUND((F722*G722),0)</f>
        <v>34382</v>
      </c>
      <c r="J722" s="47"/>
      <c r="K722" s="143"/>
    </row>
    <row r="723" spans="2:11" ht="37.5" customHeight="1" thickBot="1" x14ac:dyDescent="0.25">
      <c r="B723" s="675"/>
      <c r="C723" s="108" t="str">
        <f>+'LISTA DE INSUMOS'!A775</f>
        <v>EQU018</v>
      </c>
      <c r="D723" s="139" t="str">
        <f>+'LISTA DE INSUMOS'!B775</f>
        <v>Vibrador eléctrico o a gasolina</v>
      </c>
      <c r="E723" s="108" t="str">
        <f>+'LISTA DE INSUMOS'!C775</f>
        <v>Día</v>
      </c>
      <c r="F723" s="160">
        <v>1</v>
      </c>
      <c r="G723" s="141">
        <f>'LISTA DE INSUMOS'!E775</f>
        <v>42234.2781968536</v>
      </c>
      <c r="H723" s="108">
        <f>1/10</f>
        <v>0.1</v>
      </c>
      <c r="I723" s="141">
        <f>ROUND((F723*G723*H723),0)</f>
        <v>4223</v>
      </c>
      <c r="J723" s="47"/>
      <c r="K723" s="143"/>
    </row>
    <row r="724" spans="2:11" ht="24.9" customHeight="1" thickTop="1" thickBot="1" x14ac:dyDescent="0.25">
      <c r="B724" s="171" t="s">
        <v>421</v>
      </c>
      <c r="C724" s="145" t="str">
        <f>+'LISTA DE INSUMOS'!A823</f>
        <v>ESY001</v>
      </c>
      <c r="D724" s="146" t="str">
        <f>+'LISTA DE INSUMOS'!B823</f>
        <v>Ensayo resistencia concretos (un testigo)</v>
      </c>
      <c r="E724" s="145" t="str">
        <f>+'LISTA DE INSUMOS'!C823</f>
        <v>Un</v>
      </c>
      <c r="F724" s="172">
        <f>1/10*3</f>
        <v>0.30000000000000004</v>
      </c>
      <c r="G724" s="173">
        <f>'LISTA DE INSUMOS'!E823</f>
        <v>29175.946249999997</v>
      </c>
      <c r="H724" s="174">
        <v>0</v>
      </c>
      <c r="I724" s="148">
        <f>ROUND((F724*G724),0)</f>
        <v>8753</v>
      </c>
      <c r="J724" s="47"/>
      <c r="K724" s="143"/>
    </row>
    <row r="725" spans="2:11" ht="24.9" customHeight="1" x14ac:dyDescent="0.2">
      <c r="B725" s="193" t="s">
        <v>3316</v>
      </c>
      <c r="C725" s="108"/>
      <c r="D725" s="112" t="s">
        <v>3317</v>
      </c>
      <c r="E725" s="117" t="s">
        <v>1603</v>
      </c>
      <c r="F725" s="149"/>
      <c r="G725" s="119">
        <f>ROUND(SUM(I726:I732),0)</f>
        <v>28334888</v>
      </c>
      <c r="H725" s="120"/>
      <c r="I725" s="119"/>
      <c r="J725" s="47"/>
      <c r="K725" s="143"/>
    </row>
    <row r="726" spans="2:11" ht="24.9" customHeight="1" x14ac:dyDescent="0.2">
      <c r="B726" s="716" t="s">
        <v>1325</v>
      </c>
      <c r="C726" s="108" t="s">
        <v>2227</v>
      </c>
      <c r="D726" s="139" t="s">
        <v>3318</v>
      </c>
      <c r="E726" s="108" t="s">
        <v>1435</v>
      </c>
      <c r="F726" s="176">
        <v>150</v>
      </c>
      <c r="G726" s="141">
        <v>15000</v>
      </c>
      <c r="H726" s="205">
        <v>1.2</v>
      </c>
      <c r="I726" s="141">
        <f>G726*F726</f>
        <v>2250000</v>
      </c>
      <c r="J726" s="47"/>
      <c r="K726" s="143"/>
    </row>
    <row r="727" spans="2:11" ht="24.9" customHeight="1" x14ac:dyDescent="0.2">
      <c r="B727" s="716"/>
      <c r="C727" s="108" t="s">
        <v>977</v>
      </c>
      <c r="D727" s="139" t="s">
        <v>3224</v>
      </c>
      <c r="E727" s="108" t="s">
        <v>1414</v>
      </c>
      <c r="F727" s="176">
        <v>168</v>
      </c>
      <c r="G727" s="141">
        <f>'LISTA DE INSUMOS'!E207</f>
        <v>5300.1352799999995</v>
      </c>
      <c r="H727" s="205">
        <v>1.03</v>
      </c>
      <c r="I727" s="141">
        <v>830592</v>
      </c>
      <c r="J727" s="47"/>
      <c r="K727" s="143"/>
    </row>
    <row r="728" spans="2:11" ht="24.9" customHeight="1" thickBot="1" x14ac:dyDescent="0.25">
      <c r="B728" s="717"/>
      <c r="C728" s="108" t="s">
        <v>982</v>
      </c>
      <c r="D728" s="139" t="s">
        <v>983</v>
      </c>
      <c r="E728" s="108" t="s">
        <v>1414</v>
      </c>
      <c r="F728" s="176">
        <v>2</v>
      </c>
      <c r="G728" s="141">
        <f>'LISTA DE INSUMOS'!E272</f>
        <v>47590.798034999993</v>
      </c>
      <c r="H728" s="205">
        <v>1.03</v>
      </c>
      <c r="I728" s="141">
        <v>88786</v>
      </c>
      <c r="J728" s="47"/>
      <c r="K728" s="143"/>
    </row>
    <row r="729" spans="2:11" ht="24.9" customHeight="1" thickTop="1" x14ac:dyDescent="0.2">
      <c r="B729" s="753"/>
      <c r="C729" s="108"/>
      <c r="D729" s="139" t="s">
        <v>2486</v>
      </c>
      <c r="E729" s="108" t="s">
        <v>1074</v>
      </c>
      <c r="F729" s="176">
        <v>30</v>
      </c>
      <c r="G729" s="141">
        <f>'ANÁLISIS MANO DE OBRA'!E64</f>
        <v>205231</v>
      </c>
      <c r="H729" s="205">
        <v>1</v>
      </c>
      <c r="I729" s="141">
        <f>H729*G729*F729</f>
        <v>6156930</v>
      </c>
      <c r="J729" s="47"/>
      <c r="K729" s="143"/>
    </row>
    <row r="730" spans="2:11" ht="24.9" customHeight="1" x14ac:dyDescent="0.2">
      <c r="B730" s="753"/>
      <c r="C730" s="108"/>
      <c r="D730" s="139" t="s">
        <v>2489</v>
      </c>
      <c r="E730" s="108" t="s">
        <v>1074</v>
      </c>
      <c r="F730" s="176">
        <v>30</v>
      </c>
      <c r="G730" s="141">
        <f>'ANÁLISIS MANO DE OBRA'!E68</f>
        <v>285858</v>
      </c>
      <c r="H730" s="205">
        <v>1</v>
      </c>
      <c r="I730" s="141">
        <f t="shared" ref="I730:I731" si="13">H730*G730*F730</f>
        <v>8575740</v>
      </c>
      <c r="J730" s="47"/>
      <c r="K730" s="143"/>
    </row>
    <row r="731" spans="2:11" ht="24.9" customHeight="1" x14ac:dyDescent="0.2">
      <c r="B731" s="753"/>
      <c r="C731" s="108"/>
      <c r="D731" s="139" t="s">
        <v>2488</v>
      </c>
      <c r="E731" s="108" t="s">
        <v>1074</v>
      </c>
      <c r="F731" s="176">
        <v>20</v>
      </c>
      <c r="G731" s="141">
        <f>'ANÁLISIS MANO DE OBRA'!E66</f>
        <v>439781</v>
      </c>
      <c r="H731" s="205">
        <v>1</v>
      </c>
      <c r="I731" s="141">
        <f t="shared" si="13"/>
        <v>8795620</v>
      </c>
      <c r="J731" s="47"/>
      <c r="K731" s="143"/>
    </row>
    <row r="732" spans="2:11" ht="24.9" customHeight="1" thickBot="1" x14ac:dyDescent="0.25">
      <c r="B732" s="754"/>
      <c r="C732" s="108" t="s">
        <v>1070</v>
      </c>
      <c r="D732" s="139" t="s">
        <v>2064</v>
      </c>
      <c r="E732" s="108" t="s">
        <v>1074</v>
      </c>
      <c r="F732" s="176">
        <v>20</v>
      </c>
      <c r="G732" s="141">
        <f>'ANÁLISIS MANO DE OBRA'!E30</f>
        <v>81861</v>
      </c>
      <c r="H732" s="205">
        <v>0</v>
      </c>
      <c r="I732" s="141">
        <f>G732*F732</f>
        <v>1637220</v>
      </c>
      <c r="J732" s="47"/>
      <c r="K732" s="143"/>
    </row>
    <row r="733" spans="2:11" ht="24.9" customHeight="1" thickTop="1" x14ac:dyDescent="0.2">
      <c r="B733" s="710" t="s">
        <v>1033</v>
      </c>
      <c r="C733" s="108" t="s">
        <v>1017</v>
      </c>
      <c r="D733" s="139" t="s">
        <v>1029</v>
      </c>
      <c r="E733" s="108" t="s">
        <v>2066</v>
      </c>
      <c r="F733" s="176">
        <v>0.05</v>
      </c>
      <c r="G733" s="141">
        <f>I732</f>
        <v>1637220</v>
      </c>
      <c r="H733" s="205">
        <v>0</v>
      </c>
      <c r="I733" s="141">
        <v>339601</v>
      </c>
      <c r="J733" s="47"/>
      <c r="K733" s="143"/>
    </row>
    <row r="734" spans="2:11" ht="24.9" customHeight="1" thickBot="1" x14ac:dyDescent="0.25">
      <c r="B734" s="711"/>
      <c r="C734" s="108" t="s">
        <v>187</v>
      </c>
      <c r="D734" s="139" t="s">
        <v>188</v>
      </c>
      <c r="E734" s="108" t="s">
        <v>189</v>
      </c>
      <c r="F734" s="176">
        <v>0.25</v>
      </c>
      <c r="G734" s="141">
        <f>(I726+I727+I728)</f>
        <v>3169378</v>
      </c>
      <c r="H734" s="205">
        <v>0</v>
      </c>
      <c r="I734" s="141">
        <v>851382</v>
      </c>
      <c r="J734" s="47"/>
      <c r="K734" s="143"/>
    </row>
    <row r="735" spans="2:11" ht="45.75" customHeight="1" x14ac:dyDescent="0.2">
      <c r="B735" s="117" t="s">
        <v>1453</v>
      </c>
      <c r="C735" s="117"/>
      <c r="D735" s="112" t="s">
        <v>2455</v>
      </c>
      <c r="E735" s="117" t="s">
        <v>2586</v>
      </c>
      <c r="F735" s="118"/>
      <c r="G735" s="119">
        <f>ROUND(SUM(I735:I747),0)</f>
        <v>1210890</v>
      </c>
      <c r="H735" s="120"/>
      <c r="I735" s="119"/>
      <c r="J735" s="47"/>
      <c r="K735" s="143"/>
    </row>
    <row r="736" spans="2:11" ht="20.25" customHeight="1" x14ac:dyDescent="0.2">
      <c r="B736" s="672" t="s">
        <v>1035</v>
      </c>
      <c r="C736" s="108" t="str">
        <f>+'LISTA DE INSUMOS'!A46</f>
        <v>MAT017</v>
      </c>
      <c r="D736" s="139" t="str">
        <f>+'LISTA DE INSUMOS'!B46</f>
        <v>Tabla para formaleta de 1" x 10" x 2,9 m</v>
      </c>
      <c r="E736" s="108" t="str">
        <f>+'LISTA DE INSUMOS'!C46</f>
        <v>M</v>
      </c>
      <c r="F736" s="140">
        <v>12</v>
      </c>
      <c r="G736" s="141">
        <f>'LISTA DE INSUMOS'!E46</f>
        <v>8112.0359999999991</v>
      </c>
      <c r="H736" s="108">
        <f>1/3</f>
        <v>0.33333333333333331</v>
      </c>
      <c r="I736" s="141">
        <f>ROUND((F736*G736*H736),0)</f>
        <v>32448</v>
      </c>
      <c r="J736" s="47"/>
      <c r="K736" s="143"/>
    </row>
    <row r="737" spans="2:11" ht="21.75" customHeight="1" x14ac:dyDescent="0.2">
      <c r="B737" s="672"/>
      <c r="C737" s="108" t="str">
        <f>+'LISTA DE INSUMOS'!A49</f>
        <v>MAT018</v>
      </c>
      <c r="D737" s="139" t="str">
        <f>+'LISTA DE INSUMOS'!B49</f>
        <v>Cuartón de sajo 2" x 4" x 2,9 m</v>
      </c>
      <c r="E737" s="108" t="str">
        <f>+'LISTA DE INSUMOS'!C49</f>
        <v>M</v>
      </c>
      <c r="F737" s="140">
        <v>6</v>
      </c>
      <c r="G737" s="141">
        <f>'LISTA DE INSUMOS'!E49</f>
        <v>11944.810644542158</v>
      </c>
      <c r="H737" s="108">
        <f>1/3</f>
        <v>0.33333333333333331</v>
      </c>
      <c r="I737" s="141">
        <f>ROUND((F737*G737*H737),0)</f>
        <v>23890</v>
      </c>
      <c r="J737" s="47"/>
      <c r="K737" s="143"/>
    </row>
    <row r="738" spans="2:11" ht="24" customHeight="1" x14ac:dyDescent="0.2">
      <c r="B738" s="672"/>
      <c r="C738" s="108" t="str">
        <f>+'LISTA DE INSUMOS'!A51</f>
        <v>MAT020</v>
      </c>
      <c r="D738" s="139" t="str">
        <f>+'LISTA DE INSUMOS'!B51</f>
        <v>Guadua basa longitud promedio = 5 m</v>
      </c>
      <c r="E738" s="108" t="str">
        <f>+'LISTA DE INSUMOS'!C51</f>
        <v>Un</v>
      </c>
      <c r="F738" s="140">
        <v>6</v>
      </c>
      <c r="G738" s="141">
        <f>'LISTA DE INSUMOS'!E51</f>
        <v>8662.3499999999985</v>
      </c>
      <c r="H738" s="108">
        <f>1/3</f>
        <v>0.33333333333333331</v>
      </c>
      <c r="I738" s="141">
        <f>ROUND((F738*G738*H738),0)</f>
        <v>17325</v>
      </c>
      <c r="J738" s="47"/>
      <c r="K738" s="143"/>
    </row>
    <row r="739" spans="2:11" ht="23.25" customHeight="1" x14ac:dyDescent="0.2">
      <c r="B739" s="672"/>
      <c r="C739" s="108" t="str">
        <f>+'LISTA DE INSUMOS'!A52</f>
        <v>MAT021</v>
      </c>
      <c r="D739" s="139" t="str">
        <f>+'LISTA DE INSUMOS'!B52</f>
        <v>Puntilla (promedio)</v>
      </c>
      <c r="E739" s="108" t="str">
        <f>+'LISTA DE INSUMOS'!C52</f>
        <v>Lb</v>
      </c>
      <c r="F739" s="140">
        <v>2</v>
      </c>
      <c r="G739" s="141">
        <f>'LISTA DE INSUMOS'!E52</f>
        <v>6690.6972299999998</v>
      </c>
      <c r="H739" s="108">
        <v>0</v>
      </c>
      <c r="I739" s="141">
        <f>ROUND((F739*G739),0)</f>
        <v>13381</v>
      </c>
      <c r="J739" s="47"/>
      <c r="K739" s="143"/>
    </row>
    <row r="740" spans="2:11" ht="23.25" customHeight="1" x14ac:dyDescent="0.2">
      <c r="B740" s="672"/>
      <c r="C740" s="108" t="str">
        <f>+'LISTA DE INSUMOS'!A53</f>
        <v>MAT022</v>
      </c>
      <c r="D740" s="139" t="str">
        <f>+'LISTA DE INSUMOS'!B53</f>
        <v>Alambre negro calibre 17</v>
      </c>
      <c r="E740" s="108" t="str">
        <f>+'LISTA DE INSUMOS'!C53</f>
        <v>Kg</v>
      </c>
      <c r="F740" s="140">
        <v>0.5</v>
      </c>
      <c r="G740" s="141">
        <f>'LISTA DE INSUMOS'!E53</f>
        <v>7948.98</v>
      </c>
      <c r="H740" s="108">
        <v>0</v>
      </c>
      <c r="I740" s="141">
        <f>ROUND((F740*G740),0)</f>
        <v>3974</v>
      </c>
      <c r="J740" s="47"/>
      <c r="K740" s="143"/>
    </row>
    <row r="741" spans="2:11" ht="21.75" customHeight="1" x14ac:dyDescent="0.2">
      <c r="B741" s="672"/>
      <c r="C741" s="108" t="str">
        <f>+'LISTA DE INSUMOS'!A93</f>
        <v>MAT051</v>
      </c>
      <c r="D741" s="139" t="str">
        <f>+'LISTA DE INSUMOS'!B93</f>
        <v>Antisol blanco</v>
      </c>
      <c r="E741" s="108" t="str">
        <f>+'LISTA DE INSUMOS'!C93</f>
        <v>Kg</v>
      </c>
      <c r="F741" s="140">
        <v>2</v>
      </c>
      <c r="G741" s="141">
        <f>+'LISTA DE INSUMOS'!E93</f>
        <v>11510.734499999999</v>
      </c>
      <c r="H741" s="108">
        <v>1.03</v>
      </c>
      <c r="I741" s="141">
        <f>ROUND((F741*G741*H741),0)</f>
        <v>23712</v>
      </c>
      <c r="J741" s="47"/>
      <c r="K741" s="143"/>
    </row>
    <row r="742" spans="2:11" ht="24" customHeight="1" thickBot="1" x14ac:dyDescent="0.25">
      <c r="B742" s="673"/>
      <c r="C742" s="108" t="str">
        <f>+'LISTA DE INSUMOS'!A67</f>
        <v>MAT034</v>
      </c>
      <c r="D742" s="139" t="str">
        <f>+'LISTA DE INSUMOS'!B67</f>
        <v>ACPM</v>
      </c>
      <c r="E742" s="108" t="str">
        <f>+'LISTA DE INSUMOS'!C67</f>
        <v>Gl</v>
      </c>
      <c r="F742" s="140">
        <v>1.5</v>
      </c>
      <c r="G742" s="141">
        <f>'LISTA DE INSUMOS'!E67</f>
        <v>9681.4499999999989</v>
      </c>
      <c r="H742" s="108">
        <v>1.05</v>
      </c>
      <c r="I742" s="141">
        <f>ROUND((F742*G742*H742),0)</f>
        <v>15248</v>
      </c>
      <c r="J742" s="47"/>
      <c r="K742" s="143"/>
    </row>
    <row r="743" spans="2:11" ht="22.5" customHeight="1" thickTop="1" thickBot="1" x14ac:dyDescent="0.25">
      <c r="B743" s="191" t="s">
        <v>1310</v>
      </c>
      <c r="C743" s="108" t="str">
        <f>+B535</f>
        <v>ITE091</v>
      </c>
      <c r="D743" s="139" t="str">
        <f>+D535</f>
        <v>Concreto de 27,6 Mpa (4000 psi) (producción)</v>
      </c>
      <c r="E743" s="108" t="str">
        <f>+E535</f>
        <v>M3</v>
      </c>
      <c r="F743" s="140">
        <v>1</v>
      </c>
      <c r="G743" s="141">
        <f>+G535</f>
        <v>643985</v>
      </c>
      <c r="H743" s="108">
        <v>1.05</v>
      </c>
      <c r="I743" s="141">
        <f>ROUND((F743*G743*H743),0)</f>
        <v>676184</v>
      </c>
      <c r="J743" s="47"/>
      <c r="K743" s="143"/>
    </row>
    <row r="744" spans="2:11" ht="21" customHeight="1" thickTop="1" thickBot="1" x14ac:dyDescent="0.25">
      <c r="B744" s="156" t="s">
        <v>1034</v>
      </c>
      <c r="C744" s="108" t="str">
        <f>+'LISTA DE INSUMOS'!A9</f>
        <v>MOB006</v>
      </c>
      <c r="D744" s="139" t="str">
        <f>+'LISTA DE INSUMOS'!B9</f>
        <v>Cuadrilla A 1 Of + 4 Ay (jornal + prestaciones)</v>
      </c>
      <c r="E744" s="108" t="str">
        <f>+'LISTA DE INSUMOS'!C9</f>
        <v>Día</v>
      </c>
      <c r="F744" s="140">
        <v>1</v>
      </c>
      <c r="G744" s="141">
        <f>'LISTA DE INSUMOS'!E9</f>
        <v>491167</v>
      </c>
      <c r="H744" s="108">
        <f>1/1.4</f>
        <v>0.7142857142857143</v>
      </c>
      <c r="I744" s="141">
        <f>ROUND((F744*G744*H744),0)</f>
        <v>350834</v>
      </c>
      <c r="J744" s="47"/>
      <c r="K744" s="143"/>
    </row>
    <row r="745" spans="2:11" ht="21.75" customHeight="1" thickTop="1" x14ac:dyDescent="0.2">
      <c r="B745" s="674" t="s">
        <v>1033</v>
      </c>
      <c r="C745" s="108" t="str">
        <f>+'LISTA DE INSUMOS'!A758</f>
        <v>EQU002</v>
      </c>
      <c r="D745" s="139" t="str">
        <f>+'LISTA DE INSUMOS'!B758</f>
        <v>Herramienta menor (% mano obra)</v>
      </c>
      <c r="E745" s="108" t="str">
        <f>+'LISTA DE INSUMOS'!C758</f>
        <v>%MO</v>
      </c>
      <c r="F745" s="160">
        <v>0.1</v>
      </c>
      <c r="G745" s="141">
        <f>I744</f>
        <v>350834</v>
      </c>
      <c r="H745" s="108">
        <v>0</v>
      </c>
      <c r="I745" s="141">
        <f>ROUND((F745*G745),0)</f>
        <v>35083</v>
      </c>
      <c r="J745" s="47"/>
      <c r="K745" s="143"/>
    </row>
    <row r="746" spans="2:11" ht="16.5" customHeight="1" thickBot="1" x14ac:dyDescent="0.25">
      <c r="B746" s="675"/>
      <c r="C746" s="108" t="str">
        <f>+'LISTA DE INSUMOS'!A775</f>
        <v>EQU018</v>
      </c>
      <c r="D746" s="139" t="str">
        <f>+'LISTA DE INSUMOS'!B775</f>
        <v>Vibrador eléctrico o a gasolina</v>
      </c>
      <c r="E746" s="108" t="str">
        <f>+'LISTA DE INSUMOS'!C775</f>
        <v>Día</v>
      </c>
      <c r="F746" s="160">
        <v>1</v>
      </c>
      <c r="G746" s="141">
        <f>'LISTA DE INSUMOS'!E775</f>
        <v>42234.2781968536</v>
      </c>
      <c r="H746" s="108">
        <f>1/10</f>
        <v>0.1</v>
      </c>
      <c r="I746" s="141">
        <f>ROUND((F746*G746*H746),0)</f>
        <v>4223</v>
      </c>
      <c r="J746" s="47"/>
      <c r="K746" s="143"/>
    </row>
    <row r="747" spans="2:11" ht="25.5" customHeight="1" thickTop="1" thickBot="1" x14ac:dyDescent="0.25">
      <c r="B747" s="171" t="s">
        <v>421</v>
      </c>
      <c r="C747" s="145" t="str">
        <f>+'LISTA DE INSUMOS'!A823</f>
        <v>ESY001</v>
      </c>
      <c r="D747" s="146" t="str">
        <f>+'LISTA DE INSUMOS'!B823</f>
        <v>Ensayo resistencia concretos (un testigo)</v>
      </c>
      <c r="E747" s="145" t="str">
        <f>+'LISTA DE INSUMOS'!C823</f>
        <v>Un</v>
      </c>
      <c r="F747" s="172">
        <f>5/10</f>
        <v>0.5</v>
      </c>
      <c r="G747" s="173">
        <f>'LISTA DE INSUMOS'!E823</f>
        <v>29175.946249999997</v>
      </c>
      <c r="H747" s="174">
        <v>0</v>
      </c>
      <c r="I747" s="148">
        <f>ROUND((F747*G747),0)</f>
        <v>14588</v>
      </c>
      <c r="J747" s="47"/>
      <c r="K747" s="143"/>
    </row>
    <row r="748" spans="2:11" ht="24.9" customHeight="1" x14ac:dyDescent="0.2">
      <c r="B748" s="117" t="s">
        <v>1551</v>
      </c>
      <c r="C748" s="117"/>
      <c r="D748" s="112" t="s">
        <v>219</v>
      </c>
      <c r="E748" s="117" t="s">
        <v>2586</v>
      </c>
      <c r="F748" s="118"/>
      <c r="G748" s="119">
        <f>ROUND(SUM(I748:I759),0)</f>
        <v>748864</v>
      </c>
      <c r="H748" s="120"/>
      <c r="I748" s="119"/>
      <c r="J748" s="47"/>
      <c r="K748" s="143"/>
    </row>
    <row r="749" spans="2:11" ht="24.9" customHeight="1" x14ac:dyDescent="0.2">
      <c r="B749" s="672" t="s">
        <v>1035</v>
      </c>
      <c r="C749" s="108" t="str">
        <f>+'LISTA DE INSUMOS'!A46</f>
        <v>MAT017</v>
      </c>
      <c r="D749" s="139" t="str">
        <f>+'LISTA DE INSUMOS'!B46</f>
        <v>Tabla para formaleta de 1" x 10" x 2,9 m</v>
      </c>
      <c r="E749" s="108" t="str">
        <f>+'LISTA DE INSUMOS'!C46</f>
        <v>M</v>
      </c>
      <c r="F749" s="140">
        <v>2</v>
      </c>
      <c r="G749" s="141">
        <f>'LISTA DE INSUMOS'!E46</f>
        <v>8112.0359999999991</v>
      </c>
      <c r="H749" s="108">
        <f>1/3</f>
        <v>0.33333333333333331</v>
      </c>
      <c r="I749" s="141">
        <f t="shared" ref="I749:I754" si="14">ROUND((F749*G749*H749),0)</f>
        <v>5408</v>
      </c>
      <c r="J749" s="47"/>
      <c r="K749" s="143"/>
    </row>
    <row r="750" spans="2:11" ht="24.9" customHeight="1" x14ac:dyDescent="0.2">
      <c r="B750" s="672"/>
      <c r="C750" s="108" t="str">
        <f>+'LISTA DE INSUMOS'!A49</f>
        <v>MAT018</v>
      </c>
      <c r="D750" s="139" t="str">
        <f>+'LISTA DE INSUMOS'!B49</f>
        <v>Cuartón de sajo 2" x 4" x 2,9 m</v>
      </c>
      <c r="E750" s="108" t="str">
        <f>+'LISTA DE INSUMOS'!C49</f>
        <v>M</v>
      </c>
      <c r="F750" s="140">
        <v>3</v>
      </c>
      <c r="G750" s="141">
        <f>'LISTA DE INSUMOS'!E49</f>
        <v>11944.810644542158</v>
      </c>
      <c r="H750" s="108">
        <f>1/3</f>
        <v>0.33333333333333331</v>
      </c>
      <c r="I750" s="141">
        <f t="shared" si="14"/>
        <v>11945</v>
      </c>
      <c r="J750" s="47"/>
      <c r="K750" s="143"/>
    </row>
    <row r="751" spans="2:11" ht="24.9" customHeight="1" x14ac:dyDescent="0.2">
      <c r="B751" s="672"/>
      <c r="C751" s="108" t="str">
        <f>+'LISTA DE INSUMOS'!A51</f>
        <v>MAT020</v>
      </c>
      <c r="D751" s="139" t="str">
        <f>+'LISTA DE INSUMOS'!B51</f>
        <v>Guadua basa longitud promedio = 5 m</v>
      </c>
      <c r="E751" s="108" t="str">
        <f>+'LISTA DE INSUMOS'!C51</f>
        <v>Un</v>
      </c>
      <c r="F751" s="140">
        <v>3</v>
      </c>
      <c r="G751" s="141">
        <f>'LISTA DE INSUMOS'!E51</f>
        <v>8662.3499999999985</v>
      </c>
      <c r="H751" s="108">
        <f>1/3</f>
        <v>0.33333333333333331</v>
      </c>
      <c r="I751" s="141">
        <f t="shared" si="14"/>
        <v>8662</v>
      </c>
      <c r="J751" s="47"/>
      <c r="K751" s="143"/>
    </row>
    <row r="752" spans="2:11" ht="24.9" customHeight="1" x14ac:dyDescent="0.2">
      <c r="B752" s="672"/>
      <c r="C752" s="108" t="str">
        <f>+'LISTA DE INSUMOS'!A52</f>
        <v>MAT021</v>
      </c>
      <c r="D752" s="139" t="str">
        <f>+'LISTA DE INSUMOS'!B52</f>
        <v>Puntilla (promedio)</v>
      </c>
      <c r="E752" s="108" t="str">
        <f>+'LISTA DE INSUMOS'!C52</f>
        <v>Lb</v>
      </c>
      <c r="F752" s="140">
        <v>1</v>
      </c>
      <c r="G752" s="141">
        <f>'LISTA DE INSUMOS'!E52</f>
        <v>6690.6972299999998</v>
      </c>
      <c r="H752" s="108">
        <v>0</v>
      </c>
      <c r="I752" s="141">
        <f>ROUND((F752*G752),0)</f>
        <v>6691</v>
      </c>
      <c r="J752" s="47"/>
      <c r="K752" s="143"/>
    </row>
    <row r="753" spans="2:11" ht="24.9" customHeight="1" x14ac:dyDescent="0.2">
      <c r="B753" s="672"/>
      <c r="C753" s="108" t="str">
        <f>+'LISTA DE INSUMOS'!A53</f>
        <v>MAT022</v>
      </c>
      <c r="D753" s="139" t="str">
        <f>+'LISTA DE INSUMOS'!B53</f>
        <v>Alambre negro calibre 17</v>
      </c>
      <c r="E753" s="108" t="str">
        <f>+'LISTA DE INSUMOS'!C53</f>
        <v>Kg</v>
      </c>
      <c r="F753" s="140">
        <v>0.2</v>
      </c>
      <c r="G753" s="141">
        <f>'LISTA DE INSUMOS'!E53</f>
        <v>7948.98</v>
      </c>
      <c r="H753" s="108">
        <v>0</v>
      </c>
      <c r="I753" s="141">
        <f>ROUND((F753*G753),0)</f>
        <v>1590</v>
      </c>
      <c r="J753" s="47"/>
      <c r="K753" s="143"/>
    </row>
    <row r="754" spans="2:11" ht="24.9" customHeight="1" thickBot="1" x14ac:dyDescent="0.25">
      <c r="B754" s="673"/>
      <c r="C754" s="108" t="str">
        <f>+'LISTA DE INSUMOS'!A67</f>
        <v>MAT034</v>
      </c>
      <c r="D754" s="139" t="str">
        <f>+'LISTA DE INSUMOS'!B67</f>
        <v>ACPM</v>
      </c>
      <c r="E754" s="108" t="str">
        <f>+'LISTA DE INSUMOS'!C67</f>
        <v>Gl</v>
      </c>
      <c r="F754" s="140">
        <v>0.8</v>
      </c>
      <c r="G754" s="141">
        <f>'LISTA DE INSUMOS'!E67</f>
        <v>9681.4499999999989</v>
      </c>
      <c r="H754" s="108">
        <v>1.05</v>
      </c>
      <c r="I754" s="141">
        <f t="shared" si="14"/>
        <v>8132</v>
      </c>
      <c r="J754" s="47"/>
      <c r="K754" s="143"/>
    </row>
    <row r="755" spans="2:11" ht="24.9" customHeight="1" thickTop="1" thickBot="1" x14ac:dyDescent="0.25">
      <c r="B755" s="191" t="s">
        <v>1310</v>
      </c>
      <c r="C755" s="108" t="str">
        <f>+B544</f>
        <v>ITE092</v>
      </c>
      <c r="D755" s="139" t="str">
        <f>+D544</f>
        <v>Concreto de 20,7 Mpa (3000 psi) (producción)</v>
      </c>
      <c r="E755" s="108" t="str">
        <f>+E544</f>
        <v>M3</v>
      </c>
      <c r="F755" s="140">
        <v>1</v>
      </c>
      <c r="G755" s="141">
        <f>G544</f>
        <v>596118</v>
      </c>
      <c r="H755" s="108">
        <v>1.05</v>
      </c>
      <c r="I755" s="141">
        <f>ROUND((F755*G755*H755),0)</f>
        <v>625924</v>
      </c>
      <c r="J755" s="47"/>
      <c r="K755" s="143"/>
    </row>
    <row r="756" spans="2:11" ht="24.9" customHeight="1" thickTop="1" thickBot="1" x14ac:dyDescent="0.25">
      <c r="B756" s="156" t="s">
        <v>1034</v>
      </c>
      <c r="C756" s="108" t="str">
        <f>+'LISTA DE INSUMOS'!A9</f>
        <v>MOB006</v>
      </c>
      <c r="D756" s="139" t="str">
        <f>+'LISTA DE INSUMOS'!B9</f>
        <v>Cuadrilla A 1 Of + 4 Ay (jornal + prestaciones)</v>
      </c>
      <c r="E756" s="108" t="str">
        <f>+'LISTA DE INSUMOS'!C9</f>
        <v>Día</v>
      </c>
      <c r="F756" s="140">
        <v>1</v>
      </c>
      <c r="G756" s="141">
        <f>'LISTA DE INSUMOS'!E9</f>
        <v>491167</v>
      </c>
      <c r="H756" s="108">
        <f>1/8</f>
        <v>0.125</v>
      </c>
      <c r="I756" s="141">
        <f>ROUND((F756*G756*H756),0)</f>
        <v>61396</v>
      </c>
      <c r="J756" s="47"/>
      <c r="K756" s="143"/>
    </row>
    <row r="757" spans="2:11" ht="24.9" customHeight="1" thickTop="1" x14ac:dyDescent="0.2">
      <c r="B757" s="674" t="s">
        <v>1033</v>
      </c>
      <c r="C757" s="108" t="str">
        <f>+'LISTA DE INSUMOS'!A758</f>
        <v>EQU002</v>
      </c>
      <c r="D757" s="139" t="str">
        <f>+'LISTA DE INSUMOS'!B758</f>
        <v>Herramienta menor (% mano obra)</v>
      </c>
      <c r="E757" s="108" t="str">
        <f>+'LISTA DE INSUMOS'!C758</f>
        <v>%MO</v>
      </c>
      <c r="F757" s="140">
        <v>0.1</v>
      </c>
      <c r="G757" s="141">
        <f>+I756</f>
        <v>61396</v>
      </c>
      <c r="H757" s="108">
        <v>0</v>
      </c>
      <c r="I757" s="141">
        <f>ROUND((F757*G757),0)</f>
        <v>6140</v>
      </c>
      <c r="J757" s="47"/>
      <c r="K757" s="143"/>
    </row>
    <row r="758" spans="2:11" ht="24.9" customHeight="1" thickBot="1" x14ac:dyDescent="0.25">
      <c r="B758" s="675"/>
      <c r="C758" s="108" t="str">
        <f>+'LISTA DE INSUMOS'!A775</f>
        <v>EQU018</v>
      </c>
      <c r="D758" s="139" t="str">
        <f>+'LISTA DE INSUMOS'!B775</f>
        <v>Vibrador eléctrico o a gasolina</v>
      </c>
      <c r="E758" s="108" t="str">
        <f>+'LISTA DE INSUMOS'!C775</f>
        <v>Día</v>
      </c>
      <c r="F758" s="160">
        <v>1</v>
      </c>
      <c r="G758" s="141">
        <f>'LISTA DE INSUMOS'!E775</f>
        <v>42234.2781968536</v>
      </c>
      <c r="H758" s="108">
        <f>1/10</f>
        <v>0.1</v>
      </c>
      <c r="I758" s="141">
        <f>ROUND((F758*G758*H758),0)</f>
        <v>4223</v>
      </c>
      <c r="J758" s="47"/>
      <c r="K758" s="143"/>
    </row>
    <row r="759" spans="2:11" ht="24.9" customHeight="1" thickTop="1" thickBot="1" x14ac:dyDescent="0.25">
      <c r="B759" s="171" t="s">
        <v>421</v>
      </c>
      <c r="C759" s="145" t="str">
        <f>+'LISTA DE INSUMOS'!A823</f>
        <v>ESY001</v>
      </c>
      <c r="D759" s="146" t="str">
        <f>+'LISTA DE INSUMOS'!B823</f>
        <v>Ensayo resistencia concretos (un testigo)</v>
      </c>
      <c r="E759" s="145" t="str">
        <f>+'LISTA DE INSUMOS'!C823</f>
        <v>Un</v>
      </c>
      <c r="F759" s="172">
        <f>1/10*3</f>
        <v>0.30000000000000004</v>
      </c>
      <c r="G759" s="173">
        <f>'LISTA DE INSUMOS'!E823</f>
        <v>29175.946249999997</v>
      </c>
      <c r="H759" s="174">
        <v>0</v>
      </c>
      <c r="I759" s="148">
        <f>ROUND((F759*G759),0)</f>
        <v>8753</v>
      </c>
      <c r="J759" s="47"/>
      <c r="K759" s="143"/>
    </row>
    <row r="760" spans="2:11" ht="24.9" customHeight="1" x14ac:dyDescent="0.2">
      <c r="B760" s="117" t="s">
        <v>1536</v>
      </c>
      <c r="C760" s="117"/>
      <c r="D760" s="112" t="s">
        <v>220</v>
      </c>
      <c r="E760" s="117" t="s">
        <v>2586</v>
      </c>
      <c r="F760" s="118"/>
      <c r="G760" s="119">
        <f>ROUND(SUM(I760:I772),0)</f>
        <v>947172</v>
      </c>
      <c r="H760" s="120"/>
      <c r="I760" s="119"/>
      <c r="J760" s="47"/>
      <c r="K760" s="143"/>
    </row>
    <row r="761" spans="2:11" ht="24.9" customHeight="1" x14ac:dyDescent="0.2">
      <c r="B761" s="672" t="s">
        <v>1035</v>
      </c>
      <c r="C761" s="108" t="str">
        <f>+'LISTA DE INSUMOS'!A46</f>
        <v>MAT017</v>
      </c>
      <c r="D761" s="139" t="str">
        <f>+'LISTA DE INSUMOS'!B46</f>
        <v>Tabla para formaleta de 1" x 10" x 2,9 m</v>
      </c>
      <c r="E761" s="108" t="str">
        <f>+'LISTA DE INSUMOS'!C46</f>
        <v>M</v>
      </c>
      <c r="F761" s="140">
        <v>12</v>
      </c>
      <c r="G761" s="141">
        <f>'LISTA DE INSUMOS'!E46</f>
        <v>8112.0359999999991</v>
      </c>
      <c r="H761" s="108">
        <f>1/3</f>
        <v>0.33333333333333331</v>
      </c>
      <c r="I761" s="141">
        <f>ROUND((F761*G761*H761),0)</f>
        <v>32448</v>
      </c>
      <c r="J761" s="47"/>
      <c r="K761" s="143"/>
    </row>
    <row r="762" spans="2:11" ht="24.9" customHeight="1" x14ac:dyDescent="0.2">
      <c r="B762" s="672"/>
      <c r="C762" s="108" t="str">
        <f>+'LISTA DE INSUMOS'!A49</f>
        <v>MAT018</v>
      </c>
      <c r="D762" s="139" t="str">
        <f>+'LISTA DE INSUMOS'!B49</f>
        <v>Cuartón de sajo 2" x 4" x 2,9 m</v>
      </c>
      <c r="E762" s="108" t="str">
        <f>+'LISTA DE INSUMOS'!C49</f>
        <v>M</v>
      </c>
      <c r="F762" s="140">
        <v>6</v>
      </c>
      <c r="G762" s="141">
        <f>'LISTA DE INSUMOS'!E49</f>
        <v>11944.810644542158</v>
      </c>
      <c r="H762" s="108">
        <f>1/3</f>
        <v>0.33333333333333331</v>
      </c>
      <c r="I762" s="141">
        <f>ROUND((F762*G762*H762),0)</f>
        <v>23890</v>
      </c>
      <c r="J762" s="47"/>
      <c r="K762" s="143"/>
    </row>
    <row r="763" spans="2:11" ht="24.9" customHeight="1" x14ac:dyDescent="0.2">
      <c r="B763" s="672"/>
      <c r="C763" s="108" t="str">
        <f>+'LISTA DE INSUMOS'!A51</f>
        <v>MAT020</v>
      </c>
      <c r="D763" s="139" t="str">
        <f>+'LISTA DE INSUMOS'!B51</f>
        <v>Guadua basa longitud promedio = 5 m</v>
      </c>
      <c r="E763" s="108" t="str">
        <f>+'LISTA DE INSUMOS'!C51</f>
        <v>Un</v>
      </c>
      <c r="F763" s="140">
        <v>4</v>
      </c>
      <c r="G763" s="141">
        <f>'LISTA DE INSUMOS'!E51</f>
        <v>8662.3499999999985</v>
      </c>
      <c r="H763" s="108">
        <f>1/3</f>
        <v>0.33333333333333331</v>
      </c>
      <c r="I763" s="141">
        <f>ROUND((F763*G763*H763),0)</f>
        <v>11550</v>
      </c>
      <c r="J763" s="47"/>
      <c r="K763" s="143"/>
    </row>
    <row r="764" spans="2:11" ht="24.9" customHeight="1" x14ac:dyDescent="0.2">
      <c r="B764" s="672"/>
      <c r="C764" s="108" t="str">
        <f>+'LISTA DE INSUMOS'!A52</f>
        <v>MAT021</v>
      </c>
      <c r="D764" s="139" t="str">
        <f>+'LISTA DE INSUMOS'!B52</f>
        <v>Puntilla (promedio)</v>
      </c>
      <c r="E764" s="108" t="str">
        <f>+'LISTA DE INSUMOS'!C52</f>
        <v>Lb</v>
      </c>
      <c r="F764" s="140">
        <v>2</v>
      </c>
      <c r="G764" s="141">
        <f>'LISTA DE INSUMOS'!E52</f>
        <v>6690.6972299999998</v>
      </c>
      <c r="H764" s="108">
        <v>0</v>
      </c>
      <c r="I764" s="141">
        <f>ROUND((F764*G764),0)</f>
        <v>13381</v>
      </c>
      <c r="J764" s="47"/>
      <c r="K764" s="143"/>
    </row>
    <row r="765" spans="2:11" ht="24.9" customHeight="1" x14ac:dyDescent="0.2">
      <c r="B765" s="672"/>
      <c r="C765" s="108" t="str">
        <f>+'LISTA DE INSUMOS'!A53</f>
        <v>MAT022</v>
      </c>
      <c r="D765" s="139" t="str">
        <f>+'LISTA DE INSUMOS'!B53</f>
        <v>Alambre negro calibre 17</v>
      </c>
      <c r="E765" s="108" t="str">
        <f>+'LISTA DE INSUMOS'!C53</f>
        <v>Kg</v>
      </c>
      <c r="F765" s="140">
        <v>1</v>
      </c>
      <c r="G765" s="141">
        <f>'LISTA DE INSUMOS'!E53</f>
        <v>7948.98</v>
      </c>
      <c r="H765" s="108">
        <v>0</v>
      </c>
      <c r="I765" s="141">
        <f>ROUND((F765*G765),0)</f>
        <v>7949</v>
      </c>
      <c r="J765" s="47"/>
      <c r="K765" s="143"/>
    </row>
    <row r="766" spans="2:11" ht="24.9" customHeight="1" x14ac:dyDescent="0.2">
      <c r="B766" s="672"/>
      <c r="C766" s="108" t="str">
        <f>+'LISTA DE INSUMOS'!A93</f>
        <v>MAT051</v>
      </c>
      <c r="D766" s="139" t="str">
        <f>+'LISTA DE INSUMOS'!B93</f>
        <v>Antisol blanco</v>
      </c>
      <c r="E766" s="108" t="str">
        <f>+'LISTA DE INSUMOS'!C93</f>
        <v>Kg</v>
      </c>
      <c r="F766" s="140">
        <v>2</v>
      </c>
      <c r="G766" s="141">
        <f>+'LISTA DE INSUMOS'!E93</f>
        <v>11510.734499999999</v>
      </c>
      <c r="H766" s="108">
        <v>1.03</v>
      </c>
      <c r="I766" s="141">
        <f>ROUND((F766*G766*H766),0)</f>
        <v>23712</v>
      </c>
      <c r="J766" s="47"/>
      <c r="K766" s="143"/>
    </row>
    <row r="767" spans="2:11" ht="24.9" customHeight="1" thickBot="1" x14ac:dyDescent="0.25">
      <c r="B767" s="673"/>
      <c r="C767" s="108" t="str">
        <f>+'LISTA DE INSUMOS'!A67</f>
        <v>MAT034</v>
      </c>
      <c r="D767" s="139" t="str">
        <f>+'LISTA DE INSUMOS'!B67</f>
        <v>ACPM</v>
      </c>
      <c r="E767" s="108" t="str">
        <f>+'LISTA DE INSUMOS'!C67</f>
        <v>Gl</v>
      </c>
      <c r="F767" s="140">
        <v>1.5</v>
      </c>
      <c r="G767" s="141">
        <f>'LISTA DE INSUMOS'!E67</f>
        <v>9681.4499999999989</v>
      </c>
      <c r="H767" s="108">
        <v>1.05</v>
      </c>
      <c r="I767" s="141">
        <f>ROUND((F767*G767*H767),0)</f>
        <v>15248</v>
      </c>
      <c r="J767" s="47"/>
      <c r="K767" s="143"/>
    </row>
    <row r="768" spans="2:11" ht="24.9" customHeight="1" thickTop="1" thickBot="1" x14ac:dyDescent="0.25">
      <c r="B768" s="191" t="s">
        <v>1310</v>
      </c>
      <c r="C768" s="108" t="str">
        <f>+B544</f>
        <v>ITE092</v>
      </c>
      <c r="D768" s="139" t="str">
        <f>+D544</f>
        <v>Concreto de 20,7 Mpa (3000 psi) (producción)</v>
      </c>
      <c r="E768" s="108" t="str">
        <f>+E544</f>
        <v>M3</v>
      </c>
      <c r="F768" s="140">
        <v>1</v>
      </c>
      <c r="G768" s="141">
        <f>G544</f>
        <v>596118</v>
      </c>
      <c r="H768" s="108">
        <v>1.05</v>
      </c>
      <c r="I768" s="141">
        <f>ROUND((F768*G768*H768),0)</f>
        <v>625924</v>
      </c>
      <c r="J768" s="47"/>
      <c r="K768" s="143"/>
    </row>
    <row r="769" spans="2:11" ht="24.9" customHeight="1" thickTop="1" thickBot="1" x14ac:dyDescent="0.25">
      <c r="B769" s="156" t="s">
        <v>1034</v>
      </c>
      <c r="C769" s="108" t="str">
        <f>+'LISTA DE INSUMOS'!A9</f>
        <v>MOB006</v>
      </c>
      <c r="D769" s="139" t="str">
        <f>+'LISTA DE INSUMOS'!B9</f>
        <v>Cuadrilla A 1 Of + 4 Ay (jornal + prestaciones)</v>
      </c>
      <c r="E769" s="108" t="str">
        <f>+'LISTA DE INSUMOS'!C9</f>
        <v>Día</v>
      </c>
      <c r="F769" s="140">
        <v>1</v>
      </c>
      <c r="G769" s="141">
        <f>'LISTA DE INSUMOS'!E9</f>
        <v>491167</v>
      </c>
      <c r="H769" s="108">
        <f>1/3</f>
        <v>0.33333333333333331</v>
      </c>
      <c r="I769" s="141">
        <f>ROUND((F769*G769*H769),0)</f>
        <v>163722</v>
      </c>
      <c r="J769" s="47"/>
      <c r="K769" s="143"/>
    </row>
    <row r="770" spans="2:11" ht="24.9" customHeight="1" thickTop="1" x14ac:dyDescent="0.2">
      <c r="B770" s="674" t="s">
        <v>1033</v>
      </c>
      <c r="C770" s="108" t="str">
        <f>+'LISTA DE INSUMOS'!A758</f>
        <v>EQU002</v>
      </c>
      <c r="D770" s="139" t="str">
        <f>+'LISTA DE INSUMOS'!B758</f>
        <v>Herramienta menor (% mano obra)</v>
      </c>
      <c r="E770" s="108" t="str">
        <f>+'LISTA DE INSUMOS'!C758</f>
        <v>%MO</v>
      </c>
      <c r="F770" s="140">
        <v>0.1</v>
      </c>
      <c r="G770" s="141">
        <f>I769</f>
        <v>163722</v>
      </c>
      <c r="H770" s="108">
        <v>0</v>
      </c>
      <c r="I770" s="141">
        <f>ROUND((F770*G770),0)</f>
        <v>16372</v>
      </c>
      <c r="J770" s="47"/>
      <c r="K770" s="143"/>
    </row>
    <row r="771" spans="2:11" ht="24.9" customHeight="1" thickBot="1" x14ac:dyDescent="0.25">
      <c r="B771" s="675"/>
      <c r="C771" s="108" t="str">
        <f>+'LISTA DE INSUMOS'!A775</f>
        <v>EQU018</v>
      </c>
      <c r="D771" s="139" t="str">
        <f>+'LISTA DE INSUMOS'!B775</f>
        <v>Vibrador eléctrico o a gasolina</v>
      </c>
      <c r="E771" s="108" t="str">
        <f>+'LISTA DE INSUMOS'!C775</f>
        <v>Día</v>
      </c>
      <c r="F771" s="160">
        <v>1</v>
      </c>
      <c r="G771" s="104">
        <f>'LISTA DE INSUMOS'!E775</f>
        <v>42234.2781968536</v>
      </c>
      <c r="H771" s="108">
        <f>1/10</f>
        <v>0.1</v>
      </c>
      <c r="I771" s="141">
        <f>ROUND((F771*G771*H771),0)</f>
        <v>4223</v>
      </c>
      <c r="J771" s="47"/>
      <c r="K771" s="143"/>
    </row>
    <row r="772" spans="2:11" ht="24.9" customHeight="1" thickTop="1" thickBot="1" x14ac:dyDescent="0.25">
      <c r="B772" s="171" t="s">
        <v>421</v>
      </c>
      <c r="C772" s="145" t="str">
        <f>+'LISTA DE INSUMOS'!A823</f>
        <v>ESY001</v>
      </c>
      <c r="D772" s="146" t="str">
        <f>+'LISTA DE INSUMOS'!B823</f>
        <v>Ensayo resistencia concretos (un testigo)</v>
      </c>
      <c r="E772" s="145" t="str">
        <f>+'LISTA DE INSUMOS'!C823</f>
        <v>Un</v>
      </c>
      <c r="F772" s="172">
        <f>1/10*3</f>
        <v>0.30000000000000004</v>
      </c>
      <c r="G772" s="173">
        <f>'LISTA DE INSUMOS'!E823</f>
        <v>29175.946249999997</v>
      </c>
      <c r="H772" s="174">
        <v>0</v>
      </c>
      <c r="I772" s="148">
        <f>ROUND((F772*G772),0)</f>
        <v>8753</v>
      </c>
      <c r="J772" s="47"/>
      <c r="K772" s="143"/>
    </row>
    <row r="773" spans="2:11" s="317" customFormat="1" ht="24.9" hidden="1" customHeight="1" x14ac:dyDescent="0.2">
      <c r="B773" s="319" t="s">
        <v>1552</v>
      </c>
      <c r="C773" s="319"/>
      <c r="D773" s="320" t="s">
        <v>221</v>
      </c>
      <c r="E773" s="319" t="s">
        <v>2586</v>
      </c>
      <c r="F773" s="321"/>
      <c r="G773" s="312">
        <f>ROUND(SUM(I773:I785),0)</f>
        <v>1949319</v>
      </c>
      <c r="H773" s="322"/>
      <c r="I773" s="312"/>
      <c r="J773" s="313"/>
      <c r="K773" s="323"/>
    </row>
    <row r="774" spans="2:11" s="317" customFormat="1" ht="24.9" hidden="1" customHeight="1" x14ac:dyDescent="0.2">
      <c r="B774" s="751" t="s">
        <v>1035</v>
      </c>
      <c r="C774" s="322" t="str">
        <f>+'LISTA DE INSUMOS'!A46</f>
        <v>MAT017</v>
      </c>
      <c r="D774" s="324" t="str">
        <f>+'LISTA DE INSUMOS'!B46</f>
        <v>Tabla para formaleta de 1" x 10" x 2,9 m</v>
      </c>
      <c r="E774" s="322" t="str">
        <f>+'LISTA DE INSUMOS'!C46</f>
        <v>M</v>
      </c>
      <c r="F774" s="325">
        <v>36</v>
      </c>
      <c r="G774" s="312">
        <f>'LISTA DE INSUMOS'!E46</f>
        <v>8112.0359999999991</v>
      </c>
      <c r="H774" s="322">
        <f>1/3</f>
        <v>0.33333333333333331</v>
      </c>
      <c r="I774" s="312">
        <f>ROUND((F774*G774*H774),0)</f>
        <v>97344</v>
      </c>
      <c r="J774" s="313"/>
      <c r="K774" s="323"/>
    </row>
    <row r="775" spans="2:11" s="317" customFormat="1" ht="24.9" hidden="1" customHeight="1" x14ac:dyDescent="0.2">
      <c r="B775" s="751"/>
      <c r="C775" s="322" t="str">
        <f>+'LISTA DE INSUMOS'!A50</f>
        <v>MAT019</v>
      </c>
      <c r="D775" s="324" t="str">
        <f>+'LISTA DE INSUMOS'!B50</f>
        <v>Listón sajo de 5 x 3 cm x 2,5 m (varilla)</v>
      </c>
      <c r="E775" s="322" t="str">
        <f>+'LISTA DE INSUMOS'!C50</f>
        <v>M</v>
      </c>
      <c r="F775" s="325">
        <v>30</v>
      </c>
      <c r="G775" s="312">
        <f>'LISTA DE INSUMOS'!E50</f>
        <v>7285.5458999999992</v>
      </c>
      <c r="H775" s="322">
        <f>1/3</f>
        <v>0.33333333333333331</v>
      </c>
      <c r="I775" s="312">
        <f>ROUND((F775*G775*H775),0)</f>
        <v>72855</v>
      </c>
      <c r="J775" s="313"/>
      <c r="K775" s="323"/>
    </row>
    <row r="776" spans="2:11" s="317" customFormat="1" ht="24.9" hidden="1" customHeight="1" x14ac:dyDescent="0.2">
      <c r="B776" s="751"/>
      <c r="C776" s="322" t="str">
        <f>+'LISTA DE INSUMOS'!A52</f>
        <v>MAT021</v>
      </c>
      <c r="D776" s="324" t="str">
        <f>+'LISTA DE INSUMOS'!B52</f>
        <v>Puntilla (promedio)</v>
      </c>
      <c r="E776" s="322" t="str">
        <f>+'LISTA DE INSUMOS'!C52</f>
        <v>Lb</v>
      </c>
      <c r="F776" s="325">
        <v>3</v>
      </c>
      <c r="G776" s="312">
        <f>+'LISTA DE INSUMOS'!E52</f>
        <v>6690.6972299999998</v>
      </c>
      <c r="H776" s="322">
        <v>0</v>
      </c>
      <c r="I776" s="312">
        <f>ROUND((F776*G776),0)</f>
        <v>20072</v>
      </c>
      <c r="J776" s="313"/>
      <c r="K776" s="323"/>
    </row>
    <row r="777" spans="2:11" s="317" customFormat="1" ht="24.9" hidden="1" customHeight="1" x14ac:dyDescent="0.2">
      <c r="B777" s="751"/>
      <c r="C777" s="322" t="str">
        <f>+'LISTA DE INSUMOS'!A53</f>
        <v>MAT022</v>
      </c>
      <c r="D777" s="324" t="str">
        <f>+'LISTA DE INSUMOS'!B53</f>
        <v>Alambre negro calibre 17</v>
      </c>
      <c r="E777" s="322" t="str">
        <f>+'LISTA DE INSUMOS'!C53</f>
        <v>Kg</v>
      </c>
      <c r="F777" s="325">
        <v>0.5</v>
      </c>
      <c r="G777" s="312">
        <f>+'LISTA DE INSUMOS'!E53</f>
        <v>7948.98</v>
      </c>
      <c r="H777" s="322">
        <v>0</v>
      </c>
      <c r="I777" s="312">
        <f>ROUND((F777*G777),0)</f>
        <v>3974</v>
      </c>
      <c r="J777" s="313"/>
      <c r="K777" s="323"/>
    </row>
    <row r="778" spans="2:11" s="317" customFormat="1" ht="24.9" hidden="1" customHeight="1" x14ac:dyDescent="0.2">
      <c r="B778" s="751"/>
      <c r="C778" s="322" t="str">
        <f>+'LISTA DE INSUMOS'!A93</f>
        <v>MAT051</v>
      </c>
      <c r="D778" s="324" t="str">
        <f>+'LISTA DE INSUMOS'!B93</f>
        <v>Antisol blanco</v>
      </c>
      <c r="E778" s="322" t="str">
        <f>+'LISTA DE INSUMOS'!C93</f>
        <v>Kg</v>
      </c>
      <c r="F778" s="325">
        <v>2.5</v>
      </c>
      <c r="G778" s="312">
        <f>+'LISTA DE INSUMOS'!E93</f>
        <v>11510.734499999999</v>
      </c>
      <c r="H778" s="322">
        <v>1.03</v>
      </c>
      <c r="I778" s="312">
        <f>ROUND((F778*G778*H778),0)</f>
        <v>29640</v>
      </c>
      <c r="J778" s="313"/>
      <c r="K778" s="323"/>
    </row>
    <row r="779" spans="2:11" s="317" customFormat="1" ht="24.9" hidden="1" customHeight="1" thickBot="1" x14ac:dyDescent="0.25">
      <c r="B779" s="752"/>
      <c r="C779" s="322" t="str">
        <f>+'LISTA DE INSUMOS'!A67</f>
        <v>MAT034</v>
      </c>
      <c r="D779" s="324" t="str">
        <f>+'LISTA DE INSUMOS'!B67</f>
        <v>ACPM</v>
      </c>
      <c r="E779" s="322" t="str">
        <f>+'LISTA DE INSUMOS'!C67</f>
        <v>Gl</v>
      </c>
      <c r="F779" s="325">
        <v>1.5</v>
      </c>
      <c r="G779" s="312">
        <f>'LISTA DE INSUMOS'!E67</f>
        <v>9681.4499999999989</v>
      </c>
      <c r="H779" s="322">
        <v>1.05</v>
      </c>
      <c r="I779" s="312">
        <f>ROUND((F779*G779*H779),0)</f>
        <v>15248</v>
      </c>
      <c r="J779" s="313"/>
      <c r="K779" s="323"/>
    </row>
    <row r="780" spans="2:11" s="317" customFormat="1" ht="24.9" hidden="1" customHeight="1" thickTop="1" thickBot="1" x14ac:dyDescent="0.25">
      <c r="B780" s="347" t="s">
        <v>1310</v>
      </c>
      <c r="C780" s="322" t="str">
        <f>+B544</f>
        <v>ITE092</v>
      </c>
      <c r="D780" s="324" t="str">
        <f>+D544</f>
        <v>Concreto de 20,7 Mpa (3000 psi) (producción)</v>
      </c>
      <c r="E780" s="322" t="str">
        <f>+E544</f>
        <v>M3</v>
      </c>
      <c r="F780" s="325">
        <v>1</v>
      </c>
      <c r="G780" s="312">
        <f>G544</f>
        <v>596118</v>
      </c>
      <c r="H780" s="322">
        <v>1.05</v>
      </c>
      <c r="I780" s="312">
        <f>ROUND((F780*G780*H780),0)</f>
        <v>625924</v>
      </c>
      <c r="J780" s="313"/>
      <c r="K780" s="323"/>
    </row>
    <row r="781" spans="2:11" s="317" customFormat="1" ht="24.9" hidden="1" customHeight="1" thickTop="1" thickBot="1" x14ac:dyDescent="0.25">
      <c r="B781" s="342" t="s">
        <v>1034</v>
      </c>
      <c r="C781" s="322" t="str">
        <f>+'LISTA DE INSUMOS'!A9</f>
        <v>MOB006</v>
      </c>
      <c r="D781" s="324" t="str">
        <f>+'LISTA DE INSUMOS'!B9</f>
        <v>Cuadrilla A 1 Of + 4 Ay (jornal + prestaciones)</v>
      </c>
      <c r="E781" s="322" t="str">
        <f>+'LISTA DE INSUMOS'!C9</f>
        <v>Día</v>
      </c>
      <c r="F781" s="325">
        <v>1</v>
      </c>
      <c r="G781" s="312">
        <f>'LISTA DE INSUMOS'!E9</f>
        <v>491167</v>
      </c>
      <c r="H781" s="322">
        <f>1/1</f>
        <v>1</v>
      </c>
      <c r="I781" s="312">
        <f>ROUND((F781*G781*H781),0)</f>
        <v>491167</v>
      </c>
      <c r="J781" s="313"/>
      <c r="K781" s="323"/>
    </row>
    <row r="782" spans="2:11" s="317" customFormat="1" ht="24.9" hidden="1" customHeight="1" thickTop="1" x14ac:dyDescent="0.2">
      <c r="B782" s="693" t="s">
        <v>1033</v>
      </c>
      <c r="C782" s="322" t="str">
        <f>+'LISTA DE INSUMOS'!A758</f>
        <v>EQU002</v>
      </c>
      <c r="D782" s="324" t="str">
        <f>+'LISTA DE INSUMOS'!B758</f>
        <v>Herramienta menor (% mano obra)</v>
      </c>
      <c r="E782" s="322" t="str">
        <f>+'LISTA DE INSUMOS'!C758</f>
        <v>%MO</v>
      </c>
      <c r="F782" s="325">
        <v>0.1</v>
      </c>
      <c r="G782" s="312">
        <f>I781</f>
        <v>491167</v>
      </c>
      <c r="H782" s="322">
        <v>0</v>
      </c>
      <c r="I782" s="312">
        <f>ROUND((F782*G782),0)</f>
        <v>49117</v>
      </c>
      <c r="J782" s="313"/>
      <c r="K782" s="323"/>
    </row>
    <row r="783" spans="2:11" s="317" customFormat="1" ht="24.9" hidden="1" customHeight="1" x14ac:dyDescent="0.2">
      <c r="B783" s="658"/>
      <c r="C783" s="338" t="str">
        <f>+'LISTA DE INSUMOS'!A803</f>
        <v>EQU048</v>
      </c>
      <c r="D783" s="339" t="str">
        <f>+'LISTA DE INSUMOS'!B803</f>
        <v>Sección completa de andamio 1.2 x 1.5 m.</v>
      </c>
      <c r="E783" s="322" t="str">
        <f>+'LISTA DE INSUMOS'!C803</f>
        <v>Día</v>
      </c>
      <c r="F783" s="325">
        <v>15</v>
      </c>
      <c r="G783" s="312">
        <f>'LISTA DE INSUMOS'!E803</f>
        <v>2917.5946249999997</v>
      </c>
      <c r="H783" s="322">
        <f>42/3.5</f>
        <v>12</v>
      </c>
      <c r="I783" s="312">
        <f>ROUND((F783*G783*H783),0)</f>
        <v>525167</v>
      </c>
      <c r="J783" s="313"/>
      <c r="K783" s="323"/>
    </row>
    <row r="784" spans="2:11" s="317" customFormat="1" ht="24.9" hidden="1" customHeight="1" thickBot="1" x14ac:dyDescent="0.25">
      <c r="B784" s="668"/>
      <c r="C784" s="322" t="str">
        <f>+'LISTA DE INSUMOS'!A775</f>
        <v>EQU018</v>
      </c>
      <c r="D784" s="324" t="str">
        <f>+'LISTA DE INSUMOS'!B775</f>
        <v>Vibrador eléctrico o a gasolina</v>
      </c>
      <c r="E784" s="322" t="str">
        <f>+'LISTA DE INSUMOS'!C775</f>
        <v>Día</v>
      </c>
      <c r="F784" s="332">
        <v>1</v>
      </c>
      <c r="G784" s="312">
        <f>'LISTA DE INSUMOS'!E775</f>
        <v>42234.2781968536</v>
      </c>
      <c r="H784" s="322">
        <f>1/10</f>
        <v>0.1</v>
      </c>
      <c r="I784" s="312">
        <f>ROUND((F784*G784*H784),0)</f>
        <v>4223</v>
      </c>
      <c r="J784" s="313"/>
      <c r="K784" s="323"/>
    </row>
    <row r="785" spans="2:11" s="317" customFormat="1" ht="24.9" hidden="1" customHeight="1" thickTop="1" thickBot="1" x14ac:dyDescent="0.25">
      <c r="B785" s="343" t="s">
        <v>421</v>
      </c>
      <c r="C785" s="329" t="str">
        <f>+'LISTA DE INSUMOS'!A823</f>
        <v>ESY001</v>
      </c>
      <c r="D785" s="328" t="str">
        <f>+'LISTA DE INSUMOS'!B823</f>
        <v>Ensayo resistencia concretos (un testigo)</v>
      </c>
      <c r="E785" s="329" t="str">
        <f>+'LISTA DE INSUMOS'!C823</f>
        <v>Un</v>
      </c>
      <c r="F785" s="344">
        <f>5/10</f>
        <v>0.5</v>
      </c>
      <c r="G785" s="345">
        <f>'LISTA DE INSUMOS'!E823</f>
        <v>29175.946249999997</v>
      </c>
      <c r="H785" s="346">
        <v>0</v>
      </c>
      <c r="I785" s="331">
        <f>ROUND((F785*G785),0)</f>
        <v>14588</v>
      </c>
      <c r="J785" s="313"/>
      <c r="K785" s="323"/>
    </row>
    <row r="786" spans="2:11" s="317" customFormat="1" ht="24.9" hidden="1" customHeight="1" x14ac:dyDescent="0.2">
      <c r="B786" s="319" t="s">
        <v>2056</v>
      </c>
      <c r="C786" s="319"/>
      <c r="D786" s="320" t="s">
        <v>2402</v>
      </c>
      <c r="E786" s="319" t="s">
        <v>2585</v>
      </c>
      <c r="F786" s="321"/>
      <c r="G786" s="312">
        <f>ROUND(SUM(I786:I798),0)</f>
        <v>307962</v>
      </c>
      <c r="H786" s="322"/>
      <c r="I786" s="312"/>
      <c r="J786" s="313"/>
      <c r="K786" s="323"/>
    </row>
    <row r="787" spans="2:11" s="317" customFormat="1" ht="24.9" hidden="1" customHeight="1" x14ac:dyDescent="0.2">
      <c r="B787" s="751" t="s">
        <v>1035</v>
      </c>
      <c r="C787" s="322" t="str">
        <f>+'LISTA DE INSUMOS'!A46</f>
        <v>MAT017</v>
      </c>
      <c r="D787" s="324" t="str">
        <f>+'LISTA DE INSUMOS'!B46</f>
        <v>Tabla para formaleta de 1" x 10" x 2,9 m</v>
      </c>
      <c r="E787" s="322" t="str">
        <f>+'LISTA DE INSUMOS'!C46</f>
        <v>M</v>
      </c>
      <c r="F787" s="325">
        <v>4</v>
      </c>
      <c r="G787" s="312">
        <f>'LISTA DE INSUMOS'!E46</f>
        <v>8112.0359999999991</v>
      </c>
      <c r="H787" s="322">
        <f>1/3</f>
        <v>0.33333333333333331</v>
      </c>
      <c r="I787" s="312">
        <f>ROUND((F787*G787*H787),0)</f>
        <v>10816</v>
      </c>
      <c r="J787" s="313"/>
      <c r="K787" s="323"/>
    </row>
    <row r="788" spans="2:11" s="317" customFormat="1" ht="24.9" hidden="1" customHeight="1" x14ac:dyDescent="0.2">
      <c r="B788" s="751"/>
      <c r="C788" s="322" t="str">
        <f>+'LISTA DE INSUMOS'!A49</f>
        <v>MAT018</v>
      </c>
      <c r="D788" s="324" t="str">
        <f>+'LISTA DE INSUMOS'!B49</f>
        <v>Cuartón de sajo 2" x 4" x 2,9 m</v>
      </c>
      <c r="E788" s="322" t="str">
        <f>+'LISTA DE INSUMOS'!C49</f>
        <v>M</v>
      </c>
      <c r="F788" s="325">
        <v>2</v>
      </c>
      <c r="G788" s="312">
        <f>'LISTA DE INSUMOS'!E49</f>
        <v>11944.810644542158</v>
      </c>
      <c r="H788" s="322">
        <f>1/3</f>
        <v>0.33333333333333331</v>
      </c>
      <c r="I788" s="312">
        <f>ROUND((F788*G788*H788),0)</f>
        <v>7963</v>
      </c>
      <c r="J788" s="313"/>
      <c r="K788" s="323"/>
    </row>
    <row r="789" spans="2:11" s="317" customFormat="1" ht="24.9" hidden="1" customHeight="1" x14ac:dyDescent="0.2">
      <c r="B789" s="751"/>
      <c r="C789" s="322" t="str">
        <f>+'LISTA DE INSUMOS'!A50</f>
        <v>MAT019</v>
      </c>
      <c r="D789" s="324" t="str">
        <f>+'LISTA DE INSUMOS'!B50</f>
        <v>Listón sajo de 5 x 3 cm x 2,5 m (varilla)</v>
      </c>
      <c r="E789" s="322" t="str">
        <f>+'LISTA DE INSUMOS'!C50</f>
        <v>M</v>
      </c>
      <c r="F789" s="325">
        <v>2</v>
      </c>
      <c r="G789" s="312">
        <f>'LISTA DE INSUMOS'!E50</f>
        <v>7285.5458999999992</v>
      </c>
      <c r="H789" s="322">
        <f>1/3</f>
        <v>0.33333333333333331</v>
      </c>
      <c r="I789" s="312">
        <f>ROUND((F789*G789*H789),0)</f>
        <v>4857</v>
      </c>
      <c r="J789" s="313"/>
      <c r="K789" s="323"/>
    </row>
    <row r="790" spans="2:11" s="317" customFormat="1" ht="24.9" hidden="1" customHeight="1" x14ac:dyDescent="0.2">
      <c r="B790" s="751"/>
      <c r="C790" s="322" t="str">
        <f>'LISTA DE INSUMOS'!A52</f>
        <v>MAT021</v>
      </c>
      <c r="D790" s="324" t="str">
        <f>'LISTA DE INSUMOS'!B52</f>
        <v>Puntilla (promedio)</v>
      </c>
      <c r="E790" s="322" t="str">
        <f>'LISTA DE INSUMOS'!C52</f>
        <v>Lb</v>
      </c>
      <c r="F790" s="325">
        <v>0.5</v>
      </c>
      <c r="G790" s="312">
        <f>'LISTA DE INSUMOS'!E52</f>
        <v>6690.6972299999998</v>
      </c>
      <c r="H790" s="322">
        <v>0</v>
      </c>
      <c r="I790" s="312">
        <f>ROUND((F790*G790),0)</f>
        <v>3345</v>
      </c>
      <c r="J790" s="313"/>
      <c r="K790" s="323"/>
    </row>
    <row r="791" spans="2:11" s="317" customFormat="1" ht="24.9" hidden="1" customHeight="1" x14ac:dyDescent="0.2">
      <c r="B791" s="751"/>
      <c r="C791" s="322" t="str">
        <f>'LISTA DE INSUMOS'!A93</f>
        <v>MAT051</v>
      </c>
      <c r="D791" s="324" t="str">
        <f>'LISTA DE INSUMOS'!B93</f>
        <v>Antisol blanco</v>
      </c>
      <c r="E791" s="322" t="str">
        <f>'LISTA DE INSUMOS'!C93</f>
        <v>Kg</v>
      </c>
      <c r="F791" s="325">
        <f>1/5</f>
        <v>0.2</v>
      </c>
      <c r="G791" s="312">
        <f>+'LISTA DE INSUMOS'!E93</f>
        <v>11510.734499999999</v>
      </c>
      <c r="H791" s="322">
        <v>1.03</v>
      </c>
      <c r="I791" s="312">
        <f>ROUND((F791*G791*H791),0)</f>
        <v>2371</v>
      </c>
      <c r="J791" s="313"/>
      <c r="K791" s="323"/>
    </row>
    <row r="792" spans="2:11" s="317" customFormat="1" ht="24.9" hidden="1" customHeight="1" thickBot="1" x14ac:dyDescent="0.25">
      <c r="B792" s="752"/>
      <c r="C792" s="322" t="str">
        <f>'LISTA DE INSUMOS'!A67</f>
        <v>MAT034</v>
      </c>
      <c r="D792" s="324" t="str">
        <f>'LISTA DE INSUMOS'!B67</f>
        <v>ACPM</v>
      </c>
      <c r="E792" s="322" t="str">
        <f>'LISTA DE INSUMOS'!C67</f>
        <v>Gl</v>
      </c>
      <c r="F792" s="325">
        <v>0.2</v>
      </c>
      <c r="G792" s="312">
        <f>'LISTA DE INSUMOS'!E67</f>
        <v>9681.4499999999989</v>
      </c>
      <c r="H792" s="322">
        <v>1.05</v>
      </c>
      <c r="I792" s="312">
        <f>ROUND((F792*G792*H792),0)</f>
        <v>2033</v>
      </c>
      <c r="J792" s="313"/>
      <c r="K792" s="323"/>
    </row>
    <row r="793" spans="2:11" s="317" customFormat="1" ht="24.9" hidden="1" customHeight="1" thickTop="1" thickBot="1" x14ac:dyDescent="0.25">
      <c r="B793" s="347" t="s">
        <v>1310</v>
      </c>
      <c r="C793" s="322" t="str">
        <f>+B544</f>
        <v>ITE092</v>
      </c>
      <c r="D793" s="324" t="str">
        <f>+D544</f>
        <v>Concreto de 20,7 Mpa (3000 psi) (producción)</v>
      </c>
      <c r="E793" s="322" t="str">
        <f>+E544</f>
        <v>M3</v>
      </c>
      <c r="F793" s="325">
        <v>0.3</v>
      </c>
      <c r="G793" s="312">
        <f>G544</f>
        <v>596118</v>
      </c>
      <c r="H793" s="322">
        <v>1.05</v>
      </c>
      <c r="I793" s="312">
        <f>ROUND((F793*G793*H793),0)</f>
        <v>187777</v>
      </c>
      <c r="J793" s="313"/>
      <c r="K793" s="323"/>
    </row>
    <row r="794" spans="2:11" s="317" customFormat="1" ht="24.9" hidden="1" customHeight="1" thickTop="1" thickBot="1" x14ac:dyDescent="0.25">
      <c r="B794" s="342" t="s">
        <v>1034</v>
      </c>
      <c r="C794" s="322" t="str">
        <f>+'LISTA DE INSUMOS'!A9</f>
        <v>MOB006</v>
      </c>
      <c r="D794" s="324" t="str">
        <f>+'LISTA DE INSUMOS'!B9</f>
        <v>Cuadrilla A 1 Of + 4 Ay (jornal + prestaciones)</v>
      </c>
      <c r="E794" s="322" t="str">
        <f>+'LISTA DE INSUMOS'!C9</f>
        <v>Día</v>
      </c>
      <c r="F794" s="325">
        <v>1</v>
      </c>
      <c r="G794" s="312">
        <f>'LISTA DE INSUMOS'!E9</f>
        <v>491167</v>
      </c>
      <c r="H794" s="322">
        <f>1/10</f>
        <v>0.1</v>
      </c>
      <c r="I794" s="312">
        <f>ROUND((F794*G794*H794),0)</f>
        <v>49117</v>
      </c>
      <c r="J794" s="313"/>
      <c r="K794" s="323"/>
    </row>
    <row r="795" spans="2:11" s="317" customFormat="1" ht="24.9" hidden="1" customHeight="1" thickTop="1" x14ac:dyDescent="0.2">
      <c r="B795" s="693" t="s">
        <v>1033</v>
      </c>
      <c r="C795" s="322" t="str">
        <f>'LISTA DE INSUMOS'!A758</f>
        <v>EQU002</v>
      </c>
      <c r="D795" s="324" t="str">
        <f>'LISTA DE INSUMOS'!B758</f>
        <v>Herramienta menor (% mano obra)</v>
      </c>
      <c r="E795" s="322" t="str">
        <f>'LISTA DE INSUMOS'!C758</f>
        <v>%MO</v>
      </c>
      <c r="F795" s="325">
        <v>0.1</v>
      </c>
      <c r="G795" s="312">
        <f>I794</f>
        <v>49117</v>
      </c>
      <c r="H795" s="322">
        <v>0</v>
      </c>
      <c r="I795" s="312">
        <f>ROUND((F795*G795),0)</f>
        <v>4912</v>
      </c>
      <c r="J795" s="313"/>
      <c r="K795" s="323"/>
    </row>
    <row r="796" spans="2:11" s="317" customFormat="1" ht="24.9" hidden="1" customHeight="1" x14ac:dyDescent="0.2">
      <c r="B796" s="658"/>
      <c r="C796" s="338" t="str">
        <f>'LISTA DE INSUMOS'!A803</f>
        <v>EQU048</v>
      </c>
      <c r="D796" s="339" t="str">
        <f>'LISTA DE INSUMOS'!B803</f>
        <v>Sección completa de andamio 1.2 x 1.5 m.</v>
      </c>
      <c r="E796" s="322" t="str">
        <f>'LISTA DE INSUMOS'!C803</f>
        <v>Día</v>
      </c>
      <c r="F796" s="325">
        <v>15</v>
      </c>
      <c r="G796" s="312">
        <f>'LISTA DE INSUMOS'!E803</f>
        <v>2917.5946249999997</v>
      </c>
      <c r="H796" s="322">
        <f>30/72</f>
        <v>0.41666666666666669</v>
      </c>
      <c r="I796" s="312">
        <f>ROUND((F796*G796*H796),0)</f>
        <v>18235</v>
      </c>
      <c r="J796" s="313"/>
      <c r="K796" s="323"/>
    </row>
    <row r="797" spans="2:11" s="317" customFormat="1" ht="24.9" hidden="1" customHeight="1" thickBot="1" x14ac:dyDescent="0.25">
      <c r="B797" s="668"/>
      <c r="C797" s="322" t="str">
        <f>'LISTA DE INSUMOS'!A775</f>
        <v>EQU018</v>
      </c>
      <c r="D797" s="324" t="str">
        <f>'LISTA DE INSUMOS'!B775</f>
        <v>Vibrador eléctrico o a gasolina</v>
      </c>
      <c r="E797" s="322" t="str">
        <f>'LISTA DE INSUMOS'!C775</f>
        <v>Día</v>
      </c>
      <c r="F797" s="332">
        <v>1</v>
      </c>
      <c r="G797" s="312">
        <f>'LISTA DE INSUMOS'!E775</f>
        <v>42234.2781968536</v>
      </c>
      <c r="H797" s="322">
        <f>1/2.6</f>
        <v>0.38461538461538458</v>
      </c>
      <c r="I797" s="312">
        <f>ROUND((F797*G797*H797),0)</f>
        <v>16244</v>
      </c>
      <c r="J797" s="313"/>
      <c r="K797" s="323"/>
    </row>
    <row r="798" spans="2:11" s="317" customFormat="1" ht="24.9" hidden="1" customHeight="1" thickTop="1" thickBot="1" x14ac:dyDescent="0.25">
      <c r="B798" s="343" t="s">
        <v>421</v>
      </c>
      <c r="C798" s="329" t="str">
        <f>'LISTA DE INSUMOS'!A823</f>
        <v>ESY001</v>
      </c>
      <c r="D798" s="328" t="str">
        <f>'LISTA DE INSUMOS'!B823</f>
        <v>Ensayo resistencia concretos (un testigo)</v>
      </c>
      <c r="E798" s="329" t="str">
        <f>'LISTA DE INSUMOS'!C823</f>
        <v>Un</v>
      </c>
      <c r="F798" s="344">
        <f>5/500</f>
        <v>0.01</v>
      </c>
      <c r="G798" s="345">
        <f>'LISTA DE INSUMOS'!E823</f>
        <v>29175.946249999997</v>
      </c>
      <c r="H798" s="346">
        <v>0</v>
      </c>
      <c r="I798" s="331">
        <f>ROUND((F798*G798),0)</f>
        <v>292</v>
      </c>
      <c r="J798" s="313"/>
      <c r="K798" s="323"/>
    </row>
    <row r="799" spans="2:11" ht="24.9" customHeight="1" x14ac:dyDescent="0.2">
      <c r="B799" s="117" t="s">
        <v>2317</v>
      </c>
      <c r="C799" s="120"/>
      <c r="D799" s="112" t="s">
        <v>222</v>
      </c>
      <c r="E799" s="117" t="s">
        <v>2585</v>
      </c>
      <c r="F799" s="149"/>
      <c r="G799" s="119">
        <f>ROUND(SUM(I800:I811),0)</f>
        <v>180310</v>
      </c>
      <c r="H799" s="120"/>
      <c r="I799" s="119"/>
      <c r="J799" s="47">
        <f>756933*0.15</f>
        <v>113539.95</v>
      </c>
      <c r="K799" s="143"/>
    </row>
    <row r="800" spans="2:11" ht="24.9" customHeight="1" x14ac:dyDescent="0.2">
      <c r="B800" s="657" t="s">
        <v>1325</v>
      </c>
      <c r="C800" s="108" t="str">
        <f>'LISTA DE INSUMOS'!A93</f>
        <v>MAT051</v>
      </c>
      <c r="D800" s="139" t="str">
        <f>'LISTA DE INSUMOS'!B93</f>
        <v>Antisol blanco</v>
      </c>
      <c r="E800" s="108" t="str">
        <f>'LISTA DE INSUMOS'!C93</f>
        <v>Kg</v>
      </c>
      <c r="F800" s="140">
        <f>1/5</f>
        <v>0.2</v>
      </c>
      <c r="G800" s="141">
        <f>'LISTA DE INSUMOS'!E93</f>
        <v>11510.734499999999</v>
      </c>
      <c r="H800" s="108">
        <v>1.03</v>
      </c>
      <c r="I800" s="141">
        <f>ROUND((F800*G800*H800),0)</f>
        <v>2371</v>
      </c>
      <c r="J800" s="47"/>
      <c r="K800" s="143"/>
    </row>
    <row r="801" spans="2:11" ht="24.9" customHeight="1" thickBot="1" x14ac:dyDescent="0.25">
      <c r="B801" s="659"/>
      <c r="C801" s="108" t="str">
        <f>'LISTA DE INSUMOS'!A267</f>
        <v>MAT237</v>
      </c>
      <c r="D801" s="139" t="str">
        <f>'LISTA DE INSUMOS'!B267</f>
        <v>Manguera negra 1" rollo x 100 m</v>
      </c>
      <c r="E801" s="108" t="str">
        <f>'LISTA DE INSUMOS'!C267</f>
        <v>M</v>
      </c>
      <c r="F801" s="176">
        <v>4</v>
      </c>
      <c r="G801" s="141">
        <f>'LISTA DE INSUMOS'!E267</f>
        <v>1886.8304925624</v>
      </c>
      <c r="H801" s="108">
        <v>0</v>
      </c>
      <c r="I801" s="141">
        <f>ROUND((F801*G801),0)</f>
        <v>7547</v>
      </c>
      <c r="J801" s="47"/>
      <c r="K801" s="143"/>
    </row>
    <row r="802" spans="2:11" ht="24.9" customHeight="1" thickTop="1" x14ac:dyDescent="0.2">
      <c r="B802" s="701" t="s">
        <v>1310</v>
      </c>
      <c r="C802" s="108" t="str">
        <f>+B4090</f>
        <v>ITE383</v>
      </c>
      <c r="D802" s="167" t="str">
        <f>+D4090</f>
        <v>Sello de junta para pavimento</v>
      </c>
      <c r="E802" s="108" t="str">
        <f>+E4090</f>
        <v>M</v>
      </c>
      <c r="F802" s="140">
        <v>0.64</v>
      </c>
      <c r="G802" s="141">
        <f>G4090</f>
        <v>1773</v>
      </c>
      <c r="H802" s="108">
        <v>0</v>
      </c>
      <c r="I802" s="141">
        <f>ROUND((F802*G802),0)</f>
        <v>1135</v>
      </c>
      <c r="J802" s="47"/>
      <c r="K802" s="143"/>
    </row>
    <row r="803" spans="2:11" ht="24.9" customHeight="1" x14ac:dyDescent="0.2">
      <c r="B803" s="702"/>
      <c r="C803" s="108" t="str">
        <f>+B544</f>
        <v>ITE092</v>
      </c>
      <c r="D803" s="139" t="str">
        <f>+D544</f>
        <v>Concreto de 20,7 Mpa (3000 psi) (producción)</v>
      </c>
      <c r="E803" s="108" t="str">
        <f>+E544</f>
        <v>M3</v>
      </c>
      <c r="F803" s="140">
        <v>0.15</v>
      </c>
      <c r="G803" s="141">
        <f>G544</f>
        <v>596118</v>
      </c>
      <c r="H803" s="108">
        <v>1.05</v>
      </c>
      <c r="I803" s="141">
        <f>ROUND((F803*G803*H803),0)</f>
        <v>93889</v>
      </c>
      <c r="J803" s="47"/>
      <c r="K803" s="143"/>
    </row>
    <row r="804" spans="2:11" ht="24.9" customHeight="1" x14ac:dyDescent="0.2">
      <c r="B804" s="702"/>
      <c r="C804" s="108" t="str">
        <f>+B587</f>
        <v>ITE98</v>
      </c>
      <c r="D804" s="139" t="str">
        <f>+D587</f>
        <v>Acero Fy = 60.000 psi d&gt;1/4"</v>
      </c>
      <c r="E804" s="108" t="str">
        <f>+E587</f>
        <v>Kg</v>
      </c>
      <c r="F804" s="140">
        <v>1.8</v>
      </c>
      <c r="G804" s="141">
        <f>G587</f>
        <v>7240</v>
      </c>
      <c r="H804" s="108">
        <v>0</v>
      </c>
      <c r="I804" s="141">
        <f>ROUND((F804*G804),0)</f>
        <v>13032</v>
      </c>
      <c r="J804" s="47"/>
      <c r="K804" s="143"/>
    </row>
    <row r="805" spans="2:11" ht="24.9" customHeight="1" thickBot="1" x14ac:dyDescent="0.25">
      <c r="B805" s="702"/>
      <c r="C805" s="108" t="str">
        <f>+B452</f>
        <v>ITE073</v>
      </c>
      <c r="D805" s="167" t="str">
        <f>+D452</f>
        <v>Corte de pavimento rígido con cortadora autopropulsada</v>
      </c>
      <c r="E805" s="108" t="str">
        <f>+E452</f>
        <v>M</v>
      </c>
      <c r="F805" s="140">
        <v>0.64</v>
      </c>
      <c r="G805" s="141">
        <f>G452</f>
        <v>13164</v>
      </c>
      <c r="H805" s="108">
        <v>0</v>
      </c>
      <c r="I805" s="141">
        <f>ROUND((F805*G805),0)</f>
        <v>8425</v>
      </c>
      <c r="J805" s="47"/>
      <c r="K805" s="143"/>
    </row>
    <row r="806" spans="2:11" ht="24.9" customHeight="1" thickTop="1" thickBot="1" x14ac:dyDescent="0.25">
      <c r="B806" s="158" t="s">
        <v>1034</v>
      </c>
      <c r="C806" s="125" t="str">
        <f>+'LISTA DE INSUMOS'!A16</f>
        <v>MOB013</v>
      </c>
      <c r="D806" s="155" t="str">
        <f>+'LISTA DE INSUMOS'!B16</f>
        <v>Cuadrilla C 1 Of + 7 Ay (jornal + prestaciones)</v>
      </c>
      <c r="E806" s="125" t="str">
        <f>+'LISTA DE INSUMOS'!C16</f>
        <v>Día</v>
      </c>
      <c r="F806" s="140">
        <v>1</v>
      </c>
      <c r="G806" s="141">
        <f>'LISTA DE INSUMOS'!E16</f>
        <v>736750</v>
      </c>
      <c r="H806" s="108">
        <f>1/20</f>
        <v>0.05</v>
      </c>
      <c r="I806" s="141">
        <f>ROUND((F806*G806*H806),0)</f>
        <v>36838</v>
      </c>
      <c r="J806" s="47"/>
      <c r="K806" s="143"/>
    </row>
    <row r="807" spans="2:11" ht="24.9" customHeight="1" thickTop="1" x14ac:dyDescent="0.2">
      <c r="B807" s="739" t="s">
        <v>1033</v>
      </c>
      <c r="C807" s="108" t="str">
        <f>'LISTA DE INSUMOS'!A758</f>
        <v>EQU002</v>
      </c>
      <c r="D807" s="139" t="str">
        <f>'LISTA DE INSUMOS'!B758</f>
        <v>Herramienta menor (% mano obra)</v>
      </c>
      <c r="E807" s="108" t="str">
        <f>'LISTA DE INSUMOS'!C758</f>
        <v>%MO</v>
      </c>
      <c r="F807" s="140">
        <v>0.1</v>
      </c>
      <c r="G807" s="141">
        <f>+I806</f>
        <v>36838</v>
      </c>
      <c r="H807" s="108">
        <v>0</v>
      </c>
      <c r="I807" s="141">
        <f>ROUND((F807*G807),0)</f>
        <v>3684</v>
      </c>
      <c r="J807" s="47"/>
      <c r="K807" s="143"/>
    </row>
    <row r="808" spans="2:11" ht="29.25" customHeight="1" x14ac:dyDescent="0.2">
      <c r="B808" s="740"/>
      <c r="C808" s="108" t="str">
        <f>'LISTA DE INSUMOS'!A775</f>
        <v>EQU018</v>
      </c>
      <c r="D808" s="139" t="str">
        <f>'LISTA DE INSUMOS'!B775</f>
        <v>Vibrador eléctrico o a gasolina</v>
      </c>
      <c r="E808" s="108" t="str">
        <f>'LISTA DE INSUMOS'!C775</f>
        <v>Día</v>
      </c>
      <c r="F808" s="160">
        <v>1</v>
      </c>
      <c r="G808" s="141">
        <f>'LISTA DE INSUMOS'!E775</f>
        <v>42234.2781968536</v>
      </c>
      <c r="H808" s="142">
        <f>1/20</f>
        <v>0.05</v>
      </c>
      <c r="I808" s="141">
        <f>ROUND((F808*G808*H808),0)</f>
        <v>2112</v>
      </c>
      <c r="J808" s="47"/>
      <c r="K808" s="143"/>
    </row>
    <row r="809" spans="2:11" ht="24.9" customHeight="1" x14ac:dyDescent="0.2">
      <c r="B809" s="740"/>
      <c r="C809" s="108" t="str">
        <f>'LISTA DE INSUMOS'!A783</f>
        <v>EQU026</v>
      </c>
      <c r="D809" s="139" t="str">
        <f>'LISTA DE INSUMOS'!B783</f>
        <v>Regla vibradora</v>
      </c>
      <c r="E809" s="108" t="str">
        <f>'LISTA DE INSUMOS'!C783</f>
        <v>Día</v>
      </c>
      <c r="F809" s="140">
        <v>1</v>
      </c>
      <c r="G809" s="141">
        <f>'LISTA DE INSUMOS'!E783</f>
        <v>46728.195513999992</v>
      </c>
      <c r="H809" s="142">
        <f>1/20</f>
        <v>0.05</v>
      </c>
      <c r="I809" s="141">
        <f>ROUND((F809*G809*H809),0)</f>
        <v>2336</v>
      </c>
      <c r="J809" s="47"/>
      <c r="K809" s="143"/>
    </row>
    <row r="810" spans="2:11" ht="24.9" customHeight="1" thickBot="1" x14ac:dyDescent="0.25">
      <c r="B810" s="741"/>
      <c r="C810" s="108" t="str">
        <f>'LISTA DE INSUMOS'!A784</f>
        <v>EQU027</v>
      </c>
      <c r="D810" s="139" t="str">
        <f>'LISTA DE INSUMOS'!B784</f>
        <v>Formaleta pavimento concreto 3 ml</v>
      </c>
      <c r="E810" s="108" t="str">
        <f>'LISTA DE INSUMOS'!C784</f>
        <v>Día</v>
      </c>
      <c r="F810" s="160">
        <v>1</v>
      </c>
      <c r="G810" s="141">
        <f>'LISTA DE INSUMOS'!E784</f>
        <v>3756.218687707199</v>
      </c>
      <c r="H810" s="108">
        <f>1/20</f>
        <v>0.05</v>
      </c>
      <c r="I810" s="141">
        <f>ROUND((F810*G810*H810),0)</f>
        <v>188</v>
      </c>
      <c r="J810" s="47"/>
      <c r="K810" s="143"/>
    </row>
    <row r="811" spans="2:11" ht="24.9" customHeight="1" thickTop="1" thickBot="1" x14ac:dyDescent="0.25">
      <c r="B811" s="171" t="s">
        <v>421</v>
      </c>
      <c r="C811" s="145" t="str">
        <f>'LISTA DE INSUMOS'!A823</f>
        <v>ESY001</v>
      </c>
      <c r="D811" s="146" t="str">
        <f>'LISTA DE INSUMOS'!B823</f>
        <v>Ensayo resistencia concretos (un testigo)</v>
      </c>
      <c r="E811" s="145" t="str">
        <f>'LISTA DE INSUMOS'!C823</f>
        <v>Un</v>
      </c>
      <c r="F811" s="172">
        <f>1/10*3</f>
        <v>0.30000000000000004</v>
      </c>
      <c r="G811" s="173">
        <f>'LISTA DE INSUMOS'!E823</f>
        <v>29175.946249999997</v>
      </c>
      <c r="H811" s="174">
        <v>0</v>
      </c>
      <c r="I811" s="148">
        <f>ROUND((F811*G811),0)</f>
        <v>8753</v>
      </c>
      <c r="J811" s="47"/>
      <c r="K811" s="143"/>
    </row>
    <row r="812" spans="2:11" ht="24.9" customHeight="1" x14ac:dyDescent="0.2">
      <c r="B812" s="117" t="s">
        <v>1954</v>
      </c>
      <c r="C812" s="117"/>
      <c r="D812" s="112" t="s">
        <v>172</v>
      </c>
      <c r="E812" s="117" t="s">
        <v>2585</v>
      </c>
      <c r="F812" s="118"/>
      <c r="G812" s="119">
        <f>ROUND(SUM(I813:I824),0)</f>
        <v>195958</v>
      </c>
      <c r="H812" s="120"/>
      <c r="I812" s="119"/>
      <c r="J812" s="47"/>
      <c r="K812" s="143"/>
    </row>
    <row r="813" spans="2:11" ht="24.9" customHeight="1" x14ac:dyDescent="0.2">
      <c r="B813" s="657" t="s">
        <v>1325</v>
      </c>
      <c r="C813" s="108" t="str">
        <f>'LISTA DE INSUMOS'!A93</f>
        <v>MAT051</v>
      </c>
      <c r="D813" s="139" t="str">
        <f>'LISTA DE INSUMOS'!B93</f>
        <v>Antisol blanco</v>
      </c>
      <c r="E813" s="108" t="str">
        <f>'LISTA DE INSUMOS'!C93</f>
        <v>Kg</v>
      </c>
      <c r="F813" s="140">
        <f>1/5</f>
        <v>0.2</v>
      </c>
      <c r="G813" s="141">
        <f>'LISTA DE INSUMOS'!E93</f>
        <v>11510.734499999999</v>
      </c>
      <c r="H813" s="108">
        <v>1.03</v>
      </c>
      <c r="I813" s="141">
        <f>ROUND((F813*G813*H813),0)</f>
        <v>2371</v>
      </c>
      <c r="J813" s="47"/>
      <c r="K813" s="143"/>
    </row>
    <row r="814" spans="2:11" ht="24.9" customHeight="1" thickBot="1" x14ac:dyDescent="0.25">
      <c r="B814" s="659"/>
      <c r="C814" s="108" t="str">
        <f>'LISTA DE INSUMOS'!A267</f>
        <v>MAT237</v>
      </c>
      <c r="D814" s="139" t="str">
        <f>'LISTA DE INSUMOS'!B267</f>
        <v>Manguera negra 1" rollo x 100 m</v>
      </c>
      <c r="E814" s="108" t="str">
        <f>'LISTA DE INSUMOS'!C267</f>
        <v>M</v>
      </c>
      <c r="F814" s="176">
        <v>4</v>
      </c>
      <c r="G814" s="141">
        <f>'LISTA DE INSUMOS'!E267</f>
        <v>1886.8304925624</v>
      </c>
      <c r="H814" s="108">
        <v>0</v>
      </c>
      <c r="I814" s="141">
        <f>ROUND((F814*G814),0)</f>
        <v>7547</v>
      </c>
      <c r="J814" s="47"/>
      <c r="K814" s="143"/>
    </row>
    <row r="815" spans="2:11" ht="24.9" customHeight="1" thickTop="1" x14ac:dyDescent="0.2">
      <c r="B815" s="701" t="s">
        <v>1310</v>
      </c>
      <c r="C815" s="108" t="str">
        <f>+B4090</f>
        <v>ITE383</v>
      </c>
      <c r="D815" s="167" t="str">
        <f>+D4090</f>
        <v>Sello de junta para pavimento</v>
      </c>
      <c r="E815" s="108" t="str">
        <f>+E4090</f>
        <v>M</v>
      </c>
      <c r="F815" s="140">
        <v>0.64</v>
      </c>
      <c r="G815" s="141">
        <f>G4090</f>
        <v>1773</v>
      </c>
      <c r="H815" s="108">
        <v>0</v>
      </c>
      <c r="I815" s="141">
        <f>ROUND((F815*G815),0)</f>
        <v>1135</v>
      </c>
      <c r="J815" s="47"/>
      <c r="K815" s="143"/>
    </row>
    <row r="816" spans="2:11" ht="24.9" customHeight="1" x14ac:dyDescent="0.2">
      <c r="B816" s="702"/>
      <c r="C816" s="108" t="str">
        <f>+B544</f>
        <v>ITE092</v>
      </c>
      <c r="D816" s="139" t="str">
        <f>+D544</f>
        <v>Concreto de 20,7 Mpa (3000 psi) (producción)</v>
      </c>
      <c r="E816" s="108" t="str">
        <f>+E544</f>
        <v>M3</v>
      </c>
      <c r="F816" s="152">
        <v>0.17499999999999999</v>
      </c>
      <c r="G816" s="141">
        <f>G544</f>
        <v>596118</v>
      </c>
      <c r="H816" s="108">
        <v>1.05</v>
      </c>
      <c r="I816" s="141">
        <f>ROUND((F816*G816*H816),0)</f>
        <v>109537</v>
      </c>
      <c r="J816" s="47"/>
      <c r="K816" s="143"/>
    </row>
    <row r="817" spans="2:11" ht="24.9" customHeight="1" x14ac:dyDescent="0.2">
      <c r="B817" s="702"/>
      <c r="C817" s="108" t="str">
        <f>+B587</f>
        <v>ITE98</v>
      </c>
      <c r="D817" s="139" t="str">
        <f>+D587</f>
        <v>Acero Fy = 60.000 psi d&gt;1/4"</v>
      </c>
      <c r="E817" s="108" t="str">
        <f>+E587</f>
        <v>Kg</v>
      </c>
      <c r="F817" s="140">
        <v>1.8</v>
      </c>
      <c r="G817" s="141">
        <f>G587</f>
        <v>7240</v>
      </c>
      <c r="H817" s="108">
        <v>0</v>
      </c>
      <c r="I817" s="141">
        <f>ROUND((F817*G817),0)</f>
        <v>13032</v>
      </c>
      <c r="J817" s="47"/>
      <c r="K817" s="143"/>
    </row>
    <row r="818" spans="2:11" ht="24.9" customHeight="1" thickBot="1" x14ac:dyDescent="0.25">
      <c r="B818" s="702"/>
      <c r="C818" s="108" t="str">
        <f>+B452</f>
        <v>ITE073</v>
      </c>
      <c r="D818" s="167" t="str">
        <f>+D452</f>
        <v>Corte de pavimento rígido con cortadora autopropulsada</v>
      </c>
      <c r="E818" s="108" t="str">
        <f>+E452</f>
        <v>M</v>
      </c>
      <c r="F818" s="140">
        <v>0.64</v>
      </c>
      <c r="G818" s="141">
        <f>G452</f>
        <v>13164</v>
      </c>
      <c r="H818" s="108">
        <v>0</v>
      </c>
      <c r="I818" s="141">
        <f>ROUND((F818*G818),0)</f>
        <v>8425</v>
      </c>
      <c r="J818" s="47"/>
      <c r="K818" s="143"/>
    </row>
    <row r="819" spans="2:11" ht="24.9" customHeight="1" thickTop="1" thickBot="1" x14ac:dyDescent="0.25">
      <c r="B819" s="158" t="s">
        <v>1034</v>
      </c>
      <c r="C819" s="125" t="str">
        <f>+'LISTA DE INSUMOS'!A16</f>
        <v>MOB013</v>
      </c>
      <c r="D819" s="155" t="str">
        <f>+'LISTA DE INSUMOS'!B16</f>
        <v>Cuadrilla C 1 Of + 7 Ay (jornal + prestaciones)</v>
      </c>
      <c r="E819" s="125" t="str">
        <f>+'LISTA DE INSUMOS'!C16</f>
        <v>Día</v>
      </c>
      <c r="F819" s="140">
        <v>1</v>
      </c>
      <c r="G819" s="141">
        <f>'LISTA DE INSUMOS'!E16</f>
        <v>736750</v>
      </c>
      <c r="H819" s="108">
        <f>1/20</f>
        <v>0.05</v>
      </c>
      <c r="I819" s="141">
        <f>ROUND((F819*G819*H819),0)</f>
        <v>36838</v>
      </c>
      <c r="J819" s="47"/>
      <c r="K819" s="143"/>
    </row>
    <row r="820" spans="2:11" ht="24.9" customHeight="1" thickTop="1" x14ac:dyDescent="0.2">
      <c r="B820" s="739" t="s">
        <v>1033</v>
      </c>
      <c r="C820" s="108" t="str">
        <f>+'LISTA DE INSUMOS'!A758</f>
        <v>EQU002</v>
      </c>
      <c r="D820" s="139" t="str">
        <f>+'LISTA DE INSUMOS'!B758</f>
        <v>Herramienta menor (% mano obra)</v>
      </c>
      <c r="E820" s="108" t="str">
        <f>'LISTA DE INSUMOS'!C758</f>
        <v>%MO</v>
      </c>
      <c r="F820" s="140">
        <v>0.1</v>
      </c>
      <c r="G820" s="141">
        <f>+I819</f>
        <v>36838</v>
      </c>
      <c r="H820" s="108">
        <v>0</v>
      </c>
      <c r="I820" s="141">
        <f>ROUND((F820*G820),0)</f>
        <v>3684</v>
      </c>
      <c r="J820" s="47"/>
      <c r="K820" s="143"/>
    </row>
    <row r="821" spans="2:11" ht="30" customHeight="1" x14ac:dyDescent="0.2">
      <c r="B821" s="740"/>
      <c r="C821" s="108" t="str">
        <f>+'LISTA DE INSUMOS'!A775</f>
        <v>EQU018</v>
      </c>
      <c r="D821" s="139" t="str">
        <f>+'LISTA DE INSUMOS'!B775</f>
        <v>Vibrador eléctrico o a gasolina</v>
      </c>
      <c r="E821" s="108" t="str">
        <f>'LISTA DE INSUMOS'!C775</f>
        <v>Día</v>
      </c>
      <c r="F821" s="160">
        <v>1</v>
      </c>
      <c r="G821" s="141">
        <f>'LISTA DE INSUMOS'!E775</f>
        <v>42234.2781968536</v>
      </c>
      <c r="H821" s="108">
        <f>1/20</f>
        <v>0.05</v>
      </c>
      <c r="I821" s="141">
        <f>ROUND((F821*G821*H821),0)</f>
        <v>2112</v>
      </c>
      <c r="J821" s="47"/>
      <c r="K821" s="143"/>
    </row>
    <row r="822" spans="2:11" ht="24.9" customHeight="1" x14ac:dyDescent="0.2">
      <c r="B822" s="740"/>
      <c r="C822" s="108" t="str">
        <f>+'LISTA DE INSUMOS'!A783</f>
        <v>EQU026</v>
      </c>
      <c r="D822" s="139" t="str">
        <f>'LISTA DE INSUMOS'!B783</f>
        <v>Regla vibradora</v>
      </c>
      <c r="E822" s="108" t="str">
        <f>'LISTA DE INSUMOS'!C783</f>
        <v>Día</v>
      </c>
      <c r="F822" s="160">
        <v>1</v>
      </c>
      <c r="G822" s="141">
        <f>'LISTA DE INSUMOS'!E783</f>
        <v>46728.195513999992</v>
      </c>
      <c r="H822" s="108">
        <f>1/20</f>
        <v>0.05</v>
      </c>
      <c r="I822" s="141">
        <f>ROUND((F822*G822*H822),0)</f>
        <v>2336</v>
      </c>
      <c r="J822" s="47"/>
      <c r="K822" s="143"/>
    </row>
    <row r="823" spans="2:11" ht="24.9" customHeight="1" thickBot="1" x14ac:dyDescent="0.25">
      <c r="B823" s="741"/>
      <c r="C823" s="108" t="str">
        <f>+'LISTA DE INSUMOS'!A784</f>
        <v>EQU027</v>
      </c>
      <c r="D823" s="139" t="str">
        <f>'LISTA DE INSUMOS'!B784</f>
        <v>Formaleta pavimento concreto 3 ml</v>
      </c>
      <c r="E823" s="108" t="str">
        <f>+'LISTA DE INSUMOS'!C784</f>
        <v>Día</v>
      </c>
      <c r="F823" s="160">
        <v>1</v>
      </c>
      <c r="G823" s="141">
        <f>'LISTA DE INSUMOS'!E784</f>
        <v>3756.218687707199</v>
      </c>
      <c r="H823" s="108">
        <f>1/20</f>
        <v>0.05</v>
      </c>
      <c r="I823" s="141">
        <f>ROUND((F823*G823*H823),0)</f>
        <v>188</v>
      </c>
      <c r="J823" s="47"/>
      <c r="K823" s="143"/>
    </row>
    <row r="824" spans="2:11" ht="24.9" customHeight="1" thickTop="1" thickBot="1" x14ac:dyDescent="0.25">
      <c r="B824" s="171" t="s">
        <v>421</v>
      </c>
      <c r="C824" s="145" t="str">
        <f>'LISTA DE INSUMOS'!A823</f>
        <v>ESY001</v>
      </c>
      <c r="D824" s="146" t="str">
        <f>'LISTA DE INSUMOS'!B823</f>
        <v>Ensayo resistencia concretos (un testigo)</v>
      </c>
      <c r="E824" s="145" t="str">
        <f>'LISTA DE INSUMOS'!C823</f>
        <v>Un</v>
      </c>
      <c r="F824" s="172">
        <f>1/10*3</f>
        <v>0.30000000000000004</v>
      </c>
      <c r="G824" s="173">
        <f>'LISTA DE INSUMOS'!E823</f>
        <v>29175.946249999997</v>
      </c>
      <c r="H824" s="174">
        <v>0</v>
      </c>
      <c r="I824" s="148">
        <f>ROUND((F824*G824),0)</f>
        <v>8753</v>
      </c>
      <c r="J824" s="47"/>
      <c r="K824" s="143"/>
    </row>
    <row r="825" spans="2:11" ht="24.9" customHeight="1" x14ac:dyDescent="0.2">
      <c r="B825" s="117" t="s">
        <v>1944</v>
      </c>
      <c r="C825" s="117"/>
      <c r="D825" s="112" t="s">
        <v>178</v>
      </c>
      <c r="E825" s="117" t="s">
        <v>2585</v>
      </c>
      <c r="F825" s="118"/>
      <c r="G825" s="119">
        <f>ROUND(SUM(I826:I837),0)</f>
        <v>204753</v>
      </c>
      <c r="H825" s="120"/>
      <c r="I825" s="119"/>
      <c r="J825" s="47"/>
      <c r="K825" s="143"/>
    </row>
    <row r="826" spans="2:11" ht="24.9" customHeight="1" x14ac:dyDescent="0.2">
      <c r="B826" s="657" t="s">
        <v>1325</v>
      </c>
      <c r="C826" s="108" t="str">
        <f>'LISTA DE INSUMOS'!A93</f>
        <v>MAT051</v>
      </c>
      <c r="D826" s="139" t="str">
        <f>'LISTA DE INSUMOS'!B93</f>
        <v>Antisol blanco</v>
      </c>
      <c r="E826" s="108" t="str">
        <f>'LISTA DE INSUMOS'!C93</f>
        <v>Kg</v>
      </c>
      <c r="F826" s="160">
        <f>1/5</f>
        <v>0.2</v>
      </c>
      <c r="G826" s="141">
        <f>'LISTA DE INSUMOS'!E93</f>
        <v>11510.734499999999</v>
      </c>
      <c r="H826" s="108">
        <v>1.03</v>
      </c>
      <c r="I826" s="141">
        <f>ROUND((F826*G826*H826),0)</f>
        <v>2371</v>
      </c>
      <c r="J826" s="47"/>
      <c r="K826" s="143"/>
    </row>
    <row r="827" spans="2:11" ht="24.9" customHeight="1" thickBot="1" x14ac:dyDescent="0.25">
      <c r="B827" s="659"/>
      <c r="C827" s="208" t="str">
        <f>'LISTA DE INSUMOS'!A267</f>
        <v>MAT237</v>
      </c>
      <c r="D827" s="209" t="str">
        <f>'LISTA DE INSUMOS'!B267</f>
        <v>Manguera negra 1" rollo x 100 m</v>
      </c>
      <c r="E827" s="208" t="str">
        <f>'LISTA DE INSUMOS'!C267</f>
        <v>M</v>
      </c>
      <c r="F827" s="210">
        <v>4</v>
      </c>
      <c r="G827" s="211">
        <f>'LISTA DE INSUMOS'!E267</f>
        <v>1886.8304925624</v>
      </c>
      <c r="H827" s="208">
        <v>0</v>
      </c>
      <c r="I827" s="211">
        <f>ROUND((F827*G827),0)</f>
        <v>7547</v>
      </c>
      <c r="J827" s="47"/>
      <c r="K827" s="143"/>
    </row>
    <row r="828" spans="2:11" ht="24.9" customHeight="1" thickTop="1" thickBot="1" x14ac:dyDescent="0.25">
      <c r="B828" s="702" t="s">
        <v>1310</v>
      </c>
      <c r="C828" s="108" t="str">
        <f>+B4090</f>
        <v>ITE383</v>
      </c>
      <c r="D828" s="167" t="str">
        <f>+D4090</f>
        <v>Sello de junta para pavimento</v>
      </c>
      <c r="E828" s="108" t="str">
        <f>+E4090</f>
        <v>M</v>
      </c>
      <c r="F828" s="152">
        <v>0.64</v>
      </c>
      <c r="G828" s="141">
        <f>G4090</f>
        <v>1773</v>
      </c>
      <c r="H828" s="108">
        <v>0</v>
      </c>
      <c r="I828" s="211">
        <f>ROUND((F828*G828),0)</f>
        <v>1135</v>
      </c>
      <c r="J828" s="47"/>
      <c r="K828" s="143"/>
    </row>
    <row r="829" spans="2:11" ht="24.9" customHeight="1" thickTop="1" x14ac:dyDescent="0.2">
      <c r="B829" s="702"/>
      <c r="C829" s="108" t="str">
        <f>+B535</f>
        <v>ITE091</v>
      </c>
      <c r="D829" s="167" t="str">
        <f>+D535</f>
        <v>Concreto de 27,6 Mpa (4000 psi) (producción)</v>
      </c>
      <c r="E829" s="166" t="str">
        <f>+E535</f>
        <v>M3</v>
      </c>
      <c r="F829" s="152">
        <v>0.17499999999999999</v>
      </c>
      <c r="G829" s="141">
        <f>G535</f>
        <v>643985</v>
      </c>
      <c r="H829" s="108">
        <v>1.05</v>
      </c>
      <c r="I829" s="141">
        <f>ROUND((F829*G829*H829),0)</f>
        <v>118332</v>
      </c>
      <c r="J829" s="47"/>
      <c r="K829" s="143"/>
    </row>
    <row r="830" spans="2:11" ht="24.9" customHeight="1" x14ac:dyDescent="0.2">
      <c r="B830" s="702"/>
      <c r="C830" s="108" t="str">
        <f>+B587</f>
        <v>ITE98</v>
      </c>
      <c r="D830" s="139" t="str">
        <f>+D587</f>
        <v>Acero Fy = 60.000 psi d&gt;1/4"</v>
      </c>
      <c r="E830" s="108" t="str">
        <f>+E587</f>
        <v>Kg</v>
      </c>
      <c r="F830" s="140">
        <v>1.8</v>
      </c>
      <c r="G830" s="141">
        <f>G587</f>
        <v>7240</v>
      </c>
      <c r="H830" s="108">
        <v>0</v>
      </c>
      <c r="I830" s="141">
        <f>ROUND((F830*G830),0)</f>
        <v>13032</v>
      </c>
      <c r="J830" s="47"/>
      <c r="K830" s="143"/>
    </row>
    <row r="831" spans="2:11" ht="24.9" customHeight="1" thickBot="1" x14ac:dyDescent="0.25">
      <c r="B831" s="703"/>
      <c r="C831" s="108" t="str">
        <f>+B452</f>
        <v>ITE073</v>
      </c>
      <c r="D831" s="212" t="str">
        <f>+D452</f>
        <v>Corte de pavimento rígido con cortadora autopropulsada</v>
      </c>
      <c r="E831" s="208" t="str">
        <f>+E452</f>
        <v>M</v>
      </c>
      <c r="F831" s="213">
        <v>0.64</v>
      </c>
      <c r="G831" s="211">
        <f>G452</f>
        <v>13164</v>
      </c>
      <c r="H831" s="208">
        <v>0</v>
      </c>
      <c r="I831" s="211">
        <f>ROUND((F831*G831),0)</f>
        <v>8425</v>
      </c>
      <c r="J831" s="47"/>
      <c r="K831" s="143"/>
    </row>
    <row r="832" spans="2:11" ht="24.9" customHeight="1" thickTop="1" thickBot="1" x14ac:dyDescent="0.25">
      <c r="B832" s="158" t="s">
        <v>1034</v>
      </c>
      <c r="C832" s="214" t="str">
        <f>+'LISTA DE INSUMOS'!A16</f>
        <v>MOB013</v>
      </c>
      <c r="D832" s="215" t="str">
        <f>+'LISTA DE INSUMOS'!B16</f>
        <v>Cuadrilla C 1 Of + 7 Ay (jornal + prestaciones)</v>
      </c>
      <c r="E832" s="214" t="str">
        <f>+'LISTA DE INSUMOS'!C16</f>
        <v>Día</v>
      </c>
      <c r="F832" s="216">
        <v>1</v>
      </c>
      <c r="G832" s="217">
        <f>'LISTA DE INSUMOS'!E16</f>
        <v>736750</v>
      </c>
      <c r="H832" s="218">
        <f>1/20</f>
        <v>0.05</v>
      </c>
      <c r="I832" s="217">
        <f>ROUND((F832*G832*H832),0)</f>
        <v>36838</v>
      </c>
      <c r="J832" s="47"/>
      <c r="K832" s="143"/>
    </row>
    <row r="833" spans="2:11" ht="24.9" customHeight="1" thickTop="1" x14ac:dyDescent="0.2">
      <c r="B833" s="739" t="s">
        <v>1033</v>
      </c>
      <c r="C833" s="108" t="str">
        <f>+'LISTA DE INSUMOS'!A758</f>
        <v>EQU002</v>
      </c>
      <c r="D833" s="139" t="str">
        <f>+'LISTA DE INSUMOS'!B758</f>
        <v>Herramienta menor (% mano obra)</v>
      </c>
      <c r="E833" s="108" t="str">
        <f>+'LISTA DE INSUMOS'!C758</f>
        <v>%MO</v>
      </c>
      <c r="F833" s="140">
        <v>0.1</v>
      </c>
      <c r="G833" s="141">
        <f>+I832</f>
        <v>36838</v>
      </c>
      <c r="H833" s="108">
        <v>0</v>
      </c>
      <c r="I833" s="141">
        <f>ROUND((F833*G833),0)</f>
        <v>3684</v>
      </c>
      <c r="J833" s="47"/>
      <c r="K833" s="143"/>
    </row>
    <row r="834" spans="2:11" ht="24.9" customHeight="1" x14ac:dyDescent="0.2">
      <c r="B834" s="740"/>
      <c r="C834" s="108" t="str">
        <f>+'LISTA DE INSUMOS'!A775</f>
        <v>EQU018</v>
      </c>
      <c r="D834" s="139" t="str">
        <f>+'LISTA DE INSUMOS'!B775</f>
        <v>Vibrador eléctrico o a gasolina</v>
      </c>
      <c r="E834" s="108" t="str">
        <f>+'LISTA DE INSUMOS'!C775</f>
        <v>Día</v>
      </c>
      <c r="F834" s="160">
        <v>1</v>
      </c>
      <c r="G834" s="141">
        <f>'LISTA DE INSUMOS'!E775</f>
        <v>42234.2781968536</v>
      </c>
      <c r="H834" s="142">
        <f>1/20</f>
        <v>0.05</v>
      </c>
      <c r="I834" s="141">
        <f>ROUND((F834*G834*H834),0)</f>
        <v>2112</v>
      </c>
      <c r="J834" s="47"/>
      <c r="K834" s="143"/>
    </row>
    <row r="835" spans="2:11" ht="24.9" customHeight="1" x14ac:dyDescent="0.2">
      <c r="B835" s="740"/>
      <c r="C835" s="108" t="str">
        <f>+'LISTA DE INSUMOS'!A783</f>
        <v>EQU026</v>
      </c>
      <c r="D835" s="139" t="str">
        <f>+'LISTA DE INSUMOS'!B783</f>
        <v>Regla vibradora</v>
      </c>
      <c r="E835" s="108" t="str">
        <f>+'LISTA DE INSUMOS'!C783</f>
        <v>Día</v>
      </c>
      <c r="F835" s="140">
        <v>1</v>
      </c>
      <c r="G835" s="141">
        <f>'LISTA DE INSUMOS'!E783</f>
        <v>46728.195513999992</v>
      </c>
      <c r="H835" s="142">
        <f>1/20</f>
        <v>0.05</v>
      </c>
      <c r="I835" s="141">
        <f>ROUND((F835*G835*H835),0)</f>
        <v>2336</v>
      </c>
      <c r="J835" s="47"/>
      <c r="K835" s="143"/>
    </row>
    <row r="836" spans="2:11" ht="24.9" customHeight="1" thickBot="1" x14ac:dyDescent="0.25">
      <c r="B836" s="741"/>
      <c r="C836" s="108" t="str">
        <f>+'LISTA DE INSUMOS'!A784</f>
        <v>EQU027</v>
      </c>
      <c r="D836" s="139" t="str">
        <f>+'LISTA DE INSUMOS'!B784</f>
        <v>Formaleta pavimento concreto 3 ml</v>
      </c>
      <c r="E836" s="108" t="str">
        <f>+'LISTA DE INSUMOS'!C784</f>
        <v>Día</v>
      </c>
      <c r="F836" s="160">
        <v>1</v>
      </c>
      <c r="G836" s="141">
        <f>'LISTA DE INSUMOS'!E784</f>
        <v>3756.218687707199</v>
      </c>
      <c r="H836" s="108">
        <f>1/20</f>
        <v>0.05</v>
      </c>
      <c r="I836" s="141">
        <f>ROUND((F836*G836*H836),0)</f>
        <v>188</v>
      </c>
      <c r="J836" s="47"/>
      <c r="K836" s="143"/>
    </row>
    <row r="837" spans="2:11" ht="24.9" customHeight="1" thickTop="1" thickBot="1" x14ac:dyDescent="0.25">
      <c r="B837" s="171" t="s">
        <v>421</v>
      </c>
      <c r="C837" s="145" t="str">
        <f>+'LISTA DE INSUMOS'!A823</f>
        <v>ESY001</v>
      </c>
      <c r="D837" s="146" t="str">
        <f>+'LISTA DE INSUMOS'!B823</f>
        <v>Ensayo resistencia concretos (un testigo)</v>
      </c>
      <c r="E837" s="145" t="str">
        <f>+'LISTA DE INSUMOS'!C823</f>
        <v>Un</v>
      </c>
      <c r="F837" s="172">
        <f>1/10*3</f>
        <v>0.30000000000000004</v>
      </c>
      <c r="G837" s="173">
        <f>'LISTA DE INSUMOS'!E823</f>
        <v>29175.946249999997</v>
      </c>
      <c r="H837" s="174">
        <v>0</v>
      </c>
      <c r="I837" s="148">
        <f>ROUND((F837*G837),0)</f>
        <v>8753</v>
      </c>
      <c r="J837" s="47"/>
      <c r="K837" s="143"/>
    </row>
    <row r="838" spans="2:11" s="105" customFormat="1" ht="24.75" customHeight="1" x14ac:dyDescent="0.2">
      <c r="B838" s="117" t="s">
        <v>1468</v>
      </c>
      <c r="C838" s="117"/>
      <c r="D838" s="112" t="s">
        <v>2588</v>
      </c>
      <c r="E838" s="117" t="s">
        <v>1412</v>
      </c>
      <c r="F838" s="118"/>
      <c r="G838" s="119">
        <f>ROUND(SUM(I838:I847),0)</f>
        <v>86591</v>
      </c>
      <c r="H838" s="120"/>
      <c r="I838" s="119"/>
      <c r="J838" s="251"/>
      <c r="K838" s="431"/>
    </row>
    <row r="839" spans="2:11" ht="24.75" customHeight="1" x14ac:dyDescent="0.2">
      <c r="B839" s="747" t="s">
        <v>1035</v>
      </c>
      <c r="C839" s="108" t="str">
        <f>+'LISTA DE INSUMOS'!A46</f>
        <v>MAT017</v>
      </c>
      <c r="D839" s="139" t="str">
        <f>+'LISTA DE INSUMOS'!B46</f>
        <v>Tabla para formaleta de 1" x 10" x 2,9 m</v>
      </c>
      <c r="E839" s="108" t="str">
        <f>+'LISTA DE INSUMOS'!C46</f>
        <v>M</v>
      </c>
      <c r="F839" s="140">
        <v>2</v>
      </c>
      <c r="G839" s="141">
        <f>'LISTA DE INSUMOS'!E46</f>
        <v>8112.0359999999991</v>
      </c>
      <c r="H839" s="108">
        <f>1/3</f>
        <v>0.33333333333333331</v>
      </c>
      <c r="I839" s="141">
        <f>ROUND((F839*G839*H839),0)</f>
        <v>5408</v>
      </c>
      <c r="J839" s="47"/>
      <c r="K839" s="143"/>
    </row>
    <row r="840" spans="2:11" ht="19.5" customHeight="1" x14ac:dyDescent="0.2">
      <c r="B840" s="747"/>
      <c r="C840" s="108" t="str">
        <f>+'LISTA DE INSUMOS'!A52</f>
        <v>MAT021</v>
      </c>
      <c r="D840" s="139" t="str">
        <f>+'LISTA DE INSUMOS'!B52</f>
        <v>Puntilla (promedio)</v>
      </c>
      <c r="E840" s="108" t="str">
        <f>+'LISTA DE INSUMOS'!C52</f>
        <v>Lb</v>
      </c>
      <c r="F840" s="140">
        <v>0.1</v>
      </c>
      <c r="G840" s="141">
        <f>'LISTA DE INSUMOS'!E52</f>
        <v>6690.6972299999998</v>
      </c>
      <c r="H840" s="108">
        <v>0</v>
      </c>
      <c r="I840" s="141">
        <f>ROUND((F840*G840),0)</f>
        <v>669</v>
      </c>
      <c r="J840" s="47"/>
      <c r="K840" s="143"/>
    </row>
    <row r="841" spans="2:11" ht="24" customHeight="1" x14ac:dyDescent="0.2">
      <c r="B841" s="747"/>
      <c r="C841" s="108" t="str">
        <f>+'LISTA DE INSUMOS'!A132</f>
        <v>MAT091</v>
      </c>
      <c r="D841" s="139" t="str">
        <f>+'LISTA DE INSUMOS'!B132</f>
        <v>Varillón de sajo</v>
      </c>
      <c r="E841" s="108" t="str">
        <f>+'LISTA DE INSUMOS'!C132</f>
        <v>M</v>
      </c>
      <c r="F841" s="140">
        <v>2</v>
      </c>
      <c r="G841" s="141">
        <f>'LISTA DE INSUMOS'!E132</f>
        <v>2979.6450687603597</v>
      </c>
      <c r="H841" s="108">
        <f>1/3</f>
        <v>0.33333333333333331</v>
      </c>
      <c r="I841" s="141">
        <f>ROUND((F841*G841*H841),0)</f>
        <v>1986</v>
      </c>
      <c r="J841" s="47"/>
      <c r="K841" s="143"/>
    </row>
    <row r="842" spans="2:11" ht="24" customHeight="1" x14ac:dyDescent="0.2">
      <c r="B842" s="747"/>
      <c r="C842" s="108" t="str">
        <f>+'LISTA DE INSUMOS'!A93</f>
        <v>MAT051</v>
      </c>
      <c r="D842" s="139" t="str">
        <f>+'LISTA DE INSUMOS'!B93</f>
        <v>Antisol blanco</v>
      </c>
      <c r="E842" s="108" t="str">
        <f>+'LISTA DE INSUMOS'!C93</f>
        <v>Kg</v>
      </c>
      <c r="F842" s="160">
        <v>0.1</v>
      </c>
      <c r="G842" s="141">
        <f>+'LISTA DE INSUMOS'!E93</f>
        <v>11510.734499999999</v>
      </c>
      <c r="H842" s="108">
        <v>1.03</v>
      </c>
      <c r="I842" s="141">
        <f>ROUND((F842*G842*H842),0)</f>
        <v>1186</v>
      </c>
      <c r="J842" s="47"/>
      <c r="K842" s="143"/>
    </row>
    <row r="843" spans="2:11" ht="24" customHeight="1" thickBot="1" x14ac:dyDescent="0.25">
      <c r="B843" s="748"/>
      <c r="C843" s="208" t="str">
        <f>+'LISTA DE INSUMOS'!A67</f>
        <v>MAT034</v>
      </c>
      <c r="D843" s="209" t="str">
        <f>+'LISTA DE INSUMOS'!B67</f>
        <v>ACPM</v>
      </c>
      <c r="E843" s="208" t="str">
        <f>+'LISTA DE INSUMOS'!C67</f>
        <v>Gl</v>
      </c>
      <c r="F843" s="213">
        <v>0.05</v>
      </c>
      <c r="G843" s="211">
        <f>'LISTA DE INSUMOS'!E67</f>
        <v>9681.4499999999989</v>
      </c>
      <c r="H843" s="208">
        <v>1.05</v>
      </c>
      <c r="I843" s="211">
        <f>ROUND((F843*G843*H843),0)</f>
        <v>508</v>
      </c>
      <c r="J843" s="47"/>
      <c r="K843" s="143"/>
    </row>
    <row r="844" spans="2:11" ht="25.5" customHeight="1" thickTop="1" x14ac:dyDescent="0.2">
      <c r="B844" s="685" t="s">
        <v>1310</v>
      </c>
      <c r="C844" s="420" t="str">
        <f>+B544</f>
        <v>ITE092</v>
      </c>
      <c r="D844" s="421" t="str">
        <f>+D544</f>
        <v>Concreto de 20,7 Mpa (3000 psi) (producción)</v>
      </c>
      <c r="E844" s="420" t="str">
        <f>+E544</f>
        <v>M3</v>
      </c>
      <c r="F844" s="422">
        <v>0.03</v>
      </c>
      <c r="G844" s="423">
        <f>G544</f>
        <v>596118</v>
      </c>
      <c r="H844" s="420">
        <v>1.05</v>
      </c>
      <c r="I844" s="423">
        <f>ROUND((F844*G844*H844),0)</f>
        <v>18778</v>
      </c>
      <c r="J844" s="47"/>
      <c r="K844" s="143"/>
    </row>
    <row r="845" spans="2:11" ht="27.75" customHeight="1" thickBot="1" x14ac:dyDescent="0.25">
      <c r="B845" s="707"/>
      <c r="C845" s="208" t="str">
        <f>+B587</f>
        <v>ITE98</v>
      </c>
      <c r="D845" s="209" t="str">
        <f>+D587</f>
        <v>Acero Fy = 60.000 psi d&gt;1/4"</v>
      </c>
      <c r="E845" s="208" t="str">
        <f>+E587</f>
        <v>Kg</v>
      </c>
      <c r="F845" s="213">
        <v>1.8</v>
      </c>
      <c r="G845" s="211">
        <f>G587</f>
        <v>7240</v>
      </c>
      <c r="H845" s="208">
        <v>0</v>
      </c>
      <c r="I845" s="211">
        <f>ROUND((F845*G845),0)</f>
        <v>13032</v>
      </c>
      <c r="J845" s="47"/>
      <c r="K845" s="143"/>
    </row>
    <row r="846" spans="2:11" ht="19.5" customHeight="1" thickTop="1" thickBot="1" x14ac:dyDescent="0.25">
      <c r="B846" s="158" t="s">
        <v>1034</v>
      </c>
      <c r="C846" s="425" t="str">
        <f>+'LISTA DE INSUMOS'!A18</f>
        <v>MOB015</v>
      </c>
      <c r="D846" s="426" t="str">
        <f>+'LISTA DE INSUMOS'!B18</f>
        <v>Cuadrilla E 1 Of + 1 Ay (jornal + prestaciones)</v>
      </c>
      <c r="E846" s="425" t="str">
        <f>+'LISTA DE INSUMOS'!C18</f>
        <v>Día</v>
      </c>
      <c r="F846" s="216">
        <v>1</v>
      </c>
      <c r="G846" s="217">
        <f>'LISTA DE INSUMOS'!E18</f>
        <v>245584</v>
      </c>
      <c r="H846" s="218">
        <f>1/6</f>
        <v>0.16666666666666666</v>
      </c>
      <c r="I846" s="217">
        <f>ROUND((F846*G846*H846),0)</f>
        <v>40931</v>
      </c>
      <c r="J846" s="47"/>
      <c r="K846" s="143"/>
    </row>
    <row r="847" spans="2:11" ht="21.75" customHeight="1" thickTop="1" thickBot="1" x14ac:dyDescent="0.25">
      <c r="B847" s="255" t="s">
        <v>1033</v>
      </c>
      <c r="C847" s="427" t="str">
        <f>+'LISTA DE INSUMOS'!A758</f>
        <v>EQU002</v>
      </c>
      <c r="D847" s="428" t="str">
        <f>+'LISTA DE INSUMOS'!B758</f>
        <v>Herramienta menor (% mano obra)</v>
      </c>
      <c r="E847" s="427" t="str">
        <f>+'LISTA DE INSUMOS'!C758</f>
        <v>%MO</v>
      </c>
      <c r="F847" s="429">
        <v>0.1</v>
      </c>
      <c r="G847" s="430">
        <f>I846</f>
        <v>40931</v>
      </c>
      <c r="H847" s="427">
        <v>0</v>
      </c>
      <c r="I847" s="430">
        <f>ROUND((F847*G847),0)</f>
        <v>4093</v>
      </c>
      <c r="J847" s="47"/>
      <c r="K847" s="143"/>
    </row>
    <row r="848" spans="2:11" ht="24.9" customHeight="1" x14ac:dyDescent="0.2">
      <c r="B848" s="117" t="s">
        <v>1552</v>
      </c>
      <c r="C848" s="117"/>
      <c r="D848" s="112" t="s">
        <v>200</v>
      </c>
      <c r="E848" s="117" t="s">
        <v>2585</v>
      </c>
      <c r="F848" s="118"/>
      <c r="G848" s="119">
        <f>ROUND(SUM(I848:I856),0)</f>
        <v>102193</v>
      </c>
      <c r="H848" s="120"/>
      <c r="I848" s="119"/>
      <c r="J848" s="47"/>
      <c r="K848" s="143"/>
    </row>
    <row r="849" spans="2:11" ht="24.9" customHeight="1" x14ac:dyDescent="0.2">
      <c r="B849" s="672" t="s">
        <v>1035</v>
      </c>
      <c r="C849" s="108" t="str">
        <f>+'LISTA DE INSUMOS'!A46</f>
        <v>MAT017</v>
      </c>
      <c r="D849" s="139" t="str">
        <f>+'LISTA DE INSUMOS'!B46</f>
        <v>Tabla para formaleta de 1" x 10" x 2,9 m</v>
      </c>
      <c r="E849" s="108" t="str">
        <f>+'LISTA DE INSUMOS'!C46</f>
        <v>M</v>
      </c>
      <c r="F849" s="140">
        <v>1</v>
      </c>
      <c r="G849" s="141">
        <f>'LISTA DE INSUMOS'!E46</f>
        <v>8112.0359999999991</v>
      </c>
      <c r="H849" s="108">
        <v>0.5</v>
      </c>
      <c r="I849" s="141">
        <f>ROUND((F849*G849*H849),0)</f>
        <v>4056</v>
      </c>
      <c r="J849" s="47"/>
      <c r="K849" s="143"/>
    </row>
    <row r="850" spans="2:11" ht="24.9" customHeight="1" x14ac:dyDescent="0.2">
      <c r="B850" s="672"/>
      <c r="C850" s="108" t="str">
        <f>+'LISTA DE INSUMOS'!A49</f>
        <v>MAT018</v>
      </c>
      <c r="D850" s="139" t="str">
        <f>+'LISTA DE INSUMOS'!B49</f>
        <v>Cuartón de sajo 2" x 4" x 2,9 m</v>
      </c>
      <c r="E850" s="108" t="str">
        <f>+'LISTA DE INSUMOS'!C49</f>
        <v>M</v>
      </c>
      <c r="F850" s="140">
        <v>0.5</v>
      </c>
      <c r="G850" s="141">
        <f>'LISTA DE INSUMOS'!E49</f>
        <v>11944.810644542158</v>
      </c>
      <c r="H850" s="108">
        <f>1/3</f>
        <v>0.33333333333333331</v>
      </c>
      <c r="I850" s="141">
        <f>ROUND((F850*G850*H850),0)</f>
        <v>1991</v>
      </c>
      <c r="J850" s="47"/>
      <c r="K850" s="143"/>
    </row>
    <row r="851" spans="2:11" ht="24.9" customHeight="1" x14ac:dyDescent="0.2">
      <c r="B851" s="672"/>
      <c r="C851" s="108" t="str">
        <f>+'LISTA DE INSUMOS'!A52</f>
        <v>MAT021</v>
      </c>
      <c r="D851" s="139" t="str">
        <f>+'LISTA DE INSUMOS'!B52</f>
        <v>Puntilla (promedio)</v>
      </c>
      <c r="E851" s="108" t="str">
        <f>+'LISTA DE INSUMOS'!C52</f>
        <v>Lb</v>
      </c>
      <c r="F851" s="140">
        <v>0.05</v>
      </c>
      <c r="G851" s="141">
        <f>'LISTA DE INSUMOS'!E52</f>
        <v>6690.6972299999998</v>
      </c>
      <c r="H851" s="108">
        <v>0</v>
      </c>
      <c r="I851" s="141">
        <f>ROUND((F851*G851),0)</f>
        <v>335</v>
      </c>
      <c r="J851" s="47"/>
      <c r="K851" s="143"/>
    </row>
    <row r="852" spans="2:11" ht="24.9" customHeight="1" x14ac:dyDescent="0.2">
      <c r="B852" s="672"/>
      <c r="C852" s="108" t="str">
        <f>+'LISTA DE INSUMOS'!A93</f>
        <v>MAT051</v>
      </c>
      <c r="D852" s="139" t="str">
        <f>+'LISTA DE INSUMOS'!B93</f>
        <v>Antisol blanco</v>
      </c>
      <c r="E852" s="108" t="str">
        <f>+'LISTA DE INSUMOS'!C93</f>
        <v>Kg</v>
      </c>
      <c r="F852" s="160">
        <v>0.2</v>
      </c>
      <c r="G852" s="141">
        <f>+'LISTA DE INSUMOS'!E93</f>
        <v>11510.734499999999</v>
      </c>
      <c r="H852" s="108">
        <v>1.03</v>
      </c>
      <c r="I852" s="141">
        <f>ROUND((F852*G852*H852),0)</f>
        <v>2371</v>
      </c>
      <c r="J852" s="47"/>
      <c r="K852" s="143"/>
    </row>
    <row r="853" spans="2:11" ht="24.9" customHeight="1" thickBot="1" x14ac:dyDescent="0.25">
      <c r="B853" s="673"/>
      <c r="C853" s="108" t="str">
        <f>+'LISTA DE INSUMOS'!A67</f>
        <v>MAT034</v>
      </c>
      <c r="D853" s="139" t="str">
        <f>+'LISTA DE INSUMOS'!B67</f>
        <v>ACPM</v>
      </c>
      <c r="E853" s="108" t="str">
        <f>+'LISTA DE INSUMOS'!C67</f>
        <v>Gl</v>
      </c>
      <c r="F853" s="140">
        <v>0.05</v>
      </c>
      <c r="G853" s="141">
        <f>'LISTA DE INSUMOS'!E67</f>
        <v>9681.4499999999989</v>
      </c>
      <c r="H853" s="108">
        <v>1.05</v>
      </c>
      <c r="I853" s="141">
        <f>ROUND((F853*G853*H853),0)</f>
        <v>508</v>
      </c>
      <c r="J853" s="47"/>
      <c r="K853" s="143"/>
    </row>
    <row r="854" spans="2:11" ht="24.9" customHeight="1" thickTop="1" thickBot="1" x14ac:dyDescent="0.25">
      <c r="B854" s="191" t="s">
        <v>1310</v>
      </c>
      <c r="C854" s="108" t="str">
        <f>+B544</f>
        <v>ITE092</v>
      </c>
      <c r="D854" s="139" t="str">
        <f>+D544</f>
        <v>Concreto de 20,7 Mpa (3000 psi) (producción)</v>
      </c>
      <c r="E854" s="108" t="str">
        <f>+E544</f>
        <v>M3</v>
      </c>
      <c r="F854" s="140">
        <v>7.0000000000000007E-2</v>
      </c>
      <c r="G854" s="141">
        <f>G544</f>
        <v>596118</v>
      </c>
      <c r="H854" s="108">
        <v>1.05</v>
      </c>
      <c r="I854" s="141">
        <f>ROUND((F854*G854*H854),0)</f>
        <v>43815</v>
      </c>
      <c r="J854" s="47"/>
      <c r="K854" s="143"/>
    </row>
    <row r="855" spans="2:11" ht="24.9" customHeight="1" thickTop="1" thickBot="1" x14ac:dyDescent="0.25">
      <c r="B855" s="156" t="s">
        <v>1034</v>
      </c>
      <c r="C855" s="108" t="str">
        <f>+'LISTA DE INSUMOS'!A18</f>
        <v>MOB015</v>
      </c>
      <c r="D855" s="139" t="str">
        <f>+'LISTA DE INSUMOS'!B18</f>
        <v>Cuadrilla E 1 Of + 1 Ay (jornal + prestaciones)</v>
      </c>
      <c r="E855" s="108" t="str">
        <f>+'LISTA DE INSUMOS'!C18</f>
        <v>Día</v>
      </c>
      <c r="F855" s="140">
        <v>1</v>
      </c>
      <c r="G855" s="141">
        <f>'LISTA DE INSUMOS'!E18</f>
        <v>245584</v>
      </c>
      <c r="H855" s="108">
        <f>1/5.5</f>
        <v>0.18181818181818182</v>
      </c>
      <c r="I855" s="141">
        <f>ROUND((F855*G855*H855),0)</f>
        <v>44652</v>
      </c>
      <c r="J855" s="47"/>
      <c r="K855" s="143"/>
    </row>
    <row r="856" spans="2:11" ht="24.9" customHeight="1" thickTop="1" thickBot="1" x14ac:dyDescent="0.25">
      <c r="B856" s="150" t="s">
        <v>1033</v>
      </c>
      <c r="C856" s="151" t="str">
        <f>+'LISTA DE INSUMOS'!A758</f>
        <v>EQU002</v>
      </c>
      <c r="D856" s="146" t="str">
        <f>+'LISTA DE INSUMOS'!B758</f>
        <v>Herramienta menor (% mano obra)</v>
      </c>
      <c r="E856" s="145" t="str">
        <f>+'LISTA DE INSUMOS'!C758</f>
        <v>%MO</v>
      </c>
      <c r="F856" s="147">
        <v>0.1</v>
      </c>
      <c r="G856" s="148">
        <f>I855</f>
        <v>44652</v>
      </c>
      <c r="H856" s="145">
        <v>0</v>
      </c>
      <c r="I856" s="148">
        <f>ROUND((F856*G856),0)</f>
        <v>4465</v>
      </c>
      <c r="J856" s="47"/>
      <c r="K856" s="143"/>
    </row>
    <row r="857" spans="2:11" ht="24.9" customHeight="1" x14ac:dyDescent="0.2">
      <c r="B857" s="117" t="s">
        <v>2056</v>
      </c>
      <c r="C857" s="117"/>
      <c r="D857" s="112" t="s">
        <v>201</v>
      </c>
      <c r="E857" s="117" t="s">
        <v>2586</v>
      </c>
      <c r="F857" s="149"/>
      <c r="G857" s="119">
        <f>ROUND(SUM(I857:I864),0)</f>
        <v>949005</v>
      </c>
      <c r="H857" s="120"/>
      <c r="I857" s="119"/>
      <c r="J857" s="47"/>
      <c r="K857" s="143"/>
    </row>
    <row r="858" spans="2:11" ht="24.9" customHeight="1" x14ac:dyDescent="0.2">
      <c r="B858" s="657" t="s">
        <v>1325</v>
      </c>
      <c r="C858" s="108" t="str">
        <f>+'LISTA DE INSUMOS'!A67</f>
        <v>MAT034</v>
      </c>
      <c r="D858" s="139" t="str">
        <f>+'LISTA DE INSUMOS'!B67</f>
        <v>ACPM</v>
      </c>
      <c r="E858" s="108" t="str">
        <f>+'LISTA DE INSUMOS'!C67</f>
        <v>Gl</v>
      </c>
      <c r="F858" s="140">
        <v>0.6</v>
      </c>
      <c r="G858" s="141">
        <f>+'LISTA DE INSUMOS'!E67</f>
        <v>9681.4499999999989</v>
      </c>
      <c r="H858" s="108">
        <v>1.05</v>
      </c>
      <c r="I858" s="141">
        <f>ROUND((F858*G858*H858),0)</f>
        <v>6099</v>
      </c>
      <c r="J858" s="47"/>
    </row>
    <row r="859" spans="2:11" ht="24.9" customHeight="1" thickBot="1" x14ac:dyDescent="0.25">
      <c r="B859" s="659"/>
      <c r="C859" s="108" t="str">
        <f>+'LISTA DE INSUMOS'!A93</f>
        <v>MAT051</v>
      </c>
      <c r="D859" s="139" t="str">
        <f>+'LISTA DE INSUMOS'!B93</f>
        <v>Antisol blanco</v>
      </c>
      <c r="E859" s="108" t="str">
        <f>+'LISTA DE INSUMOS'!C93</f>
        <v>Kg</v>
      </c>
      <c r="F859" s="160">
        <v>2.5</v>
      </c>
      <c r="G859" s="141">
        <f>+'LISTA DE INSUMOS'!E93</f>
        <v>11510.734499999999</v>
      </c>
      <c r="H859" s="108">
        <v>1.03</v>
      </c>
      <c r="I859" s="141">
        <f>ROUND((F859*G859*H859),0)</f>
        <v>29640</v>
      </c>
      <c r="J859" s="47"/>
      <c r="K859" s="143"/>
    </row>
    <row r="860" spans="2:11" ht="24.9" customHeight="1" thickTop="1" thickBot="1" x14ac:dyDescent="0.25">
      <c r="B860" s="191" t="s">
        <v>1310</v>
      </c>
      <c r="C860" s="108" t="str">
        <f>+B544</f>
        <v>ITE092</v>
      </c>
      <c r="D860" s="139" t="str">
        <f>+D544</f>
        <v>Concreto de 20,7 Mpa (3000 psi) (producción)</v>
      </c>
      <c r="E860" s="108" t="str">
        <f>+E544</f>
        <v>M3</v>
      </c>
      <c r="F860" s="140">
        <v>1</v>
      </c>
      <c r="G860" s="141">
        <f>G544</f>
        <v>596118</v>
      </c>
      <c r="H860" s="205">
        <v>1.05</v>
      </c>
      <c r="I860" s="141">
        <f>ROUND((F860*G860*H860),0)</f>
        <v>625924</v>
      </c>
      <c r="J860" s="47"/>
      <c r="K860" s="143"/>
    </row>
    <row r="861" spans="2:11" ht="24.9" customHeight="1" thickTop="1" thickBot="1" x14ac:dyDescent="0.25">
      <c r="B861" s="156" t="s">
        <v>1034</v>
      </c>
      <c r="C861" s="108" t="str">
        <f>+'LISTA DE INSUMOS'!A9</f>
        <v>MOB006</v>
      </c>
      <c r="D861" s="139" t="str">
        <f>+'LISTA DE INSUMOS'!B9</f>
        <v>Cuadrilla A 1 Of + 4 Ay (jornal + prestaciones)</v>
      </c>
      <c r="E861" s="108" t="str">
        <f>+'LISTA DE INSUMOS'!C9</f>
        <v>Día</v>
      </c>
      <c r="F861" s="140">
        <v>1</v>
      </c>
      <c r="G861" s="141">
        <f>'LISTA DE INSUMOS'!E9</f>
        <v>491167</v>
      </c>
      <c r="H861" s="205">
        <f>1/2</f>
        <v>0.5</v>
      </c>
      <c r="I861" s="141">
        <f>ROUND((F861*G861*H861),0)</f>
        <v>245584</v>
      </c>
      <c r="J861" s="47"/>
      <c r="K861" s="143"/>
    </row>
    <row r="862" spans="2:11" ht="24.9" customHeight="1" thickTop="1" x14ac:dyDescent="0.2">
      <c r="B862" s="674" t="s">
        <v>1033</v>
      </c>
      <c r="C862" s="108" t="str">
        <f>+'LISTA DE INSUMOS'!A758</f>
        <v>EQU002</v>
      </c>
      <c r="D862" s="139" t="str">
        <f>+'LISTA DE INSUMOS'!B758</f>
        <v>Herramienta menor (% mano obra)</v>
      </c>
      <c r="E862" s="108" t="str">
        <f>+'LISTA DE INSUMOS'!C758</f>
        <v>%MO</v>
      </c>
      <c r="F862" s="140">
        <v>0.1</v>
      </c>
      <c r="G862" s="141">
        <f>I861</f>
        <v>245584</v>
      </c>
      <c r="H862" s="205">
        <v>0</v>
      </c>
      <c r="I862" s="141">
        <f>ROUND((F862*G862),0)</f>
        <v>24558</v>
      </c>
      <c r="J862" s="47"/>
      <c r="K862" s="143"/>
    </row>
    <row r="863" spans="2:11" ht="24.9" customHeight="1" thickBot="1" x14ac:dyDescent="0.25">
      <c r="B863" s="675"/>
      <c r="C863" s="108" t="str">
        <f>+'LISTA DE INSUMOS'!A775</f>
        <v>EQU018</v>
      </c>
      <c r="D863" s="139" t="str">
        <f>+'LISTA DE INSUMOS'!B775</f>
        <v>Vibrador eléctrico o a gasolina</v>
      </c>
      <c r="E863" s="108" t="str">
        <f>+'LISTA DE INSUMOS'!C775</f>
        <v>Día</v>
      </c>
      <c r="F863" s="160">
        <v>1</v>
      </c>
      <c r="G863" s="141">
        <f>'LISTA DE INSUMOS'!E775</f>
        <v>42234.2781968536</v>
      </c>
      <c r="H863" s="205">
        <f>1/5</f>
        <v>0.2</v>
      </c>
      <c r="I863" s="141">
        <f>ROUND((F863*G863*H863),0)</f>
        <v>8447</v>
      </c>
      <c r="J863" s="47"/>
      <c r="K863" s="143"/>
    </row>
    <row r="864" spans="2:11" ht="24.9" customHeight="1" thickTop="1" thickBot="1" x14ac:dyDescent="0.25">
      <c r="B864" s="171" t="s">
        <v>421</v>
      </c>
      <c r="C864" s="145" t="str">
        <f>+'LISTA DE INSUMOS'!A823</f>
        <v>ESY001</v>
      </c>
      <c r="D864" s="146" t="str">
        <f>+'LISTA DE INSUMOS'!B823</f>
        <v>Ensayo resistencia concretos (un testigo)</v>
      </c>
      <c r="E864" s="145" t="str">
        <f>+'LISTA DE INSUMOS'!C823</f>
        <v>Un</v>
      </c>
      <c r="F864" s="172">
        <f>1/10*3</f>
        <v>0.30000000000000004</v>
      </c>
      <c r="G864" s="173">
        <f>'LISTA DE INSUMOS'!E823</f>
        <v>29175.946249999997</v>
      </c>
      <c r="H864" s="174">
        <v>0</v>
      </c>
      <c r="I864" s="148">
        <f>ROUND((F864*G864),0)</f>
        <v>8753</v>
      </c>
      <c r="J864" s="47"/>
      <c r="K864" s="143"/>
    </row>
    <row r="865" spans="2:11" ht="24.9" customHeight="1" x14ac:dyDescent="0.2">
      <c r="B865" s="117" t="s">
        <v>1467</v>
      </c>
      <c r="C865" s="117"/>
      <c r="D865" s="112" t="s">
        <v>202</v>
      </c>
      <c r="E865" s="117" t="s">
        <v>2586</v>
      </c>
      <c r="F865" s="149"/>
      <c r="G865" s="119">
        <f>ROUND(SUM(I865:I872),0)</f>
        <v>958235</v>
      </c>
      <c r="H865" s="120"/>
      <c r="I865" s="119"/>
      <c r="J865" s="47"/>
      <c r="K865" s="143"/>
    </row>
    <row r="866" spans="2:11" ht="24.9" customHeight="1" x14ac:dyDescent="0.2">
      <c r="B866" s="657" t="s">
        <v>1325</v>
      </c>
      <c r="C866" s="108" t="str">
        <f>+'LISTA DE INSUMOS'!A67</f>
        <v>MAT034</v>
      </c>
      <c r="D866" s="139" t="str">
        <f>+'LISTA DE INSUMOS'!B67</f>
        <v>ACPM</v>
      </c>
      <c r="E866" s="108" t="str">
        <f>+'LISTA DE INSUMOS'!C67</f>
        <v>Gl</v>
      </c>
      <c r="F866" s="140">
        <v>0.6</v>
      </c>
      <c r="G866" s="141">
        <f>'LISTA DE INSUMOS'!E67</f>
        <v>9681.4499999999989</v>
      </c>
      <c r="H866" s="108">
        <v>1.05</v>
      </c>
      <c r="I866" s="141">
        <f>ROUND((F866*G866*H866),0)</f>
        <v>6099</v>
      </c>
      <c r="J866" s="47"/>
      <c r="K866" s="143"/>
    </row>
    <row r="867" spans="2:11" ht="24.9" customHeight="1" thickBot="1" x14ac:dyDescent="0.25">
      <c r="B867" s="659"/>
      <c r="C867" s="108" t="str">
        <f>+'LISTA DE INSUMOS'!A93</f>
        <v>MAT051</v>
      </c>
      <c r="D867" s="139" t="str">
        <f>+'LISTA DE INSUMOS'!B93</f>
        <v>Antisol blanco</v>
      </c>
      <c r="E867" s="108" t="str">
        <f>+'LISTA DE INSUMOS'!C93</f>
        <v>Kg</v>
      </c>
      <c r="F867" s="160">
        <v>1</v>
      </c>
      <c r="G867" s="141">
        <f>+'LISTA DE INSUMOS'!E93</f>
        <v>11510.734499999999</v>
      </c>
      <c r="H867" s="108">
        <v>1.03</v>
      </c>
      <c r="I867" s="141">
        <f>ROUND((F867*G867*H867),0)</f>
        <v>11856</v>
      </c>
      <c r="J867" s="47"/>
      <c r="K867" s="143"/>
    </row>
    <row r="868" spans="2:11" ht="24.9" customHeight="1" thickTop="1" thickBot="1" x14ac:dyDescent="0.25">
      <c r="B868" s="191" t="s">
        <v>1310</v>
      </c>
      <c r="C868" s="108" t="str">
        <f>+B544</f>
        <v>ITE092</v>
      </c>
      <c r="D868" s="139" t="str">
        <f>+D544</f>
        <v>Concreto de 20,7 Mpa (3000 psi) (producción)</v>
      </c>
      <c r="E868" s="108" t="str">
        <f>+E544</f>
        <v>M3</v>
      </c>
      <c r="F868" s="140">
        <v>1</v>
      </c>
      <c r="G868" s="141">
        <f>G544</f>
        <v>596118</v>
      </c>
      <c r="H868" s="205">
        <v>1.05</v>
      </c>
      <c r="I868" s="141">
        <f>ROUND((F868*G868*H868),0)</f>
        <v>625924</v>
      </c>
      <c r="J868" s="47"/>
      <c r="K868" s="143"/>
    </row>
    <row r="869" spans="2:11" ht="24.9" customHeight="1" thickTop="1" thickBot="1" x14ac:dyDescent="0.25">
      <c r="B869" s="156" t="s">
        <v>1034</v>
      </c>
      <c r="C869" s="108" t="str">
        <f>+'LISTA DE INSUMOS'!A9</f>
        <v>MOB006</v>
      </c>
      <c r="D869" s="139" t="str">
        <f>+'LISTA DE INSUMOS'!B9</f>
        <v>Cuadrilla A 1 Of + 4 Ay (jornal + prestaciones)</v>
      </c>
      <c r="E869" s="108" t="str">
        <f>+'LISTA DE INSUMOS'!C9</f>
        <v>Día</v>
      </c>
      <c r="F869" s="140">
        <v>1</v>
      </c>
      <c r="G869" s="141">
        <f>'LISTA DE INSUMOS'!E9</f>
        <v>491167</v>
      </c>
      <c r="H869" s="205">
        <v>0.55000000000000004</v>
      </c>
      <c r="I869" s="141">
        <f>ROUND((F869*G869*H869),0)</f>
        <v>270142</v>
      </c>
      <c r="J869" s="47"/>
      <c r="K869" s="143"/>
    </row>
    <row r="870" spans="2:11" ht="24.9" customHeight="1" thickTop="1" x14ac:dyDescent="0.2">
      <c r="B870" s="674" t="s">
        <v>1033</v>
      </c>
      <c r="C870" s="108" t="str">
        <f>+'LISTA DE INSUMOS'!A758</f>
        <v>EQU002</v>
      </c>
      <c r="D870" s="139" t="str">
        <f>+'LISTA DE INSUMOS'!B758</f>
        <v>Herramienta menor (% mano obra)</v>
      </c>
      <c r="E870" s="108" t="str">
        <f>+'LISTA DE INSUMOS'!C758</f>
        <v>%MO</v>
      </c>
      <c r="F870" s="140">
        <v>0.1</v>
      </c>
      <c r="G870" s="141">
        <f>I869</f>
        <v>270142</v>
      </c>
      <c r="H870" s="205">
        <v>0</v>
      </c>
      <c r="I870" s="141">
        <f>ROUND((F870*G870),0)</f>
        <v>27014</v>
      </c>
      <c r="J870" s="47"/>
      <c r="K870" s="143"/>
    </row>
    <row r="871" spans="2:11" ht="24.9" customHeight="1" thickBot="1" x14ac:dyDescent="0.25">
      <c r="B871" s="675"/>
      <c r="C871" s="108" t="str">
        <f>+'LISTA DE INSUMOS'!A775</f>
        <v>EQU018</v>
      </c>
      <c r="D871" s="139" t="str">
        <f>+'LISTA DE INSUMOS'!B775</f>
        <v>Vibrador eléctrico o a gasolina</v>
      </c>
      <c r="E871" s="108" t="str">
        <f>+'LISTA DE INSUMOS'!C775</f>
        <v>Día</v>
      </c>
      <c r="F871" s="160">
        <v>1</v>
      </c>
      <c r="G871" s="141">
        <f>+'LISTA DE INSUMOS'!E775</f>
        <v>42234.2781968536</v>
      </c>
      <c r="H871" s="205">
        <f>1/5</f>
        <v>0.2</v>
      </c>
      <c r="I871" s="141">
        <f>ROUND((F871*G871*H871),0)</f>
        <v>8447</v>
      </c>
      <c r="J871" s="47"/>
      <c r="K871" s="143"/>
    </row>
    <row r="872" spans="2:11" ht="24.9" customHeight="1" thickTop="1" thickBot="1" x14ac:dyDescent="0.25">
      <c r="B872" s="171" t="s">
        <v>421</v>
      </c>
      <c r="C872" s="145" t="str">
        <f>+'LISTA DE INSUMOS'!A823</f>
        <v>ESY001</v>
      </c>
      <c r="D872" s="146" t="str">
        <f>+'LISTA DE INSUMOS'!B823</f>
        <v>Ensayo resistencia concretos (un testigo)</v>
      </c>
      <c r="E872" s="145" t="str">
        <f>+'LISTA DE INSUMOS'!C823</f>
        <v>Un</v>
      </c>
      <c r="F872" s="172">
        <f>1/10*3</f>
        <v>0.30000000000000004</v>
      </c>
      <c r="G872" s="173">
        <f>+'LISTA DE INSUMOS'!E823</f>
        <v>29175.946249999997</v>
      </c>
      <c r="H872" s="174">
        <v>0</v>
      </c>
      <c r="I872" s="148">
        <f>ROUND((F872*G872),0)</f>
        <v>8753</v>
      </c>
      <c r="J872" s="47"/>
      <c r="K872" s="143"/>
    </row>
    <row r="873" spans="2:11" ht="35.25" customHeight="1" x14ac:dyDescent="0.2">
      <c r="B873" s="117" t="s">
        <v>1452</v>
      </c>
      <c r="C873" s="117"/>
      <c r="D873" s="112" t="s">
        <v>2951</v>
      </c>
      <c r="E873" s="117" t="s">
        <v>2585</v>
      </c>
      <c r="F873" s="149"/>
      <c r="G873" s="119">
        <f>ROUND(SUM(I873:I882),0)</f>
        <v>58657</v>
      </c>
      <c r="H873" s="120"/>
      <c r="I873" s="119"/>
      <c r="J873" s="47"/>
      <c r="K873" s="143"/>
    </row>
    <row r="874" spans="2:11" ht="24.9" customHeight="1" x14ac:dyDescent="0.2">
      <c r="B874" s="672" t="s">
        <v>1035</v>
      </c>
      <c r="C874" s="108" t="str">
        <f>+'LISTA DE INSUMOS'!A46</f>
        <v>MAT017</v>
      </c>
      <c r="D874" s="139" t="str">
        <f>+'LISTA DE INSUMOS'!B46</f>
        <v>Tabla para formaleta de 1" x 10" x 2,9 m</v>
      </c>
      <c r="E874" s="108" t="str">
        <f>+'LISTA DE INSUMOS'!C46</f>
        <v>M</v>
      </c>
      <c r="F874" s="140">
        <v>1</v>
      </c>
      <c r="G874" s="141">
        <f>'LISTA DE INSUMOS'!E46</f>
        <v>8112.0359999999991</v>
      </c>
      <c r="H874" s="205">
        <f>1/3</f>
        <v>0.33333333333333331</v>
      </c>
      <c r="I874" s="141">
        <f t="shared" ref="I874:I880" si="15">ROUND((F874*G874*H874),0)</f>
        <v>2704</v>
      </c>
      <c r="J874" s="47"/>
      <c r="K874" s="143"/>
    </row>
    <row r="875" spans="2:11" ht="24.9" customHeight="1" x14ac:dyDescent="0.2">
      <c r="B875" s="672"/>
      <c r="C875" s="108" t="str">
        <f>+'LISTA DE INSUMOS'!A132</f>
        <v>MAT091</v>
      </c>
      <c r="D875" s="139" t="str">
        <f>+'LISTA DE INSUMOS'!B132</f>
        <v>Varillón de sajo</v>
      </c>
      <c r="E875" s="108" t="str">
        <f>+'LISTA DE INSUMOS'!C132</f>
        <v>M</v>
      </c>
      <c r="F875" s="140">
        <v>2</v>
      </c>
      <c r="G875" s="141">
        <f>'LISTA DE INSUMOS'!E132</f>
        <v>2979.6450687603597</v>
      </c>
      <c r="H875" s="205">
        <f>1/3</f>
        <v>0.33333333333333331</v>
      </c>
      <c r="I875" s="141">
        <f t="shared" si="15"/>
        <v>1986</v>
      </c>
      <c r="J875" s="47"/>
      <c r="K875" s="143"/>
    </row>
    <row r="876" spans="2:11" ht="24.9" customHeight="1" x14ac:dyDescent="0.2">
      <c r="B876" s="672"/>
      <c r="C876" s="108" t="str">
        <f>+'LISTA DE INSUMOS'!A52</f>
        <v>MAT021</v>
      </c>
      <c r="D876" s="139" t="str">
        <f>+'LISTA DE INSUMOS'!B52</f>
        <v>Puntilla (promedio)</v>
      </c>
      <c r="E876" s="108" t="str">
        <f>+'LISTA DE INSUMOS'!C52</f>
        <v>Lb</v>
      </c>
      <c r="F876" s="140">
        <v>0.05</v>
      </c>
      <c r="G876" s="141">
        <f>'LISTA DE INSUMOS'!E52</f>
        <v>6690.6972299999998</v>
      </c>
      <c r="H876" s="108">
        <v>0</v>
      </c>
      <c r="I876" s="141">
        <f>ROUND((F876*G876),0)</f>
        <v>335</v>
      </c>
      <c r="J876" s="47"/>
      <c r="K876" s="143"/>
    </row>
    <row r="877" spans="2:11" ht="24.9" customHeight="1" x14ac:dyDescent="0.2">
      <c r="B877" s="672"/>
      <c r="C877" s="108" t="str">
        <f>+'LISTA DE INSUMOS'!A93</f>
        <v>MAT051</v>
      </c>
      <c r="D877" s="139" t="str">
        <f>+'LISTA DE INSUMOS'!B93</f>
        <v>Antisol blanco</v>
      </c>
      <c r="E877" s="108" t="str">
        <f>+'LISTA DE INSUMOS'!C93</f>
        <v>Kg</v>
      </c>
      <c r="F877" s="160">
        <v>0.2</v>
      </c>
      <c r="G877" s="141">
        <f>+'LISTA DE INSUMOS'!E93</f>
        <v>11510.734499999999</v>
      </c>
      <c r="H877" s="108">
        <v>1.03</v>
      </c>
      <c r="I877" s="141">
        <f>ROUND((F877*G877*H877),0)</f>
        <v>2371</v>
      </c>
      <c r="J877" s="47"/>
      <c r="K877" s="143"/>
    </row>
    <row r="878" spans="2:11" ht="24.9" customHeight="1" thickBot="1" x14ac:dyDescent="0.25">
      <c r="B878" s="673"/>
      <c r="C878" s="108" t="str">
        <f>+'LISTA DE INSUMOS'!A67</f>
        <v>MAT034</v>
      </c>
      <c r="D878" s="139" t="str">
        <f>+'LISTA DE INSUMOS'!B67</f>
        <v>ACPM</v>
      </c>
      <c r="E878" s="108" t="str">
        <f>+'LISTA DE INSUMOS'!C67</f>
        <v>Gl</v>
      </c>
      <c r="F878" s="140">
        <v>0.05</v>
      </c>
      <c r="G878" s="141">
        <f>'LISTA DE INSUMOS'!E67</f>
        <v>9681.4499999999989</v>
      </c>
      <c r="H878" s="108">
        <v>1.05</v>
      </c>
      <c r="I878" s="141">
        <f>ROUND((F878*G878*H878),0)</f>
        <v>508</v>
      </c>
      <c r="J878" s="47"/>
      <c r="K878" s="143"/>
    </row>
    <row r="879" spans="2:11" ht="24.9" customHeight="1" thickTop="1" thickBot="1" x14ac:dyDescent="0.25">
      <c r="B879" s="191" t="s">
        <v>1310</v>
      </c>
      <c r="C879" s="108" t="str">
        <f>+B544</f>
        <v>ITE092</v>
      </c>
      <c r="D879" s="139" t="str">
        <f>+D544</f>
        <v>Concreto de 20,7 Mpa (3000 psi) (producción)</v>
      </c>
      <c r="E879" s="108" t="str">
        <f>+E544</f>
        <v>M3</v>
      </c>
      <c r="F879" s="140">
        <v>7.0000000000000007E-2</v>
      </c>
      <c r="G879" s="141">
        <f>G544</f>
        <v>596118</v>
      </c>
      <c r="H879" s="205">
        <v>1.05</v>
      </c>
      <c r="I879" s="141">
        <f t="shared" si="15"/>
        <v>43815</v>
      </c>
      <c r="J879" s="47"/>
      <c r="K879" s="143"/>
    </row>
    <row r="880" spans="2:11" ht="24.9" customHeight="1" thickTop="1" thickBot="1" x14ac:dyDescent="0.25">
      <c r="B880" s="156" t="s">
        <v>1034</v>
      </c>
      <c r="C880" s="108" t="str">
        <f>+'LISTA DE INSUMOS'!A9</f>
        <v>MOB006</v>
      </c>
      <c r="D880" s="139" t="str">
        <f>+'LISTA DE INSUMOS'!B9</f>
        <v>Cuadrilla A 1 Of + 4 Ay (jornal + prestaciones)</v>
      </c>
      <c r="E880" s="108" t="str">
        <f>+'LISTA DE INSUMOS'!C9</f>
        <v>Día</v>
      </c>
      <c r="F880" s="140">
        <v>1</v>
      </c>
      <c r="G880" s="141">
        <f>'LISTA DE INSUMOS'!E9</f>
        <v>491167</v>
      </c>
      <c r="H880" s="219">
        <f>1/90</f>
        <v>1.1111111111111112E-2</v>
      </c>
      <c r="I880" s="141">
        <f t="shared" si="15"/>
        <v>5457</v>
      </c>
      <c r="J880" s="47"/>
      <c r="K880" s="143"/>
    </row>
    <row r="881" spans="2:11" ht="24.9" customHeight="1" thickTop="1" x14ac:dyDescent="0.2">
      <c r="B881" s="674" t="s">
        <v>1033</v>
      </c>
      <c r="C881" s="108" t="str">
        <f>+'LISTA DE INSUMOS'!A758</f>
        <v>EQU002</v>
      </c>
      <c r="D881" s="139" t="str">
        <f>+'LISTA DE INSUMOS'!B758</f>
        <v>Herramienta menor (% mano obra)</v>
      </c>
      <c r="E881" s="108" t="str">
        <f>+'LISTA DE INSUMOS'!C758</f>
        <v>%MO</v>
      </c>
      <c r="F881" s="140">
        <v>0.1</v>
      </c>
      <c r="G881" s="141">
        <f>I880</f>
        <v>5457</v>
      </c>
      <c r="H881" s="205">
        <v>0</v>
      </c>
      <c r="I881" s="141">
        <f>ROUND((F881*G881),0)</f>
        <v>546</v>
      </c>
      <c r="J881" s="47"/>
      <c r="K881" s="143"/>
    </row>
    <row r="882" spans="2:11" ht="24.9" customHeight="1" thickBot="1" x14ac:dyDescent="0.25">
      <c r="B882" s="709"/>
      <c r="C882" s="145" t="str">
        <f>+'LISTA DE INSUMOS'!A783</f>
        <v>EQU026</v>
      </c>
      <c r="D882" s="146" t="str">
        <f>+'LISTA DE INSUMOS'!B783</f>
        <v>Regla vibradora</v>
      </c>
      <c r="E882" s="145" t="str">
        <f>+'LISTA DE INSUMOS'!C783</f>
        <v>Día</v>
      </c>
      <c r="F882" s="147">
        <v>1</v>
      </c>
      <c r="G882" s="148">
        <f>'LISTA DE INSUMOS'!E783</f>
        <v>46728.195513999992</v>
      </c>
      <c r="H882" s="206">
        <f>1/50</f>
        <v>0.02</v>
      </c>
      <c r="I882" s="148">
        <f>ROUND((F882*G882*H882),0)</f>
        <v>935</v>
      </c>
      <c r="J882" s="47"/>
      <c r="K882" s="143"/>
    </row>
    <row r="883" spans="2:11" ht="24.9" customHeight="1" x14ac:dyDescent="0.2">
      <c r="B883" s="117" t="s">
        <v>1704</v>
      </c>
      <c r="C883" s="117"/>
      <c r="D883" s="112" t="s">
        <v>430</v>
      </c>
      <c r="E883" s="117" t="s">
        <v>2586</v>
      </c>
      <c r="F883" s="149"/>
      <c r="G883" s="119">
        <f>ROUND(SUM(I883:I896),0)</f>
        <v>1315674</v>
      </c>
      <c r="H883" s="120"/>
      <c r="I883" s="119"/>
      <c r="J883" s="47"/>
      <c r="K883" s="143"/>
    </row>
    <row r="884" spans="2:11" ht="24.9" customHeight="1" x14ac:dyDescent="0.2">
      <c r="B884" s="672" t="s">
        <v>1035</v>
      </c>
      <c r="C884" s="108" t="str">
        <f>+'LISTA DE INSUMOS'!A46</f>
        <v>MAT017</v>
      </c>
      <c r="D884" s="139" t="str">
        <f>+'LISTA DE INSUMOS'!B46</f>
        <v>Tabla para formaleta de 1" x 10" x 2,9 m</v>
      </c>
      <c r="E884" s="108" t="str">
        <f>+'LISTA DE INSUMOS'!C46</f>
        <v>M</v>
      </c>
      <c r="F884" s="140">
        <v>10</v>
      </c>
      <c r="G884" s="141">
        <f>'LISTA DE INSUMOS'!E46</f>
        <v>8112.0359999999991</v>
      </c>
      <c r="H884" s="205">
        <f>1/3</f>
        <v>0.33333333333333331</v>
      </c>
      <c r="I884" s="141">
        <f>ROUND((F884*G884*H884),0)</f>
        <v>27040</v>
      </c>
      <c r="J884" s="47"/>
      <c r="K884" s="143"/>
    </row>
    <row r="885" spans="2:11" ht="24.9" customHeight="1" x14ac:dyDescent="0.2">
      <c r="B885" s="672"/>
      <c r="C885" s="108" t="str">
        <f>+'LISTA DE INSUMOS'!A49</f>
        <v>MAT018</v>
      </c>
      <c r="D885" s="139" t="str">
        <f>+'LISTA DE INSUMOS'!B49</f>
        <v>Cuartón de sajo 2" x 4" x 2,9 m</v>
      </c>
      <c r="E885" s="108" t="str">
        <f>+'LISTA DE INSUMOS'!C49</f>
        <v>M</v>
      </c>
      <c r="F885" s="140">
        <v>8</v>
      </c>
      <c r="G885" s="141">
        <f>'LISTA DE INSUMOS'!E49</f>
        <v>11944.810644542158</v>
      </c>
      <c r="H885" s="205">
        <f>1/3</f>
        <v>0.33333333333333331</v>
      </c>
      <c r="I885" s="141">
        <f>ROUND((F885*G885*H885),0)</f>
        <v>31853</v>
      </c>
      <c r="J885" s="47"/>
      <c r="K885" s="143"/>
    </row>
    <row r="886" spans="2:11" ht="24.9" customHeight="1" x14ac:dyDescent="0.2">
      <c r="B886" s="672"/>
      <c r="C886" s="108" t="str">
        <f>+'LISTA DE INSUMOS'!A132</f>
        <v>MAT091</v>
      </c>
      <c r="D886" s="139" t="str">
        <f>+'LISTA DE INSUMOS'!B132</f>
        <v>Varillón de sajo</v>
      </c>
      <c r="E886" s="108" t="str">
        <f>+'LISTA DE INSUMOS'!C132</f>
        <v>M</v>
      </c>
      <c r="F886" s="140">
        <v>10</v>
      </c>
      <c r="G886" s="141">
        <f>'LISTA DE INSUMOS'!E132</f>
        <v>2979.6450687603597</v>
      </c>
      <c r="H886" s="205">
        <f>1/3</f>
        <v>0.33333333333333331</v>
      </c>
      <c r="I886" s="141">
        <f>ROUND((F886*G886*H886),0)</f>
        <v>9932</v>
      </c>
      <c r="J886" s="47"/>
      <c r="K886" s="143"/>
    </row>
    <row r="887" spans="2:11" ht="24.9" customHeight="1" x14ac:dyDescent="0.2">
      <c r="B887" s="672"/>
      <c r="C887" s="108" t="str">
        <f>+'LISTA DE INSUMOS'!A52</f>
        <v>MAT021</v>
      </c>
      <c r="D887" s="139" t="str">
        <f>+'LISTA DE INSUMOS'!B52</f>
        <v>Puntilla (promedio)</v>
      </c>
      <c r="E887" s="108" t="str">
        <f>+'LISTA DE INSUMOS'!C52</f>
        <v>Lb</v>
      </c>
      <c r="F887" s="140">
        <v>4</v>
      </c>
      <c r="G887" s="141">
        <f>'LISTA DE INSUMOS'!E52</f>
        <v>6690.6972299999998</v>
      </c>
      <c r="H887" s="205">
        <v>0</v>
      </c>
      <c r="I887" s="141">
        <f>ROUND((F887*G887),0)</f>
        <v>26763</v>
      </c>
      <c r="J887" s="47"/>
      <c r="K887" s="143"/>
    </row>
    <row r="888" spans="2:11" ht="24.9" customHeight="1" x14ac:dyDescent="0.2">
      <c r="B888" s="672"/>
      <c r="C888" s="108" t="str">
        <f>+'LISTA DE INSUMOS'!A53</f>
        <v>MAT022</v>
      </c>
      <c r="D888" s="139" t="str">
        <f>+'LISTA DE INSUMOS'!B53</f>
        <v>Alambre negro calibre 17</v>
      </c>
      <c r="E888" s="108" t="str">
        <f>+'LISTA DE INSUMOS'!C53</f>
        <v>Kg</v>
      </c>
      <c r="F888" s="140">
        <v>2</v>
      </c>
      <c r="G888" s="141">
        <f>'LISTA DE INSUMOS'!E53</f>
        <v>7948.98</v>
      </c>
      <c r="H888" s="205">
        <v>0</v>
      </c>
      <c r="I888" s="141">
        <f>ROUND((F888*G888),0)</f>
        <v>15898</v>
      </c>
      <c r="J888" s="47"/>
      <c r="K888" s="143"/>
    </row>
    <row r="889" spans="2:11" ht="24.9" customHeight="1" x14ac:dyDescent="0.2">
      <c r="B889" s="672"/>
      <c r="C889" s="108" t="str">
        <f>+'LISTA DE INSUMOS'!A67</f>
        <v>MAT034</v>
      </c>
      <c r="D889" s="139" t="str">
        <f>+'LISTA DE INSUMOS'!B67</f>
        <v>ACPM</v>
      </c>
      <c r="E889" s="108" t="str">
        <f>+'LISTA DE INSUMOS'!C67</f>
        <v>Gl</v>
      </c>
      <c r="F889" s="140">
        <v>0.6</v>
      </c>
      <c r="G889" s="141">
        <f>'LISTA DE INSUMOS'!E67</f>
        <v>9681.4499999999989</v>
      </c>
      <c r="H889" s="205">
        <v>0</v>
      </c>
      <c r="I889" s="141">
        <f>ROUND((F889*G889),0)</f>
        <v>5809</v>
      </c>
      <c r="J889" s="47"/>
      <c r="K889" s="143"/>
    </row>
    <row r="890" spans="2:11" ht="24.9" customHeight="1" thickBot="1" x14ac:dyDescent="0.25">
      <c r="B890" s="673"/>
      <c r="C890" s="108" t="str">
        <f>+'LISTA DE INSUMOS'!A93</f>
        <v>MAT051</v>
      </c>
      <c r="D890" s="139" t="str">
        <f>+'LISTA DE INSUMOS'!B93</f>
        <v>Antisol blanco</v>
      </c>
      <c r="E890" s="108" t="str">
        <f>+'LISTA DE INSUMOS'!C93</f>
        <v>Kg</v>
      </c>
      <c r="F890" s="140">
        <v>3</v>
      </c>
      <c r="G890" s="141">
        <f>'LISTA DE INSUMOS'!E93</f>
        <v>11510.734499999999</v>
      </c>
      <c r="H890" s="205">
        <v>1.03</v>
      </c>
      <c r="I890" s="141">
        <f>ROUND((F890*G890*H890),0)</f>
        <v>35568</v>
      </c>
      <c r="J890" s="47"/>
      <c r="K890" s="143"/>
    </row>
    <row r="891" spans="2:11" ht="24.9" customHeight="1" thickTop="1" thickBot="1" x14ac:dyDescent="0.25">
      <c r="B891" s="191" t="s">
        <v>1310</v>
      </c>
      <c r="C891" s="108" t="str">
        <f>+B544</f>
        <v>ITE092</v>
      </c>
      <c r="D891" s="139" t="str">
        <f>+D544</f>
        <v>Concreto de 20,7 Mpa (3000 psi) (producción)</v>
      </c>
      <c r="E891" s="108" t="str">
        <f>+E544</f>
        <v>M3</v>
      </c>
      <c r="F891" s="140">
        <v>1</v>
      </c>
      <c r="G891" s="141">
        <f>G544</f>
        <v>596118</v>
      </c>
      <c r="H891" s="205">
        <v>1.05</v>
      </c>
      <c r="I891" s="141">
        <f>ROUND((F891*G891*H891),0)</f>
        <v>625924</v>
      </c>
      <c r="J891" s="47"/>
      <c r="K891" s="143"/>
    </row>
    <row r="892" spans="2:11" ht="24.9" customHeight="1" thickTop="1" thickBot="1" x14ac:dyDescent="0.25">
      <c r="B892" s="158" t="s">
        <v>1034</v>
      </c>
      <c r="C892" s="108" t="str">
        <f>+'LISTA DE INSUMOS'!A17</f>
        <v>MOB014</v>
      </c>
      <c r="D892" s="139" t="str">
        <f>+'LISTA DE INSUMOS'!B17</f>
        <v>Cuadrilla D 2 Of + 4 Ay (jornal + prestaciones)</v>
      </c>
      <c r="E892" s="108" t="str">
        <f>+'LISTA DE INSUMOS'!C17</f>
        <v>Día</v>
      </c>
      <c r="F892" s="140">
        <v>1</v>
      </c>
      <c r="G892" s="141">
        <f>'LISTA DE INSUMOS'!E17</f>
        <v>654890</v>
      </c>
      <c r="H892" s="205">
        <f>1/1.5</f>
        <v>0.66666666666666663</v>
      </c>
      <c r="I892" s="141">
        <f>ROUND((F892*G892*H892),0)</f>
        <v>436593</v>
      </c>
      <c r="J892" s="47"/>
      <c r="K892" s="143"/>
    </row>
    <row r="893" spans="2:11" ht="24.9" customHeight="1" thickTop="1" x14ac:dyDescent="0.2">
      <c r="B893" s="674" t="s">
        <v>1033</v>
      </c>
      <c r="C893" s="108" t="str">
        <f>+'LISTA DE INSUMOS'!A758</f>
        <v>EQU002</v>
      </c>
      <c r="D893" s="139" t="str">
        <f>+'LISTA DE INSUMOS'!B758</f>
        <v>Herramienta menor (% mano obra)</v>
      </c>
      <c r="E893" s="108" t="str">
        <f>+'LISTA DE INSUMOS'!C758</f>
        <v>%MO</v>
      </c>
      <c r="F893" s="140">
        <v>0.1</v>
      </c>
      <c r="G893" s="141">
        <f>I892</f>
        <v>436593</v>
      </c>
      <c r="H893" s="205">
        <v>0</v>
      </c>
      <c r="I893" s="141">
        <f>ROUND((F893*G893),0)</f>
        <v>43659</v>
      </c>
      <c r="J893" s="47"/>
      <c r="K893" s="143"/>
    </row>
    <row r="894" spans="2:11" ht="24.9" customHeight="1" x14ac:dyDescent="0.2">
      <c r="B894" s="679"/>
      <c r="C894" s="108" t="str">
        <f>+'LISTA DE INSUMOS'!A762</f>
        <v>EQU006</v>
      </c>
      <c r="D894" s="139" t="str">
        <f>+'LISTA DE INSUMOS'!B762</f>
        <v>Andamio (% mano obra)</v>
      </c>
      <c r="E894" s="108" t="str">
        <f>+'LISTA DE INSUMOS'!C762</f>
        <v>%MO</v>
      </c>
      <c r="F894" s="140">
        <v>0.1</v>
      </c>
      <c r="G894" s="141">
        <f>I892</f>
        <v>436593</v>
      </c>
      <c r="H894" s="205">
        <v>0</v>
      </c>
      <c r="I894" s="141">
        <f>ROUND((F894*G894),0)</f>
        <v>43659</v>
      </c>
      <c r="J894" s="47"/>
      <c r="K894" s="143"/>
    </row>
    <row r="895" spans="2:11" ht="24.9" customHeight="1" thickBot="1" x14ac:dyDescent="0.25">
      <c r="B895" s="675"/>
      <c r="C895" s="108" t="str">
        <f>+'LISTA DE INSUMOS'!A775</f>
        <v>EQU018</v>
      </c>
      <c r="D895" s="139" t="str">
        <f>+'LISTA DE INSUMOS'!B775</f>
        <v>Vibrador eléctrico o a gasolina</v>
      </c>
      <c r="E895" s="108" t="str">
        <f>+'LISTA DE INSUMOS'!C775</f>
        <v>Día</v>
      </c>
      <c r="F895" s="160">
        <v>1</v>
      </c>
      <c r="G895" s="141">
        <f>'LISTA DE INSUMOS'!E775</f>
        <v>42234.2781968536</v>
      </c>
      <c r="H895" s="205">
        <f>1/10</f>
        <v>0.1</v>
      </c>
      <c r="I895" s="141">
        <f>ROUND((F895*G895*H895),0)</f>
        <v>4223</v>
      </c>
      <c r="J895" s="47"/>
      <c r="K895" s="143"/>
    </row>
    <row r="896" spans="2:11" ht="24.9" customHeight="1" thickTop="1" thickBot="1" x14ac:dyDescent="0.25">
      <c r="B896" s="171" t="s">
        <v>421</v>
      </c>
      <c r="C896" s="145" t="str">
        <f>+'LISTA DE INSUMOS'!A823</f>
        <v>ESY001</v>
      </c>
      <c r="D896" s="146" t="str">
        <f>+'LISTA DE INSUMOS'!B823</f>
        <v>Ensayo resistencia concretos (un testigo)</v>
      </c>
      <c r="E896" s="145" t="str">
        <f>+'LISTA DE INSUMOS'!C823</f>
        <v>Un</v>
      </c>
      <c r="F896" s="172">
        <f>1/10*3</f>
        <v>0.30000000000000004</v>
      </c>
      <c r="G896" s="173">
        <f>'LISTA DE INSUMOS'!E823</f>
        <v>29175.946249999997</v>
      </c>
      <c r="H896" s="174">
        <v>0</v>
      </c>
      <c r="I896" s="148">
        <f>ROUND((F896*G896),0)</f>
        <v>8753</v>
      </c>
      <c r="J896" s="47"/>
      <c r="K896" s="143"/>
    </row>
    <row r="897" spans="2:11" ht="24.9" customHeight="1" x14ac:dyDescent="0.2">
      <c r="B897" s="117" t="s">
        <v>2059</v>
      </c>
      <c r="C897" s="117"/>
      <c r="D897" s="112" t="s">
        <v>429</v>
      </c>
      <c r="E897" s="117" t="s">
        <v>2586</v>
      </c>
      <c r="F897" s="118"/>
      <c r="G897" s="119">
        <f>ROUND(SUM(I897:I910),0)</f>
        <v>1220115</v>
      </c>
      <c r="H897" s="120"/>
      <c r="I897" s="119"/>
      <c r="J897" s="47"/>
      <c r="K897" s="143"/>
    </row>
    <row r="898" spans="2:11" ht="24.9" customHeight="1" x14ac:dyDescent="0.2">
      <c r="B898" s="672" t="s">
        <v>1035</v>
      </c>
      <c r="C898" s="108" t="str">
        <f>+'LISTA DE INSUMOS'!A46</f>
        <v>MAT017</v>
      </c>
      <c r="D898" s="139" t="str">
        <f>+'LISTA DE INSUMOS'!B46</f>
        <v>Tabla para formaleta de 1" x 10" x 2,9 m</v>
      </c>
      <c r="E898" s="108" t="str">
        <f>+'LISTA DE INSUMOS'!C46</f>
        <v>M</v>
      </c>
      <c r="F898" s="140">
        <v>10</v>
      </c>
      <c r="G898" s="141">
        <f>'LISTA DE INSUMOS'!E46</f>
        <v>8112.0359999999991</v>
      </c>
      <c r="H898" s="205">
        <f>1/3</f>
        <v>0.33333333333333331</v>
      </c>
      <c r="I898" s="141">
        <f>ROUND((F898*G898*H898),0)</f>
        <v>27040</v>
      </c>
      <c r="J898" s="47"/>
      <c r="K898" s="143"/>
    </row>
    <row r="899" spans="2:11" ht="24.9" customHeight="1" x14ac:dyDescent="0.2">
      <c r="B899" s="672"/>
      <c r="C899" s="108" t="str">
        <f>+'LISTA DE INSUMOS'!A49</f>
        <v>MAT018</v>
      </c>
      <c r="D899" s="139" t="str">
        <f>+'LISTA DE INSUMOS'!B49</f>
        <v>Cuartón de sajo 2" x 4" x 2,9 m</v>
      </c>
      <c r="E899" s="108" t="str">
        <f>+'LISTA DE INSUMOS'!C49</f>
        <v>M</v>
      </c>
      <c r="F899" s="140">
        <v>8</v>
      </c>
      <c r="G899" s="141">
        <f>'LISTA DE INSUMOS'!E49</f>
        <v>11944.810644542158</v>
      </c>
      <c r="H899" s="205">
        <f>1/3</f>
        <v>0.33333333333333331</v>
      </c>
      <c r="I899" s="141">
        <f>ROUND((F899*G899*H899),0)</f>
        <v>31853</v>
      </c>
      <c r="J899" s="47"/>
      <c r="K899" s="143"/>
    </row>
    <row r="900" spans="2:11" ht="24.9" customHeight="1" x14ac:dyDescent="0.2">
      <c r="B900" s="672"/>
      <c r="C900" s="108" t="str">
        <f>+'LISTA DE INSUMOS'!A132</f>
        <v>MAT091</v>
      </c>
      <c r="D900" s="139" t="str">
        <f>+'LISTA DE INSUMOS'!B132</f>
        <v>Varillón de sajo</v>
      </c>
      <c r="E900" s="108" t="str">
        <f>+'LISTA DE INSUMOS'!C132</f>
        <v>M</v>
      </c>
      <c r="F900" s="140">
        <v>8</v>
      </c>
      <c r="G900" s="141">
        <f>'LISTA DE INSUMOS'!E132</f>
        <v>2979.6450687603597</v>
      </c>
      <c r="H900" s="205">
        <f>1/3</f>
        <v>0.33333333333333331</v>
      </c>
      <c r="I900" s="141">
        <f>ROUND((F900*G900*H900),0)</f>
        <v>7946</v>
      </c>
      <c r="J900" s="47"/>
      <c r="K900" s="143"/>
    </row>
    <row r="901" spans="2:11" ht="24.9" customHeight="1" x14ac:dyDescent="0.2">
      <c r="B901" s="672"/>
      <c r="C901" s="108" t="str">
        <f>+'LISTA DE INSUMOS'!A52</f>
        <v>MAT021</v>
      </c>
      <c r="D901" s="139" t="str">
        <f>+'LISTA DE INSUMOS'!B52</f>
        <v>Puntilla (promedio)</v>
      </c>
      <c r="E901" s="108" t="str">
        <f>+'LISTA DE INSUMOS'!C52</f>
        <v>Lb</v>
      </c>
      <c r="F901" s="140">
        <v>3</v>
      </c>
      <c r="G901" s="141">
        <f>'LISTA DE INSUMOS'!E52</f>
        <v>6690.6972299999998</v>
      </c>
      <c r="H901" s="205">
        <v>0</v>
      </c>
      <c r="I901" s="141">
        <f>ROUND((F901*G901),0)</f>
        <v>20072</v>
      </c>
      <c r="J901" s="47"/>
      <c r="K901" s="143"/>
    </row>
    <row r="902" spans="2:11" ht="24.9" customHeight="1" x14ac:dyDescent="0.2">
      <c r="B902" s="672"/>
      <c r="C902" s="108" t="str">
        <f>+'LISTA DE INSUMOS'!A53</f>
        <v>MAT022</v>
      </c>
      <c r="D902" s="139" t="str">
        <f>+'LISTA DE INSUMOS'!B53</f>
        <v>Alambre negro calibre 17</v>
      </c>
      <c r="E902" s="108" t="str">
        <f>+'LISTA DE INSUMOS'!C53</f>
        <v>Kg</v>
      </c>
      <c r="F902" s="140">
        <v>1</v>
      </c>
      <c r="G902" s="141">
        <f>'LISTA DE INSUMOS'!E53</f>
        <v>7948.98</v>
      </c>
      <c r="H902" s="205">
        <v>0</v>
      </c>
      <c r="I902" s="141">
        <f>ROUND((F902*G902),0)</f>
        <v>7949</v>
      </c>
      <c r="J902" s="47"/>
      <c r="K902" s="143"/>
    </row>
    <row r="903" spans="2:11" ht="24.9" customHeight="1" x14ac:dyDescent="0.2">
      <c r="B903" s="672"/>
      <c r="C903" s="108" t="str">
        <f>+'LISTA DE INSUMOS'!A67</f>
        <v>MAT034</v>
      </c>
      <c r="D903" s="139" t="str">
        <f>+'LISTA DE INSUMOS'!B67</f>
        <v>ACPM</v>
      </c>
      <c r="E903" s="108" t="str">
        <f>+'LISTA DE INSUMOS'!C67</f>
        <v>Gl</v>
      </c>
      <c r="F903" s="140">
        <v>0.5</v>
      </c>
      <c r="G903" s="141">
        <f>'LISTA DE INSUMOS'!E67</f>
        <v>9681.4499999999989</v>
      </c>
      <c r="H903" s="205">
        <v>0</v>
      </c>
      <c r="I903" s="141">
        <f>ROUND((F903*G903),0)</f>
        <v>4841</v>
      </c>
      <c r="J903" s="47"/>
      <c r="K903" s="143"/>
    </row>
    <row r="904" spans="2:11" ht="24.9" customHeight="1" thickBot="1" x14ac:dyDescent="0.25">
      <c r="B904" s="673"/>
      <c r="C904" s="108" t="str">
        <f>+'LISTA DE INSUMOS'!A93</f>
        <v>MAT051</v>
      </c>
      <c r="D904" s="139" t="str">
        <f>+'LISTA DE INSUMOS'!B93</f>
        <v>Antisol blanco</v>
      </c>
      <c r="E904" s="108" t="str">
        <f>+'LISTA DE INSUMOS'!C93</f>
        <v>Kg</v>
      </c>
      <c r="F904" s="140">
        <v>2.5</v>
      </c>
      <c r="G904" s="141">
        <f>'LISTA DE INSUMOS'!E93</f>
        <v>11510.734499999999</v>
      </c>
      <c r="H904" s="205">
        <v>1.03</v>
      </c>
      <c r="I904" s="141">
        <f>ROUND((F904*G904*H904),0)</f>
        <v>29640</v>
      </c>
      <c r="J904" s="47"/>
      <c r="K904" s="143"/>
    </row>
    <row r="905" spans="2:11" ht="24.9" customHeight="1" thickTop="1" thickBot="1" x14ac:dyDescent="0.25">
      <c r="B905" s="191" t="s">
        <v>1310</v>
      </c>
      <c r="C905" s="108" t="str">
        <f>+B544</f>
        <v>ITE092</v>
      </c>
      <c r="D905" s="139" t="str">
        <f>+D544</f>
        <v>Concreto de 20,7 Mpa (3000 psi) (producción)</v>
      </c>
      <c r="E905" s="108" t="str">
        <f>+E544</f>
        <v>M3</v>
      </c>
      <c r="F905" s="140">
        <v>1</v>
      </c>
      <c r="G905" s="141">
        <f>G544</f>
        <v>596118</v>
      </c>
      <c r="H905" s="205">
        <v>1.05</v>
      </c>
      <c r="I905" s="141">
        <f>ROUND((F905*G905*H905),0)</f>
        <v>625924</v>
      </c>
      <c r="J905" s="47"/>
      <c r="K905" s="143"/>
    </row>
    <row r="906" spans="2:11" ht="24.9" customHeight="1" thickTop="1" thickBot="1" x14ac:dyDescent="0.25">
      <c r="B906" s="158" t="s">
        <v>1034</v>
      </c>
      <c r="C906" s="108" t="str">
        <f>+'LISTA DE INSUMOS'!A17</f>
        <v>MOB014</v>
      </c>
      <c r="D906" s="139" t="str">
        <f>+'LISTA DE INSUMOS'!B17</f>
        <v>Cuadrilla D 2 Of + 4 Ay (jornal + prestaciones)</v>
      </c>
      <c r="E906" s="108" t="str">
        <f>+'LISTA DE INSUMOS'!C17</f>
        <v>Día</v>
      </c>
      <c r="F906" s="140">
        <v>1</v>
      </c>
      <c r="G906" s="141">
        <f>'LISTA DE INSUMOS'!E17</f>
        <v>654890</v>
      </c>
      <c r="H906" s="205">
        <v>0.6</v>
      </c>
      <c r="I906" s="141">
        <f>ROUND((F906*G906*H906),0)</f>
        <v>392934</v>
      </c>
      <c r="J906" s="47"/>
      <c r="K906" s="143"/>
    </row>
    <row r="907" spans="2:11" ht="24.9" customHeight="1" thickTop="1" x14ac:dyDescent="0.2">
      <c r="B907" s="674" t="s">
        <v>1033</v>
      </c>
      <c r="C907" s="108" t="str">
        <f>+'LISTA DE INSUMOS'!A758</f>
        <v>EQU002</v>
      </c>
      <c r="D907" s="139" t="str">
        <f>+'LISTA DE INSUMOS'!B758</f>
        <v>Herramienta menor (% mano obra)</v>
      </c>
      <c r="E907" s="108" t="str">
        <f>+'LISTA DE INSUMOS'!C758</f>
        <v>%MO</v>
      </c>
      <c r="F907" s="140">
        <v>0.1</v>
      </c>
      <c r="G907" s="141">
        <f>I906</f>
        <v>392934</v>
      </c>
      <c r="H907" s="205">
        <v>0</v>
      </c>
      <c r="I907" s="141">
        <f>ROUND((F907*G907),0)</f>
        <v>39293</v>
      </c>
      <c r="J907" s="47"/>
      <c r="K907" s="143"/>
    </row>
    <row r="908" spans="2:11" ht="24.9" customHeight="1" x14ac:dyDescent="0.2">
      <c r="B908" s="679"/>
      <c r="C908" s="108" t="str">
        <f>+'LISTA DE INSUMOS'!A762</f>
        <v>EQU006</v>
      </c>
      <c r="D908" s="139" t="str">
        <f>+'LISTA DE INSUMOS'!B762</f>
        <v>Andamio (% mano obra)</v>
      </c>
      <c r="E908" s="108" t="str">
        <f>+'LISTA DE INSUMOS'!C762</f>
        <v>%MO</v>
      </c>
      <c r="F908" s="140">
        <v>0.05</v>
      </c>
      <c r="G908" s="141">
        <f>I906</f>
        <v>392934</v>
      </c>
      <c r="H908" s="205">
        <v>0</v>
      </c>
      <c r="I908" s="141">
        <f>ROUND((F908*G908),0)</f>
        <v>19647</v>
      </c>
      <c r="J908" s="47"/>
      <c r="K908" s="143"/>
    </row>
    <row r="909" spans="2:11" ht="24.9" customHeight="1" thickBot="1" x14ac:dyDescent="0.25">
      <c r="B909" s="675"/>
      <c r="C909" s="108" t="str">
        <f>+'LISTA DE INSUMOS'!A775</f>
        <v>EQU018</v>
      </c>
      <c r="D909" s="139" t="str">
        <f>+'LISTA DE INSUMOS'!B775</f>
        <v>Vibrador eléctrico o a gasolina</v>
      </c>
      <c r="E909" s="108" t="str">
        <f>+'LISTA DE INSUMOS'!C775</f>
        <v>Día</v>
      </c>
      <c r="F909" s="160">
        <v>1</v>
      </c>
      <c r="G909" s="141">
        <f>'LISTA DE INSUMOS'!E775</f>
        <v>42234.2781968536</v>
      </c>
      <c r="H909" s="205">
        <f>1/10</f>
        <v>0.1</v>
      </c>
      <c r="I909" s="141">
        <f>ROUND((F909*G909*H909),0)</f>
        <v>4223</v>
      </c>
      <c r="J909" s="47"/>
      <c r="K909" s="143"/>
    </row>
    <row r="910" spans="2:11" ht="24.9" customHeight="1" thickTop="1" thickBot="1" x14ac:dyDescent="0.25">
      <c r="B910" s="171" t="s">
        <v>421</v>
      </c>
      <c r="C910" s="145" t="str">
        <f>+'LISTA DE INSUMOS'!A823</f>
        <v>ESY001</v>
      </c>
      <c r="D910" s="146" t="str">
        <f>+'LISTA DE INSUMOS'!B823</f>
        <v>Ensayo resistencia concretos (un testigo)</v>
      </c>
      <c r="E910" s="145" t="str">
        <f>+'LISTA DE INSUMOS'!C823</f>
        <v>Un</v>
      </c>
      <c r="F910" s="172">
        <f>1/10*3</f>
        <v>0.30000000000000004</v>
      </c>
      <c r="G910" s="173">
        <f>'LISTA DE INSUMOS'!E823</f>
        <v>29175.946249999997</v>
      </c>
      <c r="H910" s="174">
        <v>0</v>
      </c>
      <c r="I910" s="148">
        <f>ROUND((F910*G910),0)</f>
        <v>8753</v>
      </c>
      <c r="J910" s="47"/>
      <c r="K910" s="143"/>
    </row>
    <row r="911" spans="2:11" s="317" customFormat="1" ht="24.9" hidden="1" customHeight="1" x14ac:dyDescent="0.2">
      <c r="B911" s="319" t="s">
        <v>1936</v>
      </c>
      <c r="C911" s="319"/>
      <c r="D911" s="320" t="s">
        <v>203</v>
      </c>
      <c r="E911" s="319" t="s">
        <v>1412</v>
      </c>
      <c r="F911" s="321"/>
      <c r="G911" s="312">
        <f>ROUND(SUM(I911:I921),0)</f>
        <v>104497</v>
      </c>
      <c r="H911" s="322"/>
      <c r="I911" s="312"/>
      <c r="J911" s="313"/>
      <c r="K911" s="323"/>
    </row>
    <row r="912" spans="2:11" s="317" customFormat="1" ht="24.9" hidden="1" customHeight="1" x14ac:dyDescent="0.2">
      <c r="B912" s="691" t="s">
        <v>1035</v>
      </c>
      <c r="C912" s="322" t="str">
        <f>+'LISTA DE INSUMOS'!A46</f>
        <v>MAT017</v>
      </c>
      <c r="D912" s="324" t="str">
        <f>+'LISTA DE INSUMOS'!B46</f>
        <v>Tabla para formaleta de 1" x 10" x 2,9 m</v>
      </c>
      <c r="E912" s="322" t="str">
        <f>+'LISTA DE INSUMOS'!C46</f>
        <v>M</v>
      </c>
      <c r="F912" s="325">
        <v>2</v>
      </c>
      <c r="G912" s="312">
        <f>'LISTA DE INSUMOS'!E46</f>
        <v>8112.0359999999991</v>
      </c>
      <c r="H912" s="349">
        <f>1/3</f>
        <v>0.33333333333333331</v>
      </c>
      <c r="I912" s="312">
        <f>ROUND((F912*G912*H912),0)</f>
        <v>5408</v>
      </c>
      <c r="J912" s="313"/>
      <c r="K912" s="323"/>
    </row>
    <row r="913" spans="2:12" s="317" customFormat="1" ht="24.9" hidden="1" customHeight="1" x14ac:dyDescent="0.2">
      <c r="B913" s="691"/>
      <c r="C913" s="322" t="str">
        <f>+'LISTA DE INSUMOS'!A52</f>
        <v>MAT021</v>
      </c>
      <c r="D913" s="324" t="str">
        <f>+'LISTA DE INSUMOS'!B52</f>
        <v>Puntilla (promedio)</v>
      </c>
      <c r="E913" s="322" t="str">
        <f>+'LISTA DE INSUMOS'!C52</f>
        <v>Lb</v>
      </c>
      <c r="F913" s="325">
        <v>0.1</v>
      </c>
      <c r="G913" s="312">
        <f>'LISTA DE INSUMOS'!E52</f>
        <v>6690.6972299999998</v>
      </c>
      <c r="H913" s="349">
        <v>0</v>
      </c>
      <c r="I913" s="312">
        <f>ROUND((F913*G913),0)</f>
        <v>669</v>
      </c>
      <c r="J913" s="313"/>
      <c r="K913" s="323"/>
    </row>
    <row r="914" spans="2:12" s="317" customFormat="1" ht="24.9" hidden="1" customHeight="1" x14ac:dyDescent="0.2">
      <c r="B914" s="691"/>
      <c r="C914" s="322" t="str">
        <f>+'LISTA DE INSUMOS'!A67</f>
        <v>MAT034</v>
      </c>
      <c r="D914" s="324" t="str">
        <f>+'LISTA DE INSUMOS'!B67</f>
        <v>ACPM</v>
      </c>
      <c r="E914" s="322" t="str">
        <f>+'LISTA DE INSUMOS'!C67</f>
        <v>Gl</v>
      </c>
      <c r="F914" s="325">
        <v>0.05</v>
      </c>
      <c r="G914" s="312">
        <f>'LISTA DE INSUMOS'!E67</f>
        <v>9681.4499999999989</v>
      </c>
      <c r="H914" s="349">
        <v>0</v>
      </c>
      <c r="I914" s="312">
        <f>ROUND((F914*G914),0)</f>
        <v>484</v>
      </c>
      <c r="J914" s="313"/>
      <c r="K914" s="323"/>
    </row>
    <row r="915" spans="2:12" s="317" customFormat="1" ht="24.9" hidden="1" customHeight="1" thickBot="1" x14ac:dyDescent="0.25">
      <c r="B915" s="691"/>
      <c r="C915" s="322" t="str">
        <f>+'LISTA DE INSUMOS'!A93</f>
        <v>MAT051</v>
      </c>
      <c r="D915" s="324" t="str">
        <f>+'LISTA DE INSUMOS'!B93</f>
        <v>Antisol blanco</v>
      </c>
      <c r="E915" s="322" t="str">
        <f>+'LISTA DE INSUMOS'!C93</f>
        <v>Kg</v>
      </c>
      <c r="F915" s="325">
        <v>0.1</v>
      </c>
      <c r="G915" s="312">
        <f>+'LISTA DE INSUMOS'!E93</f>
        <v>11510.734499999999</v>
      </c>
      <c r="H915" s="349">
        <v>1.03</v>
      </c>
      <c r="I915" s="312">
        <f>ROUND((F915*G915*H915),0)</f>
        <v>1186</v>
      </c>
      <c r="J915" s="313"/>
      <c r="K915" s="323"/>
    </row>
    <row r="916" spans="2:12" s="317" customFormat="1" ht="24.9" hidden="1" customHeight="1" thickTop="1" x14ac:dyDescent="0.2">
      <c r="B916" s="724" t="s">
        <v>1310</v>
      </c>
      <c r="C916" s="322" t="str">
        <f>+B544</f>
        <v>ITE092</v>
      </c>
      <c r="D916" s="324" t="str">
        <f>+D544</f>
        <v>Concreto de 20,7 Mpa (3000 psi) (producción)</v>
      </c>
      <c r="E916" s="322" t="str">
        <f>+E544</f>
        <v>M3</v>
      </c>
      <c r="F916" s="351">
        <f>0.15*0.15</f>
        <v>2.2499999999999999E-2</v>
      </c>
      <c r="G916" s="312">
        <f>G544</f>
        <v>596118</v>
      </c>
      <c r="H916" s="349">
        <v>1.05</v>
      </c>
      <c r="I916" s="312">
        <f>ROUND((F916*G916*H916),0)</f>
        <v>14083</v>
      </c>
      <c r="J916" s="313"/>
      <c r="K916" s="323"/>
      <c r="L916" s="352"/>
    </row>
    <row r="917" spans="2:12" s="317" customFormat="1" ht="24.9" hidden="1" customHeight="1" thickBot="1" x14ac:dyDescent="0.25">
      <c r="B917" s="725"/>
      <c r="C917" s="322" t="str">
        <f>+B587</f>
        <v>ITE98</v>
      </c>
      <c r="D917" s="324" t="str">
        <f>+D587</f>
        <v>Acero Fy = 60.000 psi d&gt;1/4"</v>
      </c>
      <c r="E917" s="322" t="str">
        <f>+E587</f>
        <v>Kg</v>
      </c>
      <c r="F917" s="325">
        <f>4.7+2.6</f>
        <v>7.3000000000000007</v>
      </c>
      <c r="G917" s="312">
        <f>G587</f>
        <v>7240</v>
      </c>
      <c r="H917" s="349">
        <v>0</v>
      </c>
      <c r="I917" s="312">
        <f>ROUND((F917*G917),0)</f>
        <v>52852</v>
      </c>
      <c r="J917" s="313"/>
      <c r="K917" s="323"/>
    </row>
    <row r="918" spans="2:12" s="317" customFormat="1" ht="24.9" hidden="1" customHeight="1" thickTop="1" thickBot="1" x14ac:dyDescent="0.25">
      <c r="B918" s="348" t="s">
        <v>1034</v>
      </c>
      <c r="C918" s="322" t="str">
        <f>+'LISTA DE INSUMOS'!A20</f>
        <v>MOB017</v>
      </c>
      <c r="D918" s="324" t="str">
        <f>+'LISTA DE INSUMOS'!B20</f>
        <v>Cuadrilla G 1 Of + 2 Ay (jornal + prestaciones)</v>
      </c>
      <c r="E918" s="322" t="str">
        <f>+'LISTA DE INSUMOS'!C20</f>
        <v>Día</v>
      </c>
      <c r="F918" s="325">
        <v>1</v>
      </c>
      <c r="G918" s="312">
        <f>'LISTA DE INSUMOS'!E20</f>
        <v>327445</v>
      </c>
      <c r="H918" s="349">
        <f>1/14</f>
        <v>7.1428571428571425E-2</v>
      </c>
      <c r="I918" s="312">
        <f>ROUND((F918*G918*H918),0)</f>
        <v>23389</v>
      </c>
      <c r="J918" s="313"/>
      <c r="K918" s="323"/>
    </row>
    <row r="919" spans="2:12" s="317" customFormat="1" ht="24.9" hidden="1" customHeight="1" thickTop="1" x14ac:dyDescent="0.2">
      <c r="B919" s="693" t="s">
        <v>1033</v>
      </c>
      <c r="C919" s="322" t="str">
        <f>+'LISTA DE INSUMOS'!A758</f>
        <v>EQU002</v>
      </c>
      <c r="D919" s="324" t="str">
        <f>+'LISTA DE INSUMOS'!B758</f>
        <v>Herramienta menor (% mano obra)</v>
      </c>
      <c r="E919" s="322" t="str">
        <f>+'LISTA DE INSUMOS'!C758</f>
        <v>%MO</v>
      </c>
      <c r="F919" s="325">
        <v>0.1</v>
      </c>
      <c r="G919" s="312">
        <f>I918</f>
        <v>23389</v>
      </c>
      <c r="H919" s="349">
        <v>0</v>
      </c>
      <c r="I919" s="312">
        <f>ROUND((F919*G919),0)</f>
        <v>2339</v>
      </c>
      <c r="J919" s="313"/>
      <c r="K919" s="323"/>
    </row>
    <row r="920" spans="2:12" s="317" customFormat="1" ht="24.9" hidden="1" customHeight="1" thickBot="1" x14ac:dyDescent="0.25">
      <c r="B920" s="668"/>
      <c r="C920" s="322" t="str">
        <f>+'LISTA DE INSUMOS'!A762</f>
        <v>EQU006</v>
      </c>
      <c r="D920" s="324" t="str">
        <f>+'LISTA DE INSUMOS'!B762</f>
        <v>Andamio (% mano obra)</v>
      </c>
      <c r="E920" s="322" t="str">
        <f>+'LISTA DE INSUMOS'!C762</f>
        <v>%MO</v>
      </c>
      <c r="F920" s="332">
        <v>0.05</v>
      </c>
      <c r="G920" s="312">
        <f>I918</f>
        <v>23389</v>
      </c>
      <c r="H920" s="349">
        <v>0</v>
      </c>
      <c r="I920" s="312">
        <f>ROUND((F920*G920),0)</f>
        <v>1169</v>
      </c>
      <c r="J920" s="313"/>
      <c r="K920" s="323"/>
    </row>
    <row r="921" spans="2:12" s="317" customFormat="1" ht="24.9" hidden="1" customHeight="1" thickTop="1" thickBot="1" x14ac:dyDescent="0.25">
      <c r="B921" s="343" t="s">
        <v>421</v>
      </c>
      <c r="C921" s="329" t="str">
        <f>+'LISTA DE INSUMOS'!A823</f>
        <v>ESY001</v>
      </c>
      <c r="D921" s="328" t="str">
        <f>+'LISTA DE INSUMOS'!B823</f>
        <v>Ensayo resistencia concretos (un testigo)</v>
      </c>
      <c r="E921" s="329" t="str">
        <f>+'LISTA DE INSUMOS'!C823</f>
        <v>Un</v>
      </c>
      <c r="F921" s="344">
        <f>5/50</f>
        <v>0.1</v>
      </c>
      <c r="G921" s="345">
        <f>'LISTA DE INSUMOS'!E823</f>
        <v>29175.946249999997</v>
      </c>
      <c r="H921" s="346">
        <v>0</v>
      </c>
      <c r="I921" s="331">
        <f>ROUND((F921*G921),0)</f>
        <v>2918</v>
      </c>
      <c r="J921" s="313"/>
      <c r="K921" s="323"/>
    </row>
    <row r="922" spans="2:12" s="317" customFormat="1" ht="24.9" hidden="1" customHeight="1" x14ac:dyDescent="0.2">
      <c r="B922" s="319" t="s">
        <v>1438</v>
      </c>
      <c r="C922" s="319"/>
      <c r="D922" s="320" t="s">
        <v>223</v>
      </c>
      <c r="E922" s="319" t="s">
        <v>1412</v>
      </c>
      <c r="F922" s="321"/>
      <c r="G922" s="312">
        <f>ROUND(SUM(I922:I933),0)</f>
        <v>117543</v>
      </c>
      <c r="H922" s="322"/>
      <c r="I922" s="312"/>
      <c r="J922" s="313"/>
      <c r="K922" s="323"/>
    </row>
    <row r="923" spans="2:12" s="317" customFormat="1" ht="24.9" hidden="1" customHeight="1" x14ac:dyDescent="0.2">
      <c r="B923" s="691" t="s">
        <v>1035</v>
      </c>
      <c r="C923" s="322" t="str">
        <f>+'LISTA DE INSUMOS'!A46</f>
        <v>MAT017</v>
      </c>
      <c r="D923" s="324" t="str">
        <f>+'LISTA DE INSUMOS'!B46</f>
        <v>Tabla para formaleta de 1" x 10" x 2,9 m</v>
      </c>
      <c r="E923" s="322" t="str">
        <f>+'LISTA DE INSUMOS'!C46</f>
        <v>M</v>
      </c>
      <c r="F923" s="325">
        <v>2</v>
      </c>
      <c r="G923" s="312">
        <f>'LISTA DE INSUMOS'!E46</f>
        <v>8112.0359999999991</v>
      </c>
      <c r="H923" s="349">
        <f>1/3</f>
        <v>0.33333333333333331</v>
      </c>
      <c r="I923" s="312">
        <f>ROUND((F923*G923*H923),0)</f>
        <v>5408</v>
      </c>
      <c r="J923" s="313"/>
      <c r="K923" s="323"/>
    </row>
    <row r="924" spans="2:12" s="317" customFormat="1" ht="24.9" hidden="1" customHeight="1" x14ac:dyDescent="0.2">
      <c r="B924" s="691"/>
      <c r="C924" s="322" t="str">
        <f>+'LISTA DE INSUMOS'!A52</f>
        <v>MAT021</v>
      </c>
      <c r="D924" s="324" t="str">
        <f>+'LISTA DE INSUMOS'!B52</f>
        <v>Puntilla (promedio)</v>
      </c>
      <c r="E924" s="322" t="str">
        <f>+'LISTA DE INSUMOS'!C52</f>
        <v>Lb</v>
      </c>
      <c r="F924" s="325">
        <v>0.1</v>
      </c>
      <c r="G924" s="312">
        <f>'LISTA DE INSUMOS'!E52</f>
        <v>6690.6972299999998</v>
      </c>
      <c r="H924" s="349">
        <v>0</v>
      </c>
      <c r="I924" s="312">
        <f>ROUND((F924*G924),0)</f>
        <v>669</v>
      </c>
      <c r="J924" s="313"/>
      <c r="K924" s="323"/>
    </row>
    <row r="925" spans="2:12" s="317" customFormat="1" ht="24.9" hidden="1" customHeight="1" x14ac:dyDescent="0.2">
      <c r="B925" s="691"/>
      <c r="C925" s="322" t="str">
        <f>+'LISTA DE INSUMOS'!A67</f>
        <v>MAT034</v>
      </c>
      <c r="D925" s="324" t="str">
        <f>+'LISTA DE INSUMOS'!B67</f>
        <v>ACPM</v>
      </c>
      <c r="E925" s="322" t="str">
        <f>+'LISTA DE INSUMOS'!C67</f>
        <v>Gl</v>
      </c>
      <c r="F925" s="325">
        <v>0.05</v>
      </c>
      <c r="G925" s="312">
        <f>'LISTA DE INSUMOS'!E67</f>
        <v>9681.4499999999989</v>
      </c>
      <c r="H925" s="349">
        <v>0</v>
      </c>
      <c r="I925" s="312">
        <f>ROUND((F925*G925),0)</f>
        <v>484</v>
      </c>
      <c r="J925" s="313"/>
      <c r="K925" s="323"/>
    </row>
    <row r="926" spans="2:12" s="317" customFormat="1" ht="24.9" hidden="1" customHeight="1" x14ac:dyDescent="0.2">
      <c r="B926" s="691"/>
      <c r="C926" s="322" t="str">
        <f>+'LISTA DE INSUMOS'!A93</f>
        <v>MAT051</v>
      </c>
      <c r="D926" s="324" t="str">
        <f>+'LISTA DE INSUMOS'!B93</f>
        <v>Antisol blanco</v>
      </c>
      <c r="E926" s="322" t="str">
        <f>+'LISTA DE INSUMOS'!C93</f>
        <v>Kg</v>
      </c>
      <c r="F926" s="325">
        <v>0.1</v>
      </c>
      <c r="G926" s="312">
        <f>+'LISTA DE INSUMOS'!E93</f>
        <v>11510.734499999999</v>
      </c>
      <c r="H926" s="349">
        <v>1.03</v>
      </c>
      <c r="I926" s="312">
        <f>ROUND((F926*G926*H926),0)</f>
        <v>1186</v>
      </c>
      <c r="J926" s="313"/>
      <c r="K926" s="323"/>
    </row>
    <row r="927" spans="2:12" s="317" customFormat="1" ht="24.9" hidden="1" customHeight="1" thickBot="1" x14ac:dyDescent="0.25">
      <c r="B927" s="692"/>
      <c r="C927" s="322" t="str">
        <f>+'LISTA DE INSUMOS'!A132</f>
        <v>MAT091</v>
      </c>
      <c r="D927" s="324" t="str">
        <f>+'LISTA DE INSUMOS'!B132</f>
        <v>Varillón de sajo</v>
      </c>
      <c r="E927" s="322" t="str">
        <f>+'LISTA DE INSUMOS'!C132</f>
        <v>M</v>
      </c>
      <c r="F927" s="325">
        <v>2</v>
      </c>
      <c r="G927" s="312">
        <f>'LISTA DE INSUMOS'!E132</f>
        <v>2979.6450687603597</v>
      </c>
      <c r="H927" s="349">
        <f>1/3</f>
        <v>0.33333333333333331</v>
      </c>
      <c r="I927" s="312">
        <f>ROUND((F927*G927*H927),0)</f>
        <v>1986</v>
      </c>
      <c r="J927" s="313"/>
      <c r="K927" s="323"/>
    </row>
    <row r="928" spans="2:12" s="317" customFormat="1" ht="24.9" hidden="1" customHeight="1" thickTop="1" x14ac:dyDescent="0.2">
      <c r="B928" s="724" t="s">
        <v>1310</v>
      </c>
      <c r="C928" s="322" t="str">
        <f>+B544</f>
        <v>ITE092</v>
      </c>
      <c r="D928" s="324" t="str">
        <f>+D544</f>
        <v>Concreto de 20,7 Mpa (3000 psi) (producción)</v>
      </c>
      <c r="E928" s="322" t="str">
        <f>+E544</f>
        <v>M3</v>
      </c>
      <c r="F928" s="325">
        <f>0.15*0.2</f>
        <v>0.03</v>
      </c>
      <c r="G928" s="312">
        <f>G544</f>
        <v>596118</v>
      </c>
      <c r="H928" s="349">
        <v>1.05</v>
      </c>
      <c r="I928" s="312">
        <f>ROUND((F928*G928*H928),0)</f>
        <v>18778</v>
      </c>
      <c r="J928" s="313"/>
      <c r="K928" s="323"/>
    </row>
    <row r="929" spans="2:11" s="317" customFormat="1" ht="24.9" hidden="1" customHeight="1" thickBot="1" x14ac:dyDescent="0.25">
      <c r="B929" s="725"/>
      <c r="C929" s="322" t="str">
        <f>+B587</f>
        <v>ITE98</v>
      </c>
      <c r="D929" s="324" t="str">
        <f>+D587</f>
        <v>Acero Fy = 60.000 psi d&gt;1/4"</v>
      </c>
      <c r="E929" s="322" t="str">
        <f>+E587</f>
        <v>Kg</v>
      </c>
      <c r="F929" s="325">
        <f>4.7+2.86</f>
        <v>7.5600000000000005</v>
      </c>
      <c r="G929" s="312">
        <f>G587</f>
        <v>7240</v>
      </c>
      <c r="H929" s="349">
        <v>0</v>
      </c>
      <c r="I929" s="312">
        <f>ROUND((F929*G929),0)</f>
        <v>54734</v>
      </c>
      <c r="J929" s="313"/>
      <c r="K929" s="323"/>
    </row>
    <row r="930" spans="2:11" s="317" customFormat="1" ht="24.9" hidden="1" customHeight="1" thickTop="1" thickBot="1" x14ac:dyDescent="0.25">
      <c r="B930" s="348" t="s">
        <v>1034</v>
      </c>
      <c r="C930" s="322" t="str">
        <f>+'LISTA DE INSUMOS'!A20</f>
        <v>MOB017</v>
      </c>
      <c r="D930" s="324" t="str">
        <f>+'LISTA DE INSUMOS'!B20</f>
        <v>Cuadrilla G 1 Of + 2 Ay (jornal + prestaciones)</v>
      </c>
      <c r="E930" s="322" t="str">
        <f>+'LISTA DE INSUMOS'!C20</f>
        <v>Día</v>
      </c>
      <c r="F930" s="325">
        <v>1</v>
      </c>
      <c r="G930" s="312">
        <f>'LISTA DE INSUMOS'!E20</f>
        <v>327445</v>
      </c>
      <c r="H930" s="349">
        <f>1/12</f>
        <v>8.3333333333333329E-2</v>
      </c>
      <c r="I930" s="312">
        <f>ROUND((F930*G930*H930),0)</f>
        <v>27287</v>
      </c>
      <c r="J930" s="313"/>
      <c r="K930" s="323"/>
    </row>
    <row r="931" spans="2:11" s="317" customFormat="1" ht="24.9" hidden="1" customHeight="1" thickTop="1" x14ac:dyDescent="0.2">
      <c r="B931" s="693" t="s">
        <v>1033</v>
      </c>
      <c r="C931" s="322" t="str">
        <f>+'LISTA DE INSUMOS'!A758</f>
        <v>EQU002</v>
      </c>
      <c r="D931" s="324" t="str">
        <f>+'LISTA DE INSUMOS'!B758</f>
        <v>Herramienta menor (% mano obra)</v>
      </c>
      <c r="E931" s="322" t="str">
        <f>+'LISTA DE INSUMOS'!C758</f>
        <v>%MO</v>
      </c>
      <c r="F931" s="325">
        <v>0.1</v>
      </c>
      <c r="G931" s="312">
        <f>I930</f>
        <v>27287</v>
      </c>
      <c r="H931" s="349">
        <v>0</v>
      </c>
      <c r="I931" s="312">
        <f>ROUND((F931*G931),0)</f>
        <v>2729</v>
      </c>
      <c r="J931" s="313"/>
      <c r="K931" s="323"/>
    </row>
    <row r="932" spans="2:11" s="317" customFormat="1" ht="24.9" hidden="1" customHeight="1" thickBot="1" x14ac:dyDescent="0.25">
      <c r="B932" s="668"/>
      <c r="C932" s="322" t="str">
        <f>+'LISTA DE INSUMOS'!A762</f>
        <v>EQU006</v>
      </c>
      <c r="D932" s="324" t="str">
        <f>+'LISTA DE INSUMOS'!B762</f>
        <v>Andamio (% mano obra)</v>
      </c>
      <c r="E932" s="322" t="str">
        <f>+'LISTA DE INSUMOS'!C762</f>
        <v>%MO</v>
      </c>
      <c r="F932" s="332">
        <v>0.05</v>
      </c>
      <c r="G932" s="312">
        <f>I930</f>
        <v>27287</v>
      </c>
      <c r="H932" s="349">
        <v>0</v>
      </c>
      <c r="I932" s="312">
        <f>ROUND((F932*G932),0)</f>
        <v>1364</v>
      </c>
      <c r="J932" s="313"/>
      <c r="K932" s="323"/>
    </row>
    <row r="933" spans="2:11" s="317" customFormat="1" ht="24.9" hidden="1" customHeight="1" thickTop="1" thickBot="1" x14ac:dyDescent="0.25">
      <c r="B933" s="343" t="s">
        <v>421</v>
      </c>
      <c r="C933" s="329" t="str">
        <f>+'LISTA DE INSUMOS'!A823</f>
        <v>ESY001</v>
      </c>
      <c r="D933" s="328" t="str">
        <f>+'LISTA DE INSUMOS'!B823</f>
        <v>Ensayo resistencia concretos (un testigo)</v>
      </c>
      <c r="E933" s="329" t="str">
        <f>+'LISTA DE INSUMOS'!C823</f>
        <v>Un</v>
      </c>
      <c r="F933" s="344">
        <f>5/50</f>
        <v>0.1</v>
      </c>
      <c r="G933" s="345">
        <f>'LISTA DE INSUMOS'!E823</f>
        <v>29175.946249999997</v>
      </c>
      <c r="H933" s="346">
        <v>0</v>
      </c>
      <c r="I933" s="331">
        <f>ROUND((F933*G933),0)</f>
        <v>2918</v>
      </c>
      <c r="J933" s="313"/>
      <c r="K933" s="323"/>
    </row>
    <row r="934" spans="2:11" ht="24.9" customHeight="1" x14ac:dyDescent="0.2">
      <c r="B934" s="117" t="s">
        <v>1547</v>
      </c>
      <c r="C934" s="117"/>
      <c r="D934" s="112" t="s">
        <v>204</v>
      </c>
      <c r="E934" s="117" t="s">
        <v>2585</v>
      </c>
      <c r="F934" s="149"/>
      <c r="G934" s="119">
        <f>ROUND(SUM(I934:I943),0)</f>
        <v>193320</v>
      </c>
      <c r="H934" s="120"/>
      <c r="I934" s="119"/>
      <c r="J934" s="47"/>
      <c r="K934" s="143"/>
    </row>
    <row r="935" spans="2:11" ht="24.9" customHeight="1" x14ac:dyDescent="0.2">
      <c r="B935" s="672" t="s">
        <v>1035</v>
      </c>
      <c r="C935" s="108" t="str">
        <f>+'LISTA DE INSUMOS'!A46</f>
        <v>MAT017</v>
      </c>
      <c r="D935" s="139" t="str">
        <f>+'LISTA DE INSUMOS'!B46</f>
        <v>Tabla para formaleta de 1" x 10" x 2,9 m</v>
      </c>
      <c r="E935" s="108" t="str">
        <f>+'LISTA DE INSUMOS'!C46</f>
        <v>M</v>
      </c>
      <c r="F935" s="140">
        <v>5</v>
      </c>
      <c r="G935" s="141">
        <f>'LISTA DE INSUMOS'!E46</f>
        <v>8112.0359999999991</v>
      </c>
      <c r="H935" s="108">
        <f>1/3</f>
        <v>0.33333333333333331</v>
      </c>
      <c r="I935" s="141">
        <f>ROUND((F935*G935*H935),0)</f>
        <v>13520</v>
      </c>
      <c r="J935" s="47"/>
      <c r="K935" s="143"/>
    </row>
    <row r="936" spans="2:11" ht="24.9" customHeight="1" x14ac:dyDescent="0.2">
      <c r="B936" s="672"/>
      <c r="C936" s="108" t="str">
        <f>+'LISTA DE INSUMOS'!A52</f>
        <v>MAT021</v>
      </c>
      <c r="D936" s="139" t="str">
        <f>+'LISTA DE INSUMOS'!B52</f>
        <v>Puntilla (promedio)</v>
      </c>
      <c r="E936" s="108" t="str">
        <f>+'LISTA DE INSUMOS'!C52</f>
        <v>Lb</v>
      </c>
      <c r="F936" s="140">
        <v>0.2</v>
      </c>
      <c r="G936" s="141">
        <f>'LISTA DE INSUMOS'!E52</f>
        <v>6690.6972299999998</v>
      </c>
      <c r="H936" s="108">
        <v>0</v>
      </c>
      <c r="I936" s="141">
        <f>ROUND((F936*G936),0)</f>
        <v>1338</v>
      </c>
      <c r="J936" s="47"/>
      <c r="K936" s="143"/>
    </row>
    <row r="937" spans="2:11" ht="24.9" customHeight="1" x14ac:dyDescent="0.2">
      <c r="B937" s="672"/>
      <c r="C937" s="108" t="str">
        <f>+'LISTA DE INSUMOS'!A67</f>
        <v>MAT034</v>
      </c>
      <c r="D937" s="139" t="str">
        <f>+'LISTA DE INSUMOS'!B67</f>
        <v>ACPM</v>
      </c>
      <c r="E937" s="108" t="str">
        <f>+'LISTA DE INSUMOS'!C67</f>
        <v>Gl</v>
      </c>
      <c r="F937" s="140">
        <v>0.05</v>
      </c>
      <c r="G937" s="141">
        <f>'LISTA DE INSUMOS'!E67</f>
        <v>9681.4499999999989</v>
      </c>
      <c r="H937" s="205">
        <v>0</v>
      </c>
      <c r="I937" s="141">
        <f>ROUND((F937*G937),0)</f>
        <v>484</v>
      </c>
      <c r="J937" s="47"/>
      <c r="K937" s="143"/>
    </row>
    <row r="938" spans="2:11" ht="24.9" customHeight="1" x14ac:dyDescent="0.2">
      <c r="B938" s="672"/>
      <c r="C938" s="108" t="str">
        <f>+'LISTA DE INSUMOS'!A93</f>
        <v>MAT051</v>
      </c>
      <c r="D938" s="139" t="str">
        <f>+'LISTA DE INSUMOS'!B93</f>
        <v>Antisol blanco</v>
      </c>
      <c r="E938" s="108" t="str">
        <f>+'LISTA DE INSUMOS'!C93</f>
        <v>Kg</v>
      </c>
      <c r="F938" s="140">
        <v>0.2</v>
      </c>
      <c r="G938" s="141">
        <f>'LISTA DE INSUMOS'!E93</f>
        <v>11510.734499999999</v>
      </c>
      <c r="H938" s="205">
        <v>1.03</v>
      </c>
      <c r="I938" s="141">
        <f>ROUND((F938*G938*H938),0)</f>
        <v>2371</v>
      </c>
      <c r="J938" s="47"/>
      <c r="K938" s="143"/>
    </row>
    <row r="939" spans="2:11" ht="24.9" customHeight="1" x14ac:dyDescent="0.2">
      <c r="B939" s="672"/>
      <c r="C939" s="108" t="str">
        <f>+'LISTA DE INSUMOS'!A361</f>
        <v>MAT354</v>
      </c>
      <c r="D939" s="155" t="str">
        <f>+'LISTA DE INSUMOS'!B361</f>
        <v>Malla Electr 4x4mm 15x15cm 2.35x6m Diaco</v>
      </c>
      <c r="E939" s="108" t="str">
        <f>+'LISTA DE INSUMOS'!C361</f>
        <v>kg</v>
      </c>
      <c r="F939" s="140">
        <v>1</v>
      </c>
      <c r="G939" s="141">
        <f>'LISTA DE INSUMOS'!E361</f>
        <v>8348.5787547624004</v>
      </c>
      <c r="H939" s="205">
        <v>1.05</v>
      </c>
      <c r="I939" s="141">
        <f>ROUND((F939*G939*H939),0)</f>
        <v>8766</v>
      </c>
      <c r="J939" s="47"/>
      <c r="K939" s="143"/>
    </row>
    <row r="940" spans="2:11" ht="24.9" customHeight="1" thickBot="1" x14ac:dyDescent="0.25">
      <c r="B940" s="673"/>
      <c r="C940" s="108" t="str">
        <f>+'LISTA DE INSUMOS'!A132</f>
        <v>MAT091</v>
      </c>
      <c r="D940" s="139" t="str">
        <f>+'LISTA DE INSUMOS'!B132</f>
        <v>Varillón de sajo</v>
      </c>
      <c r="E940" s="108" t="str">
        <f>+'LISTA DE INSUMOS'!C132</f>
        <v>M</v>
      </c>
      <c r="F940" s="140">
        <v>3</v>
      </c>
      <c r="G940" s="141">
        <f>'LISTA DE INSUMOS'!E132</f>
        <v>2979.6450687603597</v>
      </c>
      <c r="H940" s="108">
        <f>1/3</f>
        <v>0.33333333333333331</v>
      </c>
      <c r="I940" s="141">
        <f>ROUND((F940*G940*H940),0)</f>
        <v>2980</v>
      </c>
      <c r="J940" s="47"/>
      <c r="K940" s="143"/>
    </row>
    <row r="941" spans="2:11" ht="24.9" customHeight="1" thickTop="1" thickBot="1" x14ac:dyDescent="0.25">
      <c r="B941" s="191" t="s">
        <v>1310</v>
      </c>
      <c r="C941" s="108" t="str">
        <f>+B544</f>
        <v>ITE092</v>
      </c>
      <c r="D941" s="139" t="str">
        <f>+D544</f>
        <v>Concreto de 20,7 Mpa (3000 psi) (producción)</v>
      </c>
      <c r="E941" s="108" t="str">
        <f>+E544</f>
        <v>M3</v>
      </c>
      <c r="F941" s="140">
        <v>0.21</v>
      </c>
      <c r="G941" s="141">
        <f>G544</f>
        <v>596118</v>
      </c>
      <c r="H941" s="108">
        <v>1.05</v>
      </c>
      <c r="I941" s="141">
        <f>ROUND((F941*G941*H941),0)</f>
        <v>131444</v>
      </c>
      <c r="J941" s="47"/>
      <c r="K941" s="143"/>
    </row>
    <row r="942" spans="2:11" ht="24.9" customHeight="1" thickTop="1" thickBot="1" x14ac:dyDescent="0.25">
      <c r="B942" s="158" t="s">
        <v>1034</v>
      </c>
      <c r="C942" s="108" t="str">
        <f>+'LISTA DE INSUMOS'!A9</f>
        <v>MOB006</v>
      </c>
      <c r="D942" s="139" t="str">
        <f>+'LISTA DE INSUMOS'!B9</f>
        <v>Cuadrilla A 1 Of + 4 Ay (jornal + prestaciones)</v>
      </c>
      <c r="E942" s="108" t="str">
        <f>+'LISTA DE INSUMOS'!C9</f>
        <v>Día</v>
      </c>
      <c r="F942" s="140">
        <v>1</v>
      </c>
      <c r="G942" s="141">
        <f>'LISTA DE INSUMOS'!E9</f>
        <v>491167</v>
      </c>
      <c r="H942" s="108">
        <v>0.06</v>
      </c>
      <c r="I942" s="141">
        <f>ROUND((F942*G942*H942),0)</f>
        <v>29470</v>
      </c>
      <c r="J942" s="47"/>
      <c r="K942" s="143"/>
    </row>
    <row r="943" spans="2:11" ht="24.9" customHeight="1" thickTop="1" thickBot="1" x14ac:dyDescent="0.25">
      <c r="B943" s="150" t="s">
        <v>1033</v>
      </c>
      <c r="C943" s="151" t="str">
        <f>+'LISTA DE INSUMOS'!A758</f>
        <v>EQU002</v>
      </c>
      <c r="D943" s="146" t="str">
        <f>+'LISTA DE INSUMOS'!B758</f>
        <v>Herramienta menor (% mano obra)</v>
      </c>
      <c r="E943" s="145" t="str">
        <f>+'LISTA DE INSUMOS'!C758</f>
        <v>%MO</v>
      </c>
      <c r="F943" s="147">
        <v>0.1</v>
      </c>
      <c r="G943" s="148">
        <f>I942</f>
        <v>29470</v>
      </c>
      <c r="H943" s="145">
        <v>0</v>
      </c>
      <c r="I943" s="148">
        <f>ROUND((F943*G943),0)</f>
        <v>2947</v>
      </c>
      <c r="J943" s="47"/>
      <c r="K943" s="143"/>
    </row>
    <row r="944" spans="2:11" s="317" customFormat="1" ht="24.9" hidden="1" customHeight="1" x14ac:dyDescent="0.2">
      <c r="B944" s="319" t="s">
        <v>2053</v>
      </c>
      <c r="C944" s="319"/>
      <c r="D944" s="320" t="s">
        <v>205</v>
      </c>
      <c r="E944" s="319" t="s">
        <v>2585</v>
      </c>
      <c r="F944" s="332"/>
      <c r="G944" s="312">
        <f>ROUND(SUM(I944:I956),0)</f>
        <v>368677</v>
      </c>
      <c r="H944" s="322"/>
      <c r="I944" s="312"/>
      <c r="J944" s="313"/>
      <c r="K944" s="323"/>
    </row>
    <row r="945" spans="2:11" s="317" customFormat="1" ht="24.9" hidden="1" customHeight="1" x14ac:dyDescent="0.2">
      <c r="B945" s="691" t="s">
        <v>1035</v>
      </c>
      <c r="C945" s="322" t="str">
        <f>+'LISTA DE INSUMOS'!A46</f>
        <v>MAT017</v>
      </c>
      <c r="D945" s="324" t="str">
        <f>+'LISTA DE INSUMOS'!B46</f>
        <v>Tabla para formaleta de 1" x 10" x 2,9 m</v>
      </c>
      <c r="E945" s="322" t="str">
        <f>+'LISTA DE INSUMOS'!C46</f>
        <v>M</v>
      </c>
      <c r="F945" s="325">
        <v>2</v>
      </c>
      <c r="G945" s="312">
        <f>'LISTA DE INSUMOS'!E46</f>
        <v>8112.0359999999991</v>
      </c>
      <c r="H945" s="349">
        <f>1/3</f>
        <v>0.33333333333333331</v>
      </c>
      <c r="I945" s="312">
        <f>ROUND((F945*G945*H945),0)</f>
        <v>5408</v>
      </c>
      <c r="J945" s="313"/>
      <c r="K945" s="323"/>
    </row>
    <row r="946" spans="2:11" s="317" customFormat="1" ht="24.9" hidden="1" customHeight="1" x14ac:dyDescent="0.2">
      <c r="B946" s="691"/>
      <c r="C946" s="322" t="str">
        <f>+'LISTA DE INSUMOS'!A52</f>
        <v>MAT021</v>
      </c>
      <c r="D946" s="324" t="str">
        <f>+'LISTA DE INSUMOS'!B52</f>
        <v>Puntilla (promedio)</v>
      </c>
      <c r="E946" s="322" t="str">
        <f>+'LISTA DE INSUMOS'!C52</f>
        <v>Lb</v>
      </c>
      <c r="F946" s="325">
        <v>0.2</v>
      </c>
      <c r="G946" s="312">
        <f>'LISTA DE INSUMOS'!E52</f>
        <v>6690.6972299999998</v>
      </c>
      <c r="H946" s="349">
        <v>0</v>
      </c>
      <c r="I946" s="312">
        <f>ROUND((F946*G946),0)</f>
        <v>1338</v>
      </c>
      <c r="J946" s="313"/>
      <c r="K946" s="323"/>
    </row>
    <row r="947" spans="2:11" s="317" customFormat="1" ht="24.9" hidden="1" customHeight="1" x14ac:dyDescent="0.2">
      <c r="B947" s="691"/>
      <c r="C947" s="322" t="str">
        <f>+'LISTA DE INSUMOS'!A67</f>
        <v>MAT034</v>
      </c>
      <c r="D947" s="324" t="str">
        <f>+'LISTA DE INSUMOS'!B67</f>
        <v>ACPM</v>
      </c>
      <c r="E947" s="322" t="str">
        <f>+'LISTA DE INSUMOS'!C67</f>
        <v>Gl</v>
      </c>
      <c r="F947" s="325">
        <v>0.05</v>
      </c>
      <c r="G947" s="312">
        <f>'LISTA DE INSUMOS'!E67</f>
        <v>9681.4499999999989</v>
      </c>
      <c r="H947" s="349">
        <v>0</v>
      </c>
      <c r="I947" s="312">
        <f>ROUND((F947*G947),0)</f>
        <v>484</v>
      </c>
      <c r="J947" s="313"/>
      <c r="K947" s="323"/>
    </row>
    <row r="948" spans="2:11" s="317" customFormat="1" ht="24.9" hidden="1" customHeight="1" x14ac:dyDescent="0.2">
      <c r="B948" s="691"/>
      <c r="C948" s="322" t="str">
        <f>+'LISTA DE INSUMOS'!A93</f>
        <v>MAT051</v>
      </c>
      <c r="D948" s="324" t="str">
        <f>+'LISTA DE INSUMOS'!B93</f>
        <v>Antisol blanco</v>
      </c>
      <c r="E948" s="322" t="str">
        <f>+'LISTA DE INSUMOS'!C93</f>
        <v>Kg</v>
      </c>
      <c r="F948" s="325">
        <v>0.2</v>
      </c>
      <c r="G948" s="312">
        <f>'LISTA DE INSUMOS'!E93</f>
        <v>11510.734499999999</v>
      </c>
      <c r="H948" s="349">
        <v>1.03</v>
      </c>
      <c r="I948" s="312">
        <f t="shared" ref="I948:I953" si="16">ROUND((F948*G948*H948),0)</f>
        <v>2371</v>
      </c>
      <c r="J948" s="313"/>
      <c r="K948" s="323"/>
    </row>
    <row r="949" spans="2:11" s="317" customFormat="1" ht="24.9" hidden="1" customHeight="1" x14ac:dyDescent="0.2">
      <c r="B949" s="691"/>
      <c r="C949" s="322" t="str">
        <f>+'LISTA DE INSUMOS'!A361</f>
        <v>MAT354</v>
      </c>
      <c r="D949" s="339" t="str">
        <f>+'LISTA DE INSUMOS'!B361</f>
        <v>Malla Electr 4x4mm 15x15cm 2.35x6m Diaco</v>
      </c>
      <c r="E949" s="322" t="str">
        <f>+'LISTA DE INSUMOS'!C361</f>
        <v>kg</v>
      </c>
      <c r="F949" s="325">
        <v>1</v>
      </c>
      <c r="G949" s="312">
        <f>'LISTA DE INSUMOS'!E361</f>
        <v>8348.5787547624004</v>
      </c>
      <c r="H949" s="349">
        <v>1.05</v>
      </c>
      <c r="I949" s="312">
        <f t="shared" si="16"/>
        <v>8766</v>
      </c>
      <c r="J949" s="313"/>
      <c r="K949" s="323"/>
    </row>
    <row r="950" spans="2:11" s="317" customFormat="1" ht="24.9" hidden="1" customHeight="1" thickBot="1" x14ac:dyDescent="0.25">
      <c r="B950" s="692"/>
      <c r="C950" s="322" t="str">
        <f>+'LISTA DE INSUMOS'!A132</f>
        <v>MAT091</v>
      </c>
      <c r="D950" s="324" t="str">
        <f>+'LISTA DE INSUMOS'!B132</f>
        <v>Varillón de sajo</v>
      </c>
      <c r="E950" s="322" t="str">
        <f>+'LISTA DE INSUMOS'!C132</f>
        <v>M</v>
      </c>
      <c r="F950" s="325">
        <v>3</v>
      </c>
      <c r="G950" s="312">
        <f>'LISTA DE INSUMOS'!E132</f>
        <v>2979.6450687603597</v>
      </c>
      <c r="H950" s="349">
        <f>1/3</f>
        <v>0.33333333333333331</v>
      </c>
      <c r="I950" s="312">
        <f t="shared" si="16"/>
        <v>2980</v>
      </c>
      <c r="J950" s="313"/>
      <c r="K950" s="323"/>
    </row>
    <row r="951" spans="2:11" s="317" customFormat="1" ht="24.9" hidden="1" customHeight="1" thickTop="1" x14ac:dyDescent="0.2">
      <c r="B951" s="714" t="s">
        <v>1310</v>
      </c>
      <c r="C951" s="322" t="str">
        <f>+B544</f>
        <v>ITE092</v>
      </c>
      <c r="D951" s="324" t="str">
        <f>+D544</f>
        <v>Concreto de 20,7 Mpa (3000 psi) (producción)</v>
      </c>
      <c r="E951" s="322" t="str">
        <f>+E544</f>
        <v>M3</v>
      </c>
      <c r="F951" s="325">
        <v>0.24</v>
      </c>
      <c r="G951" s="312">
        <f>G544</f>
        <v>596118</v>
      </c>
      <c r="H951" s="349">
        <v>1.05</v>
      </c>
      <c r="I951" s="312">
        <f t="shared" si="16"/>
        <v>150222</v>
      </c>
      <c r="J951" s="313"/>
      <c r="K951" s="323"/>
    </row>
    <row r="952" spans="2:11" s="317" customFormat="1" ht="24.9" hidden="1" customHeight="1" thickBot="1" x14ac:dyDescent="0.25">
      <c r="B952" s="715"/>
      <c r="C952" s="322" t="str">
        <f>+B1407</f>
        <v>ITE184</v>
      </c>
      <c r="D952" s="324" t="str">
        <f>+D1407</f>
        <v>Formaleta placa (básico)</v>
      </c>
      <c r="E952" s="322" t="str">
        <f>+E1407</f>
        <v>M2</v>
      </c>
      <c r="F952" s="325">
        <v>1</v>
      </c>
      <c r="G952" s="312">
        <f>+G1407</f>
        <v>176092</v>
      </c>
      <c r="H952" s="349">
        <f>1/3</f>
        <v>0.33333333333333331</v>
      </c>
      <c r="I952" s="312">
        <f t="shared" si="16"/>
        <v>58697</v>
      </c>
      <c r="J952" s="313"/>
      <c r="K952" s="323"/>
    </row>
    <row r="953" spans="2:11" s="317" customFormat="1" ht="24.9" hidden="1" customHeight="1" thickTop="1" thickBot="1" x14ac:dyDescent="0.25">
      <c r="B953" s="348" t="s">
        <v>1034</v>
      </c>
      <c r="C953" s="322" t="str">
        <f>+'LISTA DE INSUMOS'!A9</f>
        <v>MOB006</v>
      </c>
      <c r="D953" s="324" t="str">
        <f>+'LISTA DE INSUMOS'!B9</f>
        <v>Cuadrilla A 1 Of + 4 Ay (jornal + prestaciones)</v>
      </c>
      <c r="E953" s="322" t="str">
        <f>+'LISTA DE INSUMOS'!C9</f>
        <v>Día</v>
      </c>
      <c r="F953" s="325">
        <v>1</v>
      </c>
      <c r="G953" s="312">
        <f>'LISTA DE INSUMOS'!E9</f>
        <v>491167</v>
      </c>
      <c r="H953" s="349">
        <f>1/4</f>
        <v>0.25</v>
      </c>
      <c r="I953" s="312">
        <f t="shared" si="16"/>
        <v>122792</v>
      </c>
      <c r="J953" s="313"/>
      <c r="K953" s="323"/>
    </row>
    <row r="954" spans="2:11" s="317" customFormat="1" ht="24.9" hidden="1" customHeight="1" thickTop="1" x14ac:dyDescent="0.2">
      <c r="B954" s="693" t="s">
        <v>1033</v>
      </c>
      <c r="C954" s="322" t="str">
        <f>+'LISTA DE INSUMOS'!A758</f>
        <v>EQU002</v>
      </c>
      <c r="D954" s="324" t="str">
        <f>+'LISTA DE INSUMOS'!B758</f>
        <v>Herramienta menor (% mano obra)</v>
      </c>
      <c r="E954" s="322" t="str">
        <f>+'LISTA DE INSUMOS'!C758</f>
        <v>%MO</v>
      </c>
      <c r="F954" s="325">
        <v>0.1</v>
      </c>
      <c r="G954" s="312">
        <f>I953</f>
        <v>122792</v>
      </c>
      <c r="H954" s="349">
        <v>0</v>
      </c>
      <c r="I954" s="312">
        <f>ROUND((F954*G954),0)</f>
        <v>12279</v>
      </c>
      <c r="J954" s="313"/>
      <c r="K954" s="323"/>
    </row>
    <row r="955" spans="2:11" s="317" customFormat="1" ht="24.9" hidden="1" customHeight="1" thickBot="1" x14ac:dyDescent="0.25">
      <c r="B955" s="668"/>
      <c r="C955" s="322" t="str">
        <f>+'LISTA DE INSUMOS'!A775</f>
        <v>EQU018</v>
      </c>
      <c r="D955" s="324" t="str">
        <f>+'LISTA DE INSUMOS'!B775</f>
        <v>Vibrador eléctrico o a gasolina</v>
      </c>
      <c r="E955" s="322" t="str">
        <f>+'LISTA DE INSUMOS'!C775</f>
        <v>Día</v>
      </c>
      <c r="F955" s="332">
        <v>1</v>
      </c>
      <c r="G955" s="312">
        <f>'LISTA DE INSUMOS'!E775</f>
        <v>42234.2781968536</v>
      </c>
      <c r="H955" s="349">
        <f>1/100</f>
        <v>0.01</v>
      </c>
      <c r="I955" s="312">
        <f>ROUND((F955*G955*H955),0)</f>
        <v>422</v>
      </c>
      <c r="J955" s="313"/>
      <c r="K955" s="323"/>
    </row>
    <row r="956" spans="2:11" s="317" customFormat="1" ht="24.9" hidden="1" customHeight="1" thickTop="1" thickBot="1" x14ac:dyDescent="0.25">
      <c r="B956" s="343" t="s">
        <v>421</v>
      </c>
      <c r="C956" s="329" t="str">
        <f>+'LISTA DE INSUMOS'!A823</f>
        <v>ESY001</v>
      </c>
      <c r="D956" s="328" t="str">
        <f>+'LISTA DE INSUMOS'!B823</f>
        <v>Ensayo resistencia concretos (un testigo)</v>
      </c>
      <c r="E956" s="329" t="str">
        <f>+'LISTA DE INSUMOS'!C823</f>
        <v>Un</v>
      </c>
      <c r="F956" s="344">
        <f>5/50</f>
        <v>0.1</v>
      </c>
      <c r="G956" s="345">
        <f>'LISTA DE INSUMOS'!E823</f>
        <v>29175.946249999997</v>
      </c>
      <c r="H956" s="346">
        <v>0</v>
      </c>
      <c r="I956" s="331">
        <f>ROUND((F956*G956),0)</f>
        <v>2918</v>
      </c>
      <c r="J956" s="313"/>
      <c r="K956" s="323"/>
    </row>
    <row r="957" spans="2:11" ht="24.9" customHeight="1" x14ac:dyDescent="0.2">
      <c r="B957" s="117" t="s">
        <v>2055</v>
      </c>
      <c r="C957" s="117"/>
      <c r="D957" s="112" t="s">
        <v>206</v>
      </c>
      <c r="E957" s="117" t="s">
        <v>2585</v>
      </c>
      <c r="F957" s="118"/>
      <c r="G957" s="119">
        <f>ROUND(SUM(I957:I965),0)</f>
        <v>144124</v>
      </c>
      <c r="H957" s="120"/>
      <c r="I957" s="119"/>
      <c r="J957" s="47"/>
      <c r="K957" s="143"/>
    </row>
    <row r="958" spans="2:11" ht="24.9" customHeight="1" x14ac:dyDescent="0.2">
      <c r="B958" s="657" t="s">
        <v>1325</v>
      </c>
      <c r="C958" s="108" t="str">
        <f>+'LISTA DE INSUMOS'!A67</f>
        <v>MAT034</v>
      </c>
      <c r="D958" s="139" t="str">
        <f>+'LISTA DE INSUMOS'!B67</f>
        <v>ACPM</v>
      </c>
      <c r="E958" s="108" t="str">
        <f>+'LISTA DE INSUMOS'!C67</f>
        <v>Gl</v>
      </c>
      <c r="F958" s="140">
        <v>0.05</v>
      </c>
      <c r="G958" s="141">
        <f>'LISTA DE INSUMOS'!E67</f>
        <v>9681.4499999999989</v>
      </c>
      <c r="H958" s="205">
        <v>0</v>
      </c>
      <c r="I958" s="141">
        <f>ROUND((F958*G958),0)</f>
        <v>484</v>
      </c>
      <c r="J958" s="47"/>
      <c r="K958" s="143"/>
    </row>
    <row r="959" spans="2:11" ht="24.9" customHeight="1" thickBot="1" x14ac:dyDescent="0.25">
      <c r="B959" s="659"/>
      <c r="C959" s="108" t="str">
        <f>+'LISTA DE INSUMOS'!A93</f>
        <v>MAT051</v>
      </c>
      <c r="D959" s="139" t="str">
        <f>+'LISTA DE INSUMOS'!B93</f>
        <v>Antisol blanco</v>
      </c>
      <c r="E959" s="108" t="str">
        <f>+'LISTA DE INSUMOS'!C93</f>
        <v>Kg</v>
      </c>
      <c r="F959" s="140">
        <v>0.2</v>
      </c>
      <c r="G959" s="141">
        <f>'LISTA DE INSUMOS'!E93</f>
        <v>11510.734499999999</v>
      </c>
      <c r="H959" s="205">
        <v>1.03</v>
      </c>
      <c r="I959" s="141">
        <f>ROUND((F959*G959*H959),0)</f>
        <v>2371</v>
      </c>
      <c r="J959" s="47"/>
      <c r="K959" s="143"/>
    </row>
    <row r="960" spans="2:11" ht="24.9" customHeight="1" thickTop="1" x14ac:dyDescent="0.2">
      <c r="B960" s="685" t="s">
        <v>1310</v>
      </c>
      <c r="C960" s="108" t="str">
        <f>+B544</f>
        <v>ITE092</v>
      </c>
      <c r="D960" s="139" t="str">
        <f>+D544</f>
        <v>Concreto de 20,7 Mpa (3000 psi) (producción)</v>
      </c>
      <c r="E960" s="108" t="str">
        <f>+E544</f>
        <v>M3</v>
      </c>
      <c r="F960" s="140">
        <v>0.1</v>
      </c>
      <c r="G960" s="141">
        <f>G544</f>
        <v>596118</v>
      </c>
      <c r="H960" s="108">
        <v>1.05</v>
      </c>
      <c r="I960" s="141">
        <f>ROUND((F960*G960*H960),0)</f>
        <v>62592</v>
      </c>
      <c r="J960" s="47"/>
      <c r="K960" s="143"/>
    </row>
    <row r="961" spans="2:11" ht="24.9" customHeight="1" thickBot="1" x14ac:dyDescent="0.25">
      <c r="B961" s="707"/>
      <c r="C961" s="108" t="str">
        <f>+B1407</f>
        <v>ITE184</v>
      </c>
      <c r="D961" s="139" t="str">
        <f>+D1407</f>
        <v>Formaleta placa (básico)</v>
      </c>
      <c r="E961" s="108" t="str">
        <f>+E1407</f>
        <v>M2</v>
      </c>
      <c r="F961" s="140">
        <v>1</v>
      </c>
      <c r="G961" s="141">
        <f>G1407</f>
        <v>176092</v>
      </c>
      <c r="H961" s="108">
        <f>1/3</f>
        <v>0.33333333333333331</v>
      </c>
      <c r="I961" s="141">
        <f>ROUND((F961*G961*H961),0)</f>
        <v>58697</v>
      </c>
      <c r="J961" s="47"/>
      <c r="K961" s="143"/>
    </row>
    <row r="962" spans="2:11" ht="24.9" customHeight="1" thickTop="1" thickBot="1" x14ac:dyDescent="0.25">
      <c r="B962" s="156" t="s">
        <v>1034</v>
      </c>
      <c r="C962" s="108" t="str">
        <f>+'LISTA DE INSUMOS'!A9</f>
        <v>MOB006</v>
      </c>
      <c r="D962" s="139" t="str">
        <f>+'LISTA DE INSUMOS'!B9</f>
        <v>Cuadrilla A 1 Of + 4 Ay (jornal + prestaciones)</v>
      </c>
      <c r="E962" s="108" t="str">
        <f>+'LISTA DE INSUMOS'!C9</f>
        <v>Día</v>
      </c>
      <c r="F962" s="140">
        <v>1</v>
      </c>
      <c r="G962" s="141">
        <f>'LISTA DE INSUMOS'!E9</f>
        <v>491167</v>
      </c>
      <c r="H962" s="219">
        <f>1/50</f>
        <v>0.02</v>
      </c>
      <c r="I962" s="141">
        <f>ROUND((F962*G962*H962),0)</f>
        <v>9823</v>
      </c>
      <c r="J962" s="47"/>
      <c r="K962" s="143"/>
    </row>
    <row r="963" spans="2:11" ht="24.9" customHeight="1" thickTop="1" x14ac:dyDescent="0.2">
      <c r="B963" s="674" t="s">
        <v>1033</v>
      </c>
      <c r="C963" s="108" t="str">
        <f>+'LISTA DE INSUMOS'!A758</f>
        <v>EQU002</v>
      </c>
      <c r="D963" s="139" t="str">
        <f>+'LISTA DE INSUMOS'!B758</f>
        <v>Herramienta menor (% mano obra)</v>
      </c>
      <c r="E963" s="108" t="str">
        <f>+'LISTA DE INSUMOS'!C758</f>
        <v>%MO</v>
      </c>
      <c r="F963" s="140">
        <v>0.1</v>
      </c>
      <c r="G963" s="141">
        <f>I962</f>
        <v>9823</v>
      </c>
      <c r="H963" s="108">
        <v>0</v>
      </c>
      <c r="I963" s="141">
        <f>ROUND((F963*G963),0)</f>
        <v>982</v>
      </c>
      <c r="J963" s="47"/>
      <c r="K963" s="143"/>
    </row>
    <row r="964" spans="2:11" ht="24.9" customHeight="1" thickBot="1" x14ac:dyDescent="0.25">
      <c r="B964" s="675"/>
      <c r="C964" s="108" t="str">
        <f>+'LISTA DE INSUMOS'!A775</f>
        <v>EQU018</v>
      </c>
      <c r="D964" s="139" t="str">
        <f>+'LISTA DE INSUMOS'!B775</f>
        <v>Vibrador eléctrico o a gasolina</v>
      </c>
      <c r="E964" s="108" t="str">
        <f>+'LISTA DE INSUMOS'!C775</f>
        <v>Día</v>
      </c>
      <c r="F964" s="160">
        <v>1</v>
      </c>
      <c r="G964" s="141">
        <f>'LISTA DE INSUMOS'!E775</f>
        <v>42234.2781968536</v>
      </c>
      <c r="H964" s="108">
        <f>1/100</f>
        <v>0.01</v>
      </c>
      <c r="I964" s="141">
        <f>ROUND((F964*G964*H964),0)</f>
        <v>422</v>
      </c>
      <c r="J964" s="47"/>
      <c r="K964" s="143"/>
    </row>
    <row r="965" spans="2:11" ht="24.9" customHeight="1" thickTop="1" thickBot="1" x14ac:dyDescent="0.25">
      <c r="B965" s="171" t="s">
        <v>421</v>
      </c>
      <c r="C965" s="145" t="str">
        <f>+'LISTA DE INSUMOS'!A823</f>
        <v>ESY001</v>
      </c>
      <c r="D965" s="146" t="str">
        <f>+'LISTA DE INSUMOS'!B823</f>
        <v>Ensayo resistencia concretos (un testigo)</v>
      </c>
      <c r="E965" s="145" t="str">
        <f>+'LISTA DE INSUMOS'!C823</f>
        <v>Un</v>
      </c>
      <c r="F965" s="172">
        <f>1/10*3</f>
        <v>0.30000000000000004</v>
      </c>
      <c r="G965" s="173">
        <f>'LISTA DE INSUMOS'!E823</f>
        <v>29175.946249999997</v>
      </c>
      <c r="H965" s="174">
        <v>0</v>
      </c>
      <c r="I965" s="148">
        <f>ROUND((F965*G965),0)</f>
        <v>8753</v>
      </c>
      <c r="J965" s="47"/>
      <c r="K965" s="143"/>
    </row>
    <row r="966" spans="2:11" ht="24.9" customHeight="1" x14ac:dyDescent="0.2">
      <c r="B966" s="117" t="s">
        <v>1855</v>
      </c>
      <c r="C966" s="117"/>
      <c r="D966" s="112" t="s">
        <v>207</v>
      </c>
      <c r="E966" s="117" t="s">
        <v>2585</v>
      </c>
      <c r="F966" s="149"/>
      <c r="G966" s="119">
        <f>ROUND(SUM(I966:I974),0)</f>
        <v>182625</v>
      </c>
      <c r="H966" s="120"/>
      <c r="I966" s="119"/>
      <c r="J966" s="47"/>
      <c r="K966" s="143"/>
    </row>
    <row r="967" spans="2:11" ht="24.9" customHeight="1" x14ac:dyDescent="0.2">
      <c r="B967" s="657" t="s">
        <v>1325</v>
      </c>
      <c r="C967" s="108" t="str">
        <f>+'LISTA DE INSUMOS'!A67</f>
        <v>MAT034</v>
      </c>
      <c r="D967" s="139" t="str">
        <f>+'LISTA DE INSUMOS'!B67</f>
        <v>ACPM</v>
      </c>
      <c r="E967" s="108" t="str">
        <f>+'LISTA DE INSUMOS'!C67</f>
        <v>Gl</v>
      </c>
      <c r="F967" s="140">
        <v>0.05</v>
      </c>
      <c r="G967" s="141">
        <f>'LISTA DE INSUMOS'!E67</f>
        <v>9681.4499999999989</v>
      </c>
      <c r="H967" s="205">
        <v>0</v>
      </c>
      <c r="I967" s="141">
        <f>ROUND((F967*G967),0)</f>
        <v>484</v>
      </c>
      <c r="J967" s="47"/>
      <c r="K967" s="143"/>
    </row>
    <row r="968" spans="2:11" ht="24.9" customHeight="1" thickBot="1" x14ac:dyDescent="0.25">
      <c r="B968" s="659"/>
      <c r="C968" s="108" t="str">
        <f>+'LISTA DE INSUMOS'!A93</f>
        <v>MAT051</v>
      </c>
      <c r="D968" s="139" t="str">
        <f>+'LISTA DE INSUMOS'!B93</f>
        <v>Antisol blanco</v>
      </c>
      <c r="E968" s="108" t="str">
        <f>+'LISTA DE INSUMOS'!C93</f>
        <v>Kg</v>
      </c>
      <c r="F968" s="140">
        <v>0.2</v>
      </c>
      <c r="G968" s="141">
        <f>'LISTA DE INSUMOS'!E93</f>
        <v>11510.734499999999</v>
      </c>
      <c r="H968" s="205">
        <v>1.03</v>
      </c>
      <c r="I968" s="141">
        <f>ROUND((F968*G968*H968),0)</f>
        <v>2371</v>
      </c>
      <c r="J968" s="47"/>
      <c r="K968" s="143"/>
    </row>
    <row r="969" spans="2:11" ht="24.9" customHeight="1" thickTop="1" x14ac:dyDescent="0.2">
      <c r="B969" s="685" t="s">
        <v>1310</v>
      </c>
      <c r="C969" s="108" t="str">
        <f>+B544</f>
        <v>ITE092</v>
      </c>
      <c r="D969" s="139" t="str">
        <f>+D544</f>
        <v>Concreto de 20,7 Mpa (3000 psi) (producción)</v>
      </c>
      <c r="E969" s="108" t="str">
        <f>+E544</f>
        <v>M3</v>
      </c>
      <c r="F969" s="140">
        <v>0.15</v>
      </c>
      <c r="G969" s="141">
        <f>G544</f>
        <v>596118</v>
      </c>
      <c r="H969" s="205">
        <v>1.05</v>
      </c>
      <c r="I969" s="141">
        <f>ROUND((F969*G969*H969),0)</f>
        <v>93889</v>
      </c>
      <c r="J969" s="47"/>
      <c r="K969" s="143"/>
    </row>
    <row r="970" spans="2:11" ht="24.9" customHeight="1" thickBot="1" x14ac:dyDescent="0.25">
      <c r="B970" s="707"/>
      <c r="C970" s="108" t="str">
        <f>+B1407</f>
        <v>ITE184</v>
      </c>
      <c r="D970" s="139" t="str">
        <f>+D1407</f>
        <v>Formaleta placa (básico)</v>
      </c>
      <c r="E970" s="108" t="str">
        <f>+E1407</f>
        <v>M2</v>
      </c>
      <c r="F970" s="140">
        <v>1</v>
      </c>
      <c r="G970" s="141">
        <f>G1407</f>
        <v>176092</v>
      </c>
      <c r="H970" s="205">
        <f>1/3</f>
        <v>0.33333333333333331</v>
      </c>
      <c r="I970" s="141">
        <f>ROUND((F970*G970*H970),0)</f>
        <v>58697</v>
      </c>
      <c r="J970" s="47"/>
      <c r="K970" s="143"/>
    </row>
    <row r="971" spans="2:11" ht="24.9" customHeight="1" thickTop="1" thickBot="1" x14ac:dyDescent="0.25">
      <c r="B971" s="156" t="s">
        <v>1034</v>
      </c>
      <c r="C971" s="108" t="str">
        <f>+'LISTA DE INSUMOS'!A9</f>
        <v>MOB006</v>
      </c>
      <c r="D971" s="139" t="str">
        <f>+'LISTA DE INSUMOS'!B9</f>
        <v>Cuadrilla A 1 Of + 4 Ay (jornal + prestaciones)</v>
      </c>
      <c r="E971" s="108" t="str">
        <f>+'LISTA DE INSUMOS'!C9</f>
        <v>Día</v>
      </c>
      <c r="F971" s="140">
        <v>1</v>
      </c>
      <c r="G971" s="141">
        <f>'LISTA DE INSUMOS'!E9</f>
        <v>491167</v>
      </c>
      <c r="H971" s="219">
        <f>1/30</f>
        <v>3.3333333333333333E-2</v>
      </c>
      <c r="I971" s="141">
        <f>ROUND((F971*G971*H971),0)</f>
        <v>16372</v>
      </c>
      <c r="J971" s="47"/>
      <c r="K971" s="143"/>
    </row>
    <row r="972" spans="2:11" ht="24.9" customHeight="1" thickTop="1" x14ac:dyDescent="0.2">
      <c r="B972" s="674" t="s">
        <v>1033</v>
      </c>
      <c r="C972" s="108" t="str">
        <f>+'LISTA DE INSUMOS'!A758</f>
        <v>EQU002</v>
      </c>
      <c r="D972" s="139" t="str">
        <f>+'LISTA DE INSUMOS'!B758</f>
        <v>Herramienta menor (% mano obra)</v>
      </c>
      <c r="E972" s="108" t="str">
        <f>+'LISTA DE INSUMOS'!C758</f>
        <v>%MO</v>
      </c>
      <c r="F972" s="140">
        <v>0.1</v>
      </c>
      <c r="G972" s="141">
        <f>I971</f>
        <v>16372</v>
      </c>
      <c r="H972" s="205">
        <v>0</v>
      </c>
      <c r="I972" s="141">
        <f>ROUND((F972*G972),0)</f>
        <v>1637</v>
      </c>
      <c r="J972" s="47"/>
      <c r="K972" s="143"/>
    </row>
    <row r="973" spans="2:11" ht="24.9" customHeight="1" thickBot="1" x14ac:dyDescent="0.25">
      <c r="B973" s="675"/>
      <c r="C973" s="108" t="str">
        <f>+'LISTA DE INSUMOS'!A775</f>
        <v>EQU018</v>
      </c>
      <c r="D973" s="139" t="str">
        <f>+'LISTA DE INSUMOS'!B775</f>
        <v>Vibrador eléctrico o a gasolina</v>
      </c>
      <c r="E973" s="108" t="str">
        <f>+'LISTA DE INSUMOS'!C775</f>
        <v>Día</v>
      </c>
      <c r="F973" s="160">
        <v>1</v>
      </c>
      <c r="G973" s="141">
        <f>'LISTA DE INSUMOS'!E775</f>
        <v>42234.2781968536</v>
      </c>
      <c r="H973" s="205">
        <f>1/100</f>
        <v>0.01</v>
      </c>
      <c r="I973" s="141">
        <f>ROUND((F973*G973*H973),0)</f>
        <v>422</v>
      </c>
      <c r="J973" s="47"/>
      <c r="K973" s="143"/>
    </row>
    <row r="974" spans="2:11" ht="24.9" customHeight="1" thickTop="1" thickBot="1" x14ac:dyDescent="0.25">
      <c r="B974" s="171" t="s">
        <v>421</v>
      </c>
      <c r="C974" s="145" t="str">
        <f>+'LISTA DE INSUMOS'!A823</f>
        <v>ESY001</v>
      </c>
      <c r="D974" s="146" t="str">
        <f>+'LISTA DE INSUMOS'!B823</f>
        <v>Ensayo resistencia concretos (un testigo)</v>
      </c>
      <c r="E974" s="145" t="str">
        <f>+'LISTA DE INSUMOS'!C823</f>
        <v>Un</v>
      </c>
      <c r="F974" s="172">
        <f>1/10*3</f>
        <v>0.30000000000000004</v>
      </c>
      <c r="G974" s="173">
        <f>'LISTA DE INSUMOS'!E823</f>
        <v>29175.946249999997</v>
      </c>
      <c r="H974" s="174">
        <v>0</v>
      </c>
      <c r="I974" s="148">
        <f>ROUND((F974*G974),0)</f>
        <v>8753</v>
      </c>
      <c r="J974" s="47"/>
      <c r="K974" s="143"/>
    </row>
    <row r="975" spans="2:11" s="317" customFormat="1" ht="24.9" hidden="1" customHeight="1" x14ac:dyDescent="0.2">
      <c r="B975" s="353" t="s">
        <v>1524</v>
      </c>
      <c r="C975" s="319"/>
      <c r="D975" s="320" t="s">
        <v>349</v>
      </c>
      <c r="E975" s="319" t="s">
        <v>2586</v>
      </c>
      <c r="F975" s="321"/>
      <c r="G975" s="312">
        <f>ROUND(SUM(I975:I989),0)</f>
        <v>1793499</v>
      </c>
      <c r="H975" s="322"/>
      <c r="I975" s="312"/>
      <c r="J975" s="313"/>
      <c r="K975" s="323"/>
    </row>
    <row r="976" spans="2:11" s="317" customFormat="1" ht="24.9" hidden="1" customHeight="1" x14ac:dyDescent="0.2">
      <c r="B976" s="691" t="s">
        <v>1035</v>
      </c>
      <c r="C976" s="322" t="str">
        <f>+'LISTA DE INSUMOS'!A46</f>
        <v>MAT017</v>
      </c>
      <c r="D976" s="324" t="str">
        <f>+'LISTA DE INSUMOS'!B46</f>
        <v>Tabla para formaleta de 1" x 10" x 2,9 m</v>
      </c>
      <c r="E976" s="322" t="str">
        <f>+'LISTA DE INSUMOS'!C46</f>
        <v>M</v>
      </c>
      <c r="F976" s="325">
        <v>38</v>
      </c>
      <c r="G976" s="312">
        <f>'LISTA DE INSUMOS'!E46</f>
        <v>8112.0359999999991</v>
      </c>
      <c r="H976" s="349">
        <f>1/3</f>
        <v>0.33333333333333331</v>
      </c>
      <c r="I976" s="312">
        <f>ROUND((F976*G976*H976),0)</f>
        <v>102752</v>
      </c>
      <c r="J976" s="313"/>
      <c r="K976" s="323"/>
    </row>
    <row r="977" spans="2:11" s="317" customFormat="1" ht="24.9" hidden="1" customHeight="1" x14ac:dyDescent="0.2">
      <c r="B977" s="691"/>
      <c r="C977" s="322" t="str">
        <f>+'LISTA DE INSUMOS'!A49</f>
        <v>MAT018</v>
      </c>
      <c r="D977" s="324" t="str">
        <f>+'LISTA DE INSUMOS'!B49</f>
        <v>Cuartón de sajo 2" x 4" x 2,9 m</v>
      </c>
      <c r="E977" s="322" t="str">
        <f>+'LISTA DE INSUMOS'!C49</f>
        <v>M</v>
      </c>
      <c r="F977" s="325">
        <v>22</v>
      </c>
      <c r="G977" s="312">
        <f>'LISTA DE INSUMOS'!E49</f>
        <v>11944.810644542158</v>
      </c>
      <c r="H977" s="349">
        <f>1/3</f>
        <v>0.33333333333333331</v>
      </c>
      <c r="I977" s="312">
        <f>ROUND((F977*G977*H977),0)</f>
        <v>87595</v>
      </c>
      <c r="J977" s="313"/>
      <c r="K977" s="323"/>
    </row>
    <row r="978" spans="2:11" s="317" customFormat="1" ht="24.9" hidden="1" customHeight="1" x14ac:dyDescent="0.2">
      <c r="B978" s="691"/>
      <c r="C978" s="322" t="str">
        <f>+'LISTA DE INSUMOS'!A50</f>
        <v>MAT019</v>
      </c>
      <c r="D978" s="324" t="str">
        <f>+'LISTA DE INSUMOS'!B50</f>
        <v>Listón sajo de 5 x 3 cm x 2,5 m (varilla)</v>
      </c>
      <c r="E978" s="322" t="str">
        <f>+'LISTA DE INSUMOS'!C50</f>
        <v>M</v>
      </c>
      <c r="F978" s="325">
        <v>22</v>
      </c>
      <c r="G978" s="312">
        <f>'LISTA DE INSUMOS'!E50</f>
        <v>7285.5458999999992</v>
      </c>
      <c r="H978" s="349">
        <f>1/3</f>
        <v>0.33333333333333331</v>
      </c>
      <c r="I978" s="312">
        <f>ROUND((F978*G978*H978),0)</f>
        <v>53427</v>
      </c>
      <c r="J978" s="313"/>
      <c r="K978" s="323"/>
    </row>
    <row r="979" spans="2:11" s="317" customFormat="1" ht="24.9" hidden="1" customHeight="1" x14ac:dyDescent="0.2">
      <c r="B979" s="691"/>
      <c r="C979" s="322" t="str">
        <f>+'LISTA DE INSUMOS'!A52</f>
        <v>MAT021</v>
      </c>
      <c r="D979" s="324" t="str">
        <f>+'LISTA DE INSUMOS'!B52</f>
        <v>Puntilla (promedio)</v>
      </c>
      <c r="E979" s="322" t="str">
        <f>+'LISTA DE INSUMOS'!C52</f>
        <v>Lb</v>
      </c>
      <c r="F979" s="325">
        <v>4</v>
      </c>
      <c r="G979" s="312">
        <f>'LISTA DE INSUMOS'!E52</f>
        <v>6690.6972299999998</v>
      </c>
      <c r="H979" s="349">
        <v>0</v>
      </c>
      <c r="I979" s="312">
        <f>ROUND((F979*G979),0)</f>
        <v>26763</v>
      </c>
      <c r="J979" s="313"/>
      <c r="K979" s="323"/>
    </row>
    <row r="980" spans="2:11" s="317" customFormat="1" ht="24.9" hidden="1" customHeight="1" x14ac:dyDescent="0.2">
      <c r="B980" s="691"/>
      <c r="C980" s="322" t="str">
        <f>+'LISTA DE INSUMOS'!A53</f>
        <v>MAT022</v>
      </c>
      <c r="D980" s="324" t="str">
        <f>+'LISTA DE INSUMOS'!B53</f>
        <v>Alambre negro calibre 17</v>
      </c>
      <c r="E980" s="322" t="str">
        <f>+'LISTA DE INSUMOS'!C53</f>
        <v>Kg</v>
      </c>
      <c r="F980" s="325">
        <v>1.5</v>
      </c>
      <c r="G980" s="312">
        <f>'LISTA DE INSUMOS'!E53</f>
        <v>7948.98</v>
      </c>
      <c r="H980" s="349">
        <v>0</v>
      </c>
      <c r="I980" s="312">
        <f>ROUND((F980*G980),0)</f>
        <v>11923</v>
      </c>
      <c r="J980" s="313"/>
      <c r="K980" s="323"/>
    </row>
    <row r="981" spans="2:11" s="317" customFormat="1" ht="24.9" hidden="1" customHeight="1" x14ac:dyDescent="0.2">
      <c r="B981" s="691"/>
      <c r="C981" s="322" t="str">
        <f>+'LISTA DE INSUMOS'!A67</f>
        <v>MAT034</v>
      </c>
      <c r="D981" s="324" t="str">
        <f>+'LISTA DE INSUMOS'!B67</f>
        <v>ACPM</v>
      </c>
      <c r="E981" s="322" t="str">
        <f>+'LISTA DE INSUMOS'!C67</f>
        <v>Gl</v>
      </c>
      <c r="F981" s="325">
        <v>0.6</v>
      </c>
      <c r="G981" s="312">
        <f>'LISTA DE INSUMOS'!E67</f>
        <v>9681.4499999999989</v>
      </c>
      <c r="H981" s="349">
        <v>0</v>
      </c>
      <c r="I981" s="312">
        <f>ROUND((F981*G981),0)</f>
        <v>5809</v>
      </c>
      <c r="J981" s="313"/>
      <c r="K981" s="323"/>
    </row>
    <row r="982" spans="2:11" s="317" customFormat="1" ht="24.9" hidden="1" customHeight="1" thickBot="1" x14ac:dyDescent="0.25">
      <c r="B982" s="692"/>
      <c r="C982" s="322" t="str">
        <f>+'LISTA DE INSUMOS'!A93</f>
        <v>MAT051</v>
      </c>
      <c r="D982" s="324" t="str">
        <f>+'LISTA DE INSUMOS'!B93</f>
        <v>Antisol blanco</v>
      </c>
      <c r="E982" s="322" t="str">
        <f>+'LISTA DE INSUMOS'!C93</f>
        <v>Kg</v>
      </c>
      <c r="F982" s="325">
        <v>2.5</v>
      </c>
      <c r="G982" s="312">
        <f>+'LISTA DE INSUMOS'!E93</f>
        <v>11510.734499999999</v>
      </c>
      <c r="H982" s="349">
        <v>1.03</v>
      </c>
      <c r="I982" s="312">
        <f>ROUND((F982*G982*H982),0)</f>
        <v>29640</v>
      </c>
      <c r="J982" s="313"/>
      <c r="K982" s="323"/>
    </row>
    <row r="983" spans="2:11" s="317" customFormat="1" ht="24.9" hidden="1" customHeight="1" thickTop="1" thickBot="1" x14ac:dyDescent="0.25">
      <c r="B983" s="347" t="s">
        <v>1310</v>
      </c>
      <c r="C983" s="322" t="str">
        <f>+B544</f>
        <v>ITE092</v>
      </c>
      <c r="D983" s="324" t="str">
        <f>+D544</f>
        <v>Concreto de 20,7 Mpa (3000 psi) (producción)</v>
      </c>
      <c r="E983" s="322" t="str">
        <f>+E544</f>
        <v>M3</v>
      </c>
      <c r="F983" s="325">
        <v>1</v>
      </c>
      <c r="G983" s="312">
        <f>G544</f>
        <v>596118</v>
      </c>
      <c r="H983" s="349">
        <v>1.05</v>
      </c>
      <c r="I983" s="312">
        <f>ROUND((F983*G983*H983),0)</f>
        <v>625924</v>
      </c>
      <c r="J983" s="313"/>
      <c r="K983" s="323"/>
    </row>
    <row r="984" spans="2:11" s="317" customFormat="1" ht="24.9" hidden="1" customHeight="1" thickTop="1" thickBot="1" x14ac:dyDescent="0.25">
      <c r="B984" s="342" t="s">
        <v>1034</v>
      </c>
      <c r="C984" s="322" t="str">
        <f>+'LISTA DE INSUMOS'!A17</f>
        <v>MOB014</v>
      </c>
      <c r="D984" s="324" t="str">
        <f>+'LISTA DE INSUMOS'!B17</f>
        <v>Cuadrilla D 2 Of + 4 Ay (jornal + prestaciones)</v>
      </c>
      <c r="E984" s="322" t="str">
        <f>+'LISTA DE INSUMOS'!C17</f>
        <v>Día</v>
      </c>
      <c r="F984" s="325">
        <v>1</v>
      </c>
      <c r="G984" s="312">
        <f>'LISTA DE INSUMOS'!E17</f>
        <v>654890</v>
      </c>
      <c r="H984" s="349">
        <f>1/1</f>
        <v>1</v>
      </c>
      <c r="I984" s="312">
        <f>ROUND((F984*G984*H984),0)</f>
        <v>654890</v>
      </c>
      <c r="J984" s="313"/>
      <c r="K984" s="323"/>
    </row>
    <row r="985" spans="2:11" s="317" customFormat="1" ht="30" hidden="1" customHeight="1" thickTop="1" x14ac:dyDescent="0.2">
      <c r="B985" s="744" t="s">
        <v>1033</v>
      </c>
      <c r="C985" s="322" t="str">
        <f>+'LISTA DE INSUMOS'!A758</f>
        <v>EQU002</v>
      </c>
      <c r="D985" s="324" t="str">
        <f>+'LISTA DE INSUMOS'!B758</f>
        <v>Herramienta menor (% mano obra)</v>
      </c>
      <c r="E985" s="322" t="str">
        <f>+'LISTA DE INSUMOS'!C758</f>
        <v>%MO</v>
      </c>
      <c r="F985" s="325">
        <v>0.1</v>
      </c>
      <c r="G985" s="312">
        <f>I984</f>
        <v>654890</v>
      </c>
      <c r="H985" s="349">
        <v>0</v>
      </c>
      <c r="I985" s="312">
        <f>ROUND((F985*G985),0)</f>
        <v>65489</v>
      </c>
      <c r="J985" s="313"/>
      <c r="K985" s="323"/>
    </row>
    <row r="986" spans="2:11" s="317" customFormat="1" ht="30" hidden="1" customHeight="1" x14ac:dyDescent="0.2">
      <c r="B986" s="745"/>
      <c r="C986" s="322" t="str">
        <f>+'LISTA DE INSUMOS'!A762</f>
        <v>EQU006</v>
      </c>
      <c r="D986" s="324" t="str">
        <f>+'LISTA DE INSUMOS'!B762</f>
        <v>Andamio (% mano obra)</v>
      </c>
      <c r="E986" s="322" t="str">
        <f>+'LISTA DE INSUMOS'!C762</f>
        <v>%MO</v>
      </c>
      <c r="F986" s="325">
        <v>0.1</v>
      </c>
      <c r="G986" s="312">
        <f>I984</f>
        <v>654890</v>
      </c>
      <c r="H986" s="349">
        <v>0</v>
      </c>
      <c r="I986" s="312">
        <f>ROUND((F986*G986),0)</f>
        <v>65489</v>
      </c>
      <c r="J986" s="313"/>
      <c r="K986" s="323"/>
    </row>
    <row r="987" spans="2:11" s="317" customFormat="1" ht="30" hidden="1" customHeight="1" x14ac:dyDescent="0.2">
      <c r="B987" s="745"/>
      <c r="C987" s="322" t="str">
        <f>+'LISTA DE INSUMOS'!A775</f>
        <v>EQU018</v>
      </c>
      <c r="D987" s="324" t="str">
        <f>+'LISTA DE INSUMOS'!B775</f>
        <v>Vibrador eléctrico o a gasolina</v>
      </c>
      <c r="E987" s="322" t="str">
        <f>+'LISTA DE INSUMOS'!C775</f>
        <v>Día</v>
      </c>
      <c r="F987" s="325">
        <v>1</v>
      </c>
      <c r="G987" s="312">
        <f>'LISTA DE INSUMOS'!E775</f>
        <v>42234.2781968536</v>
      </c>
      <c r="H987" s="349">
        <f>1/10</f>
        <v>0.1</v>
      </c>
      <c r="I987" s="312">
        <f>ROUND((F987*G987*H987),0)</f>
        <v>4223</v>
      </c>
      <c r="J987" s="313"/>
      <c r="K987" s="323"/>
    </row>
    <row r="988" spans="2:11" s="317" customFormat="1" ht="24.9" hidden="1" customHeight="1" thickBot="1" x14ac:dyDescent="0.25">
      <c r="B988" s="746"/>
      <c r="C988" s="322" t="str">
        <f>+'LISTA DE INSUMOS'!A763</f>
        <v>EQU007</v>
      </c>
      <c r="D988" s="324" t="str">
        <f>+'LISTA DE INSUMOS'!B763</f>
        <v>Taco metálico de 2 - &gt;3 m</v>
      </c>
      <c r="E988" s="322" t="str">
        <f>+'LISTA DE INSUMOS'!C763</f>
        <v>Día</v>
      </c>
      <c r="F988" s="332">
        <v>16</v>
      </c>
      <c r="G988" s="312">
        <f>'LISTA DE INSUMOS'!E763</f>
        <v>281.17022786424002</v>
      </c>
      <c r="H988" s="349">
        <v>10</v>
      </c>
      <c r="I988" s="312">
        <f>ROUND((F988*G988*H988),0)</f>
        <v>44987</v>
      </c>
      <c r="J988" s="313"/>
      <c r="K988" s="323"/>
    </row>
    <row r="989" spans="2:11" s="317" customFormat="1" ht="24.9" hidden="1" customHeight="1" thickTop="1" thickBot="1" x14ac:dyDescent="0.25">
      <c r="B989" s="343" t="s">
        <v>421</v>
      </c>
      <c r="C989" s="329" t="str">
        <f>+'LISTA DE INSUMOS'!A823</f>
        <v>ESY001</v>
      </c>
      <c r="D989" s="328" t="str">
        <f>+'LISTA DE INSUMOS'!B823</f>
        <v>Ensayo resistencia concretos (un testigo)</v>
      </c>
      <c r="E989" s="329" t="str">
        <f>+'LISTA DE INSUMOS'!C823</f>
        <v>Un</v>
      </c>
      <c r="F989" s="344">
        <f>5/10</f>
        <v>0.5</v>
      </c>
      <c r="G989" s="345">
        <f>'LISTA DE INSUMOS'!E823</f>
        <v>29175.946249999997</v>
      </c>
      <c r="H989" s="346">
        <v>0</v>
      </c>
      <c r="I989" s="331">
        <f>ROUND((F989*G989),0)</f>
        <v>14588</v>
      </c>
      <c r="J989" s="313"/>
      <c r="K989" s="323"/>
    </row>
    <row r="990" spans="2:11" ht="24.9" customHeight="1" x14ac:dyDescent="0.2">
      <c r="B990" s="117" t="s">
        <v>1440</v>
      </c>
      <c r="C990" s="117"/>
      <c r="D990" s="112" t="s">
        <v>2589</v>
      </c>
      <c r="E990" s="117" t="s">
        <v>1412</v>
      </c>
      <c r="F990" s="118"/>
      <c r="G990" s="119">
        <f>ROUND(SUM(I990:I1003),0)</f>
        <v>293745</v>
      </c>
      <c r="H990" s="120"/>
      <c r="I990" s="119"/>
      <c r="J990" s="47"/>
      <c r="K990" s="143"/>
    </row>
    <row r="991" spans="2:11" ht="24.9" customHeight="1" x14ac:dyDescent="0.2">
      <c r="B991" s="672" t="s">
        <v>1035</v>
      </c>
      <c r="C991" s="108" t="str">
        <f>+'LISTA DE INSUMOS'!A46</f>
        <v>MAT017</v>
      </c>
      <c r="D991" s="139" t="str">
        <f>+'LISTA DE INSUMOS'!B46</f>
        <v>Tabla para formaleta de 1" x 10" x 2,9 m</v>
      </c>
      <c r="E991" s="108" t="str">
        <f>+'LISTA DE INSUMOS'!C46</f>
        <v>M</v>
      </c>
      <c r="F991" s="140">
        <v>9</v>
      </c>
      <c r="G991" s="141">
        <f>'LISTA DE INSUMOS'!E46</f>
        <v>8112.0359999999991</v>
      </c>
      <c r="H991" s="205">
        <f>1/3</f>
        <v>0.33333333333333331</v>
      </c>
      <c r="I991" s="141">
        <f>ROUND((F991*G991*H991),0)</f>
        <v>24336</v>
      </c>
      <c r="J991" s="47"/>
      <c r="K991" s="143"/>
    </row>
    <row r="992" spans="2:11" ht="29.25" customHeight="1" x14ac:dyDescent="0.2">
      <c r="B992" s="672"/>
      <c r="C992" s="108" t="str">
        <f>+'LISTA DE INSUMOS'!A49</f>
        <v>MAT018</v>
      </c>
      <c r="D992" s="139" t="str">
        <f>+'LISTA DE INSUMOS'!B49</f>
        <v>Cuartón de sajo 2" x 4" x 2,9 m</v>
      </c>
      <c r="E992" s="108" t="str">
        <f>+'LISTA DE INSUMOS'!C49</f>
        <v>M</v>
      </c>
      <c r="F992" s="140">
        <v>7</v>
      </c>
      <c r="G992" s="141">
        <f>'LISTA DE INSUMOS'!E49</f>
        <v>11944.810644542158</v>
      </c>
      <c r="H992" s="205">
        <f>1/3</f>
        <v>0.33333333333333331</v>
      </c>
      <c r="I992" s="141">
        <f>ROUND((F992*G992*H992),0)</f>
        <v>27871</v>
      </c>
      <c r="J992" s="47"/>
      <c r="K992" s="143"/>
    </row>
    <row r="993" spans="2:11" ht="24.9" customHeight="1" x14ac:dyDescent="0.2">
      <c r="B993" s="672"/>
      <c r="C993" s="108" t="str">
        <f>+'LISTA DE INSUMOS'!A52</f>
        <v>MAT021</v>
      </c>
      <c r="D993" s="139" t="str">
        <f>+'LISTA DE INSUMOS'!B52</f>
        <v>Puntilla (promedio)</v>
      </c>
      <c r="E993" s="108" t="str">
        <f>+'LISTA DE INSUMOS'!C52</f>
        <v>Lb</v>
      </c>
      <c r="F993" s="140">
        <v>0.5</v>
      </c>
      <c r="G993" s="141">
        <f>'LISTA DE INSUMOS'!E52</f>
        <v>6690.6972299999998</v>
      </c>
      <c r="H993" s="205">
        <v>0</v>
      </c>
      <c r="I993" s="141">
        <f>ROUND((F993*G993),0)</f>
        <v>3345</v>
      </c>
      <c r="J993" s="47"/>
      <c r="K993" s="143"/>
    </row>
    <row r="994" spans="2:11" ht="24.9" customHeight="1" x14ac:dyDescent="0.2">
      <c r="B994" s="672"/>
      <c r="C994" s="108" t="str">
        <f>+'LISTA DE INSUMOS'!A67</f>
        <v>MAT034</v>
      </c>
      <c r="D994" s="139" t="str">
        <f>+'LISTA DE INSUMOS'!B67</f>
        <v>ACPM</v>
      </c>
      <c r="E994" s="108" t="str">
        <f>+'LISTA DE INSUMOS'!C67</f>
        <v>Gl</v>
      </c>
      <c r="F994" s="140">
        <v>0.05</v>
      </c>
      <c r="G994" s="141">
        <f>'LISTA DE INSUMOS'!E67</f>
        <v>9681.4499999999989</v>
      </c>
      <c r="H994" s="205">
        <v>0</v>
      </c>
      <c r="I994" s="141">
        <f>ROUND((F994*G994),0)</f>
        <v>484</v>
      </c>
      <c r="J994" s="47"/>
      <c r="K994" s="143"/>
    </row>
    <row r="995" spans="2:11" ht="24.9" customHeight="1" x14ac:dyDescent="0.2">
      <c r="B995" s="672"/>
      <c r="C995" s="108" t="str">
        <f>+'LISTA DE INSUMOS'!A93</f>
        <v>MAT051</v>
      </c>
      <c r="D995" s="139" t="str">
        <f>+'LISTA DE INSUMOS'!B93</f>
        <v>Antisol blanco</v>
      </c>
      <c r="E995" s="108" t="str">
        <f>+'LISTA DE INSUMOS'!C93</f>
        <v>Kg</v>
      </c>
      <c r="F995" s="140">
        <v>0.2</v>
      </c>
      <c r="G995" s="141">
        <f>'LISTA DE INSUMOS'!E93</f>
        <v>11510.734499999999</v>
      </c>
      <c r="H995" s="205">
        <v>1.03</v>
      </c>
      <c r="I995" s="141">
        <f>ROUND((F995*G995*H995),0)</f>
        <v>2371</v>
      </c>
      <c r="J995" s="47"/>
      <c r="K995" s="143"/>
    </row>
    <row r="996" spans="2:11" ht="30" customHeight="1" thickBot="1" x14ac:dyDescent="0.25">
      <c r="B996" s="673"/>
      <c r="C996" s="108" t="str">
        <f>+'LISTA DE INSUMOS'!A132</f>
        <v>MAT091</v>
      </c>
      <c r="D996" s="139" t="str">
        <f>+'LISTA DE INSUMOS'!B132</f>
        <v>Varillón de sajo</v>
      </c>
      <c r="E996" s="108" t="str">
        <f>+'LISTA DE INSUMOS'!C132</f>
        <v>M</v>
      </c>
      <c r="F996" s="140">
        <v>7</v>
      </c>
      <c r="G996" s="141">
        <f>'LISTA DE INSUMOS'!E132</f>
        <v>2979.6450687603597</v>
      </c>
      <c r="H996" s="205">
        <f>1/3</f>
        <v>0.33333333333333331</v>
      </c>
      <c r="I996" s="141">
        <f>ROUND((F996*G996*H996),0)</f>
        <v>6953</v>
      </c>
      <c r="J996" s="47"/>
      <c r="K996" s="143"/>
    </row>
    <row r="997" spans="2:11" ht="30" customHeight="1" thickTop="1" thickBot="1" x14ac:dyDescent="0.25">
      <c r="B997" s="191" t="s">
        <v>1310</v>
      </c>
      <c r="C997" s="108" t="str">
        <f>+B571</f>
        <v>ITE095</v>
      </c>
      <c r="D997" s="139" t="str">
        <f>+D571</f>
        <v>Concreto de 20,7 Mpa (3000 psi) impermeabilizado (producción)</v>
      </c>
      <c r="E997" s="108" t="str">
        <f>+E571</f>
        <v>M3</v>
      </c>
      <c r="F997" s="140">
        <v>0.21</v>
      </c>
      <c r="G997" s="141">
        <f>G571</f>
        <v>639576</v>
      </c>
      <c r="H997" s="205">
        <v>1.05</v>
      </c>
      <c r="I997" s="141">
        <f>ROUND((F997*G997*H997),0)</f>
        <v>141027</v>
      </c>
      <c r="J997" s="47"/>
      <c r="K997" s="143"/>
    </row>
    <row r="998" spans="2:11" ht="30" customHeight="1" thickTop="1" thickBot="1" x14ac:dyDescent="0.25">
      <c r="B998" s="158" t="s">
        <v>1034</v>
      </c>
      <c r="C998" s="108" t="str">
        <f>+'LISTA DE INSUMOS'!A20</f>
        <v>MOB017</v>
      </c>
      <c r="D998" s="139" t="str">
        <f>+'LISTA DE INSUMOS'!B20</f>
        <v>Cuadrilla G 1 Of + 2 Ay (jornal + prestaciones)</v>
      </c>
      <c r="E998" s="108" t="str">
        <f>+'LISTA DE INSUMOS'!C20</f>
        <v>Día</v>
      </c>
      <c r="F998" s="140">
        <v>1</v>
      </c>
      <c r="G998" s="141">
        <f>'LISTA DE INSUMOS'!E20</f>
        <v>327445</v>
      </c>
      <c r="H998" s="205">
        <v>0.17499999999999999</v>
      </c>
      <c r="I998" s="141">
        <f>ROUND((F998*G998*H998),0)</f>
        <v>57303</v>
      </c>
      <c r="J998" s="47"/>
      <c r="K998" s="143"/>
    </row>
    <row r="999" spans="2:11" ht="24.9" customHeight="1" thickTop="1" x14ac:dyDescent="0.2">
      <c r="B999" s="739" t="s">
        <v>1033</v>
      </c>
      <c r="C999" s="108" t="str">
        <f>+'LISTA DE INSUMOS'!A758</f>
        <v>EQU002</v>
      </c>
      <c r="D999" s="139" t="str">
        <f>+'LISTA DE INSUMOS'!B758</f>
        <v>Herramienta menor (% mano obra)</v>
      </c>
      <c r="E999" s="108" t="str">
        <f>+'LISTA DE INSUMOS'!C758</f>
        <v>%MO</v>
      </c>
      <c r="F999" s="140">
        <v>0.1</v>
      </c>
      <c r="G999" s="141">
        <f>I998</f>
        <v>57303</v>
      </c>
      <c r="H999" s="205">
        <v>0</v>
      </c>
      <c r="I999" s="141">
        <f>ROUND((F999*G999),0)</f>
        <v>5730</v>
      </c>
      <c r="J999" s="47"/>
      <c r="K999" s="143"/>
    </row>
    <row r="1000" spans="2:11" ht="24.9" customHeight="1" x14ac:dyDescent="0.2">
      <c r="B1000" s="740"/>
      <c r="C1000" s="108" t="str">
        <f>+'LISTA DE INSUMOS'!A762</f>
        <v>EQU006</v>
      </c>
      <c r="D1000" s="139" t="str">
        <f>+'LISTA DE INSUMOS'!B762</f>
        <v>Andamio (% mano obra)</v>
      </c>
      <c r="E1000" s="108" t="str">
        <f>+'LISTA DE INSUMOS'!C762</f>
        <v>%MO</v>
      </c>
      <c r="F1000" s="140">
        <v>0.1</v>
      </c>
      <c r="G1000" s="141">
        <f>I998</f>
        <v>57303</v>
      </c>
      <c r="H1000" s="205">
        <v>0</v>
      </c>
      <c r="I1000" s="141">
        <f>ROUND((F1000*G1000),0)</f>
        <v>5730</v>
      </c>
      <c r="J1000" s="47"/>
      <c r="K1000" s="143"/>
    </row>
    <row r="1001" spans="2:11" ht="24.9" customHeight="1" x14ac:dyDescent="0.2">
      <c r="B1001" s="740"/>
      <c r="C1001" s="108" t="str">
        <f>+'LISTA DE INSUMOS'!A775</f>
        <v>EQU018</v>
      </c>
      <c r="D1001" s="139" t="str">
        <f>+'LISTA DE INSUMOS'!B775</f>
        <v>Vibrador eléctrico o a gasolina</v>
      </c>
      <c r="E1001" s="108" t="str">
        <f>+'LISTA DE INSUMOS'!C775</f>
        <v>Día</v>
      </c>
      <c r="F1001" s="140">
        <v>1</v>
      </c>
      <c r="G1001" s="141">
        <f>'LISTA DE INSUMOS'!E775</f>
        <v>42234.2781968536</v>
      </c>
      <c r="H1001" s="205">
        <f>1/50</f>
        <v>0.02</v>
      </c>
      <c r="I1001" s="141">
        <f>ROUND((F1001*G1001*H1001),0)</f>
        <v>845</v>
      </c>
      <c r="J1001" s="47"/>
      <c r="K1001" s="143"/>
    </row>
    <row r="1002" spans="2:11" ht="24.9" customHeight="1" thickBot="1" x14ac:dyDescent="0.25">
      <c r="B1002" s="741"/>
      <c r="C1002" s="108" t="str">
        <f>+'LISTA DE INSUMOS'!A763</f>
        <v>EQU007</v>
      </c>
      <c r="D1002" s="139" t="str">
        <f>+'LISTA DE INSUMOS'!B763</f>
        <v>Taco metálico de 2 - &gt;3 m</v>
      </c>
      <c r="E1002" s="108" t="str">
        <f>+'LISTA DE INSUMOS'!C763</f>
        <v>Día</v>
      </c>
      <c r="F1002" s="160">
        <v>16</v>
      </c>
      <c r="G1002" s="141">
        <f>'LISTA DE INSUMOS'!E763</f>
        <v>281.17022786424002</v>
      </c>
      <c r="H1002" s="205">
        <v>2</v>
      </c>
      <c r="I1002" s="141">
        <f>ROUND((F1002*G1002*H1002),0)</f>
        <v>8997</v>
      </c>
      <c r="J1002" s="47"/>
      <c r="K1002" s="143"/>
    </row>
    <row r="1003" spans="2:11" ht="24.9" customHeight="1" thickTop="1" thickBot="1" x14ac:dyDescent="0.25">
      <c r="B1003" s="171" t="s">
        <v>421</v>
      </c>
      <c r="C1003" s="145" t="str">
        <f>+'LISTA DE INSUMOS'!A823</f>
        <v>ESY001</v>
      </c>
      <c r="D1003" s="146" t="str">
        <f>+'LISTA DE INSUMOS'!B823</f>
        <v>Ensayo resistencia concretos (un testigo)</v>
      </c>
      <c r="E1003" s="145" t="str">
        <f>+'LISTA DE INSUMOS'!C823</f>
        <v>Un</v>
      </c>
      <c r="F1003" s="172">
        <f>1/10*3</f>
        <v>0.30000000000000004</v>
      </c>
      <c r="G1003" s="173">
        <f>'LISTA DE INSUMOS'!E823</f>
        <v>29175.946249999997</v>
      </c>
      <c r="H1003" s="174">
        <v>0</v>
      </c>
      <c r="I1003" s="148">
        <f>ROUND((F1003*G1003),0)</f>
        <v>8753</v>
      </c>
      <c r="J1003" s="47"/>
      <c r="K1003" s="143"/>
    </row>
    <row r="1004" spans="2:11" s="317" customFormat="1" ht="24.9" hidden="1" customHeight="1" x14ac:dyDescent="0.2">
      <c r="B1004" s="319" t="s">
        <v>1522</v>
      </c>
      <c r="C1004" s="353"/>
      <c r="D1004" s="354" t="s">
        <v>208</v>
      </c>
      <c r="E1004" s="353" t="s">
        <v>1412</v>
      </c>
      <c r="F1004" s="355"/>
      <c r="G1004" s="356">
        <f>ROUND(SUM(I1004:I1015),0)</f>
        <v>118752</v>
      </c>
      <c r="H1004" s="357"/>
      <c r="I1004" s="356"/>
      <c r="J1004" s="313"/>
      <c r="K1004" s="323"/>
    </row>
    <row r="1005" spans="2:11" s="317" customFormat="1" ht="24.9" hidden="1" customHeight="1" x14ac:dyDescent="0.2">
      <c r="B1005" s="691" t="s">
        <v>1035</v>
      </c>
      <c r="C1005" s="322" t="str">
        <f>+'LISTA DE INSUMOS'!A46</f>
        <v>MAT017</v>
      </c>
      <c r="D1005" s="324" t="str">
        <f>+'LISTA DE INSUMOS'!B46</f>
        <v>Tabla para formaleta de 1" x 10" x 2,9 m</v>
      </c>
      <c r="E1005" s="322" t="str">
        <f>+'LISTA DE INSUMOS'!C46</f>
        <v>M</v>
      </c>
      <c r="F1005" s="325">
        <v>2</v>
      </c>
      <c r="G1005" s="312">
        <f>'LISTA DE INSUMOS'!E46</f>
        <v>8112.0359999999991</v>
      </c>
      <c r="H1005" s="349">
        <f>1/3</f>
        <v>0.33333333333333331</v>
      </c>
      <c r="I1005" s="312">
        <f>ROUND((F1005*G1005*H1005),0)</f>
        <v>5408</v>
      </c>
      <c r="J1005" s="313"/>
      <c r="K1005" s="323"/>
    </row>
    <row r="1006" spans="2:11" s="317" customFormat="1" ht="24.9" hidden="1" customHeight="1" x14ac:dyDescent="0.2">
      <c r="B1006" s="691"/>
      <c r="C1006" s="322" t="str">
        <f>+'LISTA DE INSUMOS'!A52</f>
        <v>MAT021</v>
      </c>
      <c r="D1006" s="324" t="str">
        <f>+'LISTA DE INSUMOS'!B52</f>
        <v>Puntilla (promedio)</v>
      </c>
      <c r="E1006" s="322" t="str">
        <f>+'LISTA DE INSUMOS'!C52</f>
        <v>Lb</v>
      </c>
      <c r="F1006" s="325">
        <v>0.1</v>
      </c>
      <c r="G1006" s="312">
        <f>'LISTA DE INSUMOS'!E52</f>
        <v>6690.6972299999998</v>
      </c>
      <c r="H1006" s="349">
        <v>0</v>
      </c>
      <c r="I1006" s="312">
        <f>ROUND((F1006*G1006),0)</f>
        <v>669</v>
      </c>
      <c r="J1006" s="313"/>
      <c r="K1006" s="323"/>
    </row>
    <row r="1007" spans="2:11" s="317" customFormat="1" ht="24.9" hidden="1" customHeight="1" x14ac:dyDescent="0.2">
      <c r="B1007" s="691"/>
      <c r="C1007" s="322" t="str">
        <f>+'LISTA DE INSUMOS'!A67</f>
        <v>MAT034</v>
      </c>
      <c r="D1007" s="324" t="str">
        <f>+'LISTA DE INSUMOS'!B67</f>
        <v>ACPM</v>
      </c>
      <c r="E1007" s="322" t="str">
        <f>+'LISTA DE INSUMOS'!C67</f>
        <v>Gl</v>
      </c>
      <c r="F1007" s="325">
        <v>0.05</v>
      </c>
      <c r="G1007" s="312">
        <f>'LISTA DE INSUMOS'!E67</f>
        <v>9681.4499999999989</v>
      </c>
      <c r="H1007" s="349">
        <v>0</v>
      </c>
      <c r="I1007" s="312">
        <f>ROUND((F1007*G1007),0)</f>
        <v>484</v>
      </c>
      <c r="J1007" s="313"/>
      <c r="K1007" s="323"/>
    </row>
    <row r="1008" spans="2:11" s="317" customFormat="1" ht="24.9" hidden="1" customHeight="1" x14ac:dyDescent="0.2">
      <c r="B1008" s="691"/>
      <c r="C1008" s="322" t="str">
        <f>+'LISTA DE INSUMOS'!A93</f>
        <v>MAT051</v>
      </c>
      <c r="D1008" s="324" t="str">
        <f>+'LISTA DE INSUMOS'!B93</f>
        <v>Antisol blanco</v>
      </c>
      <c r="E1008" s="322" t="str">
        <f>+'LISTA DE INSUMOS'!C93</f>
        <v>Kg</v>
      </c>
      <c r="F1008" s="325">
        <v>0.1</v>
      </c>
      <c r="G1008" s="312">
        <f>+'LISTA DE INSUMOS'!E93</f>
        <v>11510.734499999999</v>
      </c>
      <c r="H1008" s="349">
        <v>1.03</v>
      </c>
      <c r="I1008" s="312">
        <f>ROUND((F1008*G1008*H1008),0)</f>
        <v>1186</v>
      </c>
      <c r="J1008" s="313"/>
      <c r="K1008" s="323"/>
    </row>
    <row r="1009" spans="2:11" s="317" customFormat="1" ht="24.9" hidden="1" customHeight="1" thickBot="1" x14ac:dyDescent="0.25">
      <c r="B1009" s="692"/>
      <c r="C1009" s="322" t="str">
        <f>+'LISTA DE INSUMOS'!A132</f>
        <v>MAT091</v>
      </c>
      <c r="D1009" s="324" t="str">
        <f>+'LISTA DE INSUMOS'!B132</f>
        <v>Varillón de sajo</v>
      </c>
      <c r="E1009" s="322" t="str">
        <f>+'LISTA DE INSUMOS'!C132</f>
        <v>M</v>
      </c>
      <c r="F1009" s="325">
        <v>2</v>
      </c>
      <c r="G1009" s="312">
        <f>'LISTA DE INSUMOS'!E132</f>
        <v>2979.6450687603597</v>
      </c>
      <c r="H1009" s="349">
        <f>1/3</f>
        <v>0.33333333333333331</v>
      </c>
      <c r="I1009" s="312">
        <f>ROUND((F1009*G1009*H1009),0)</f>
        <v>1986</v>
      </c>
      <c r="J1009" s="313"/>
      <c r="K1009" s="323"/>
    </row>
    <row r="1010" spans="2:11" s="317" customFormat="1" ht="24.9" hidden="1" customHeight="1" thickTop="1" x14ac:dyDescent="0.2">
      <c r="B1010" s="724" t="s">
        <v>1310</v>
      </c>
      <c r="C1010" s="322" t="str">
        <f>+B587</f>
        <v>ITE98</v>
      </c>
      <c r="D1010" s="324" t="str">
        <f>+D587</f>
        <v>Acero Fy = 60.000 psi d&gt;1/4"</v>
      </c>
      <c r="E1010" s="322" t="str">
        <f>+E587</f>
        <v>Kg</v>
      </c>
      <c r="F1010" s="325">
        <f>4+2.86</f>
        <v>6.8599999999999994</v>
      </c>
      <c r="G1010" s="312">
        <f>G587</f>
        <v>7240</v>
      </c>
      <c r="H1010" s="349">
        <v>0</v>
      </c>
      <c r="I1010" s="312">
        <f>ROUND((F1010*G1010),0)</f>
        <v>49666</v>
      </c>
      <c r="J1010" s="313"/>
      <c r="K1010" s="323"/>
    </row>
    <row r="1011" spans="2:11" s="317" customFormat="1" ht="24.9" hidden="1" customHeight="1" thickBot="1" x14ac:dyDescent="0.25">
      <c r="B1011" s="749"/>
      <c r="C1011" s="322" t="str">
        <f>+B544</f>
        <v>ITE092</v>
      </c>
      <c r="D1011" s="324" t="str">
        <f>+D544</f>
        <v>Concreto de 20,7 Mpa (3000 psi) (producción)</v>
      </c>
      <c r="E1011" s="322" t="str">
        <f>+E544</f>
        <v>M3</v>
      </c>
      <c r="F1011" s="325">
        <v>0.03</v>
      </c>
      <c r="G1011" s="312">
        <f>G544</f>
        <v>596118</v>
      </c>
      <c r="H1011" s="349">
        <v>1.05</v>
      </c>
      <c r="I1011" s="312">
        <f>ROUND((F1011*G1011*H1011),0)</f>
        <v>18778</v>
      </c>
      <c r="J1011" s="313"/>
      <c r="K1011" s="323"/>
    </row>
    <row r="1012" spans="2:11" s="317" customFormat="1" ht="24.9" hidden="1" customHeight="1" thickTop="1" thickBot="1" x14ac:dyDescent="0.25">
      <c r="B1012" s="348" t="s">
        <v>1034</v>
      </c>
      <c r="C1012" s="322" t="str">
        <f>+'LISTA DE INSUMOS'!A20</f>
        <v>MOB017</v>
      </c>
      <c r="D1012" s="324" t="str">
        <f>+'LISTA DE INSUMOS'!B20</f>
        <v>Cuadrilla G 1 Of + 2 Ay (jornal + prestaciones)</v>
      </c>
      <c r="E1012" s="322" t="str">
        <f>+'LISTA DE INSUMOS'!C20</f>
        <v>Día</v>
      </c>
      <c r="F1012" s="325">
        <v>1</v>
      </c>
      <c r="G1012" s="312">
        <f>'LISTA DE INSUMOS'!E20</f>
        <v>327445</v>
      </c>
      <c r="H1012" s="349">
        <f>1/10</f>
        <v>0.1</v>
      </c>
      <c r="I1012" s="312">
        <f>ROUND((F1012*G1012*H1012),0)</f>
        <v>32745</v>
      </c>
      <c r="J1012" s="313"/>
      <c r="K1012" s="323"/>
    </row>
    <row r="1013" spans="2:11" s="317" customFormat="1" ht="24.9" hidden="1" customHeight="1" thickTop="1" x14ac:dyDescent="0.2">
      <c r="B1013" s="693" t="s">
        <v>1033</v>
      </c>
      <c r="C1013" s="322" t="str">
        <f>+'LISTA DE INSUMOS'!A758</f>
        <v>EQU002</v>
      </c>
      <c r="D1013" s="324" t="str">
        <f>+'LISTA DE INSUMOS'!B758</f>
        <v>Herramienta menor (% mano obra)</v>
      </c>
      <c r="E1013" s="322" t="str">
        <f>+'LISTA DE INSUMOS'!C758</f>
        <v>%MO</v>
      </c>
      <c r="F1013" s="325">
        <v>0.1</v>
      </c>
      <c r="G1013" s="312">
        <f>I1012</f>
        <v>32745</v>
      </c>
      <c r="H1013" s="349">
        <v>0</v>
      </c>
      <c r="I1013" s="312">
        <f>ROUND((F1013*G1013),0)</f>
        <v>3275</v>
      </c>
      <c r="J1013" s="313"/>
      <c r="K1013" s="323"/>
    </row>
    <row r="1014" spans="2:11" s="317" customFormat="1" ht="24.9" hidden="1" customHeight="1" thickBot="1" x14ac:dyDescent="0.25">
      <c r="B1014" s="668"/>
      <c r="C1014" s="322" t="str">
        <f>+'LISTA DE INSUMOS'!A762</f>
        <v>EQU006</v>
      </c>
      <c r="D1014" s="324" t="str">
        <f>+'LISTA DE INSUMOS'!B762</f>
        <v>Andamio (% mano obra)</v>
      </c>
      <c r="E1014" s="322" t="str">
        <f>+'LISTA DE INSUMOS'!C762</f>
        <v>%MO</v>
      </c>
      <c r="F1014" s="332">
        <v>0.05</v>
      </c>
      <c r="G1014" s="312">
        <f>I1012</f>
        <v>32745</v>
      </c>
      <c r="H1014" s="349">
        <v>0</v>
      </c>
      <c r="I1014" s="312">
        <f>ROUND((F1014*G1014),0)</f>
        <v>1637</v>
      </c>
      <c r="J1014" s="313"/>
      <c r="K1014" s="323"/>
    </row>
    <row r="1015" spans="2:11" s="317" customFormat="1" ht="24.9" hidden="1" customHeight="1" thickTop="1" thickBot="1" x14ac:dyDescent="0.25">
      <c r="B1015" s="343" t="s">
        <v>421</v>
      </c>
      <c r="C1015" s="329" t="str">
        <f>+'LISTA DE INSUMOS'!A823</f>
        <v>ESY001</v>
      </c>
      <c r="D1015" s="328" t="str">
        <f>+'LISTA DE INSUMOS'!B823</f>
        <v>Ensayo resistencia concretos (un testigo)</v>
      </c>
      <c r="E1015" s="329" t="str">
        <f>+'LISTA DE INSUMOS'!C823</f>
        <v>Un</v>
      </c>
      <c r="F1015" s="344">
        <f>5/50</f>
        <v>0.1</v>
      </c>
      <c r="G1015" s="345">
        <f>'LISTA DE INSUMOS'!E823</f>
        <v>29175.946249999997</v>
      </c>
      <c r="H1015" s="346">
        <v>0</v>
      </c>
      <c r="I1015" s="331">
        <f>ROUND((F1015*G1015),0)</f>
        <v>2918</v>
      </c>
      <c r="J1015" s="313"/>
      <c r="K1015" s="323"/>
    </row>
    <row r="1016" spans="2:11" ht="24.9" customHeight="1" x14ac:dyDescent="0.2">
      <c r="B1016" s="117" t="s">
        <v>1800</v>
      </c>
      <c r="C1016" s="117"/>
      <c r="D1016" s="112" t="s">
        <v>209</v>
      </c>
      <c r="E1016" s="117" t="s">
        <v>1412</v>
      </c>
      <c r="F1016" s="149"/>
      <c r="G1016" s="119">
        <f>ROUND(SUM(I1016:I1025),0)</f>
        <v>73557</v>
      </c>
      <c r="H1016" s="120"/>
      <c r="I1016" s="119"/>
      <c r="J1016" s="47"/>
      <c r="K1016" s="143"/>
    </row>
    <row r="1017" spans="2:11" ht="24.9" customHeight="1" x14ac:dyDescent="0.2">
      <c r="B1017" s="672" t="s">
        <v>1035</v>
      </c>
      <c r="C1017" s="108" t="str">
        <f>+'LISTA DE INSUMOS'!A46</f>
        <v>MAT017</v>
      </c>
      <c r="D1017" s="139" t="str">
        <f>+'LISTA DE INSUMOS'!B46</f>
        <v>Tabla para formaleta de 1" x 10" x 2,9 m</v>
      </c>
      <c r="E1017" s="108" t="str">
        <f>+'LISTA DE INSUMOS'!C46</f>
        <v>M</v>
      </c>
      <c r="F1017" s="140">
        <v>1</v>
      </c>
      <c r="G1017" s="141">
        <f>'LISTA DE INSUMOS'!E46</f>
        <v>8112.0359999999991</v>
      </c>
      <c r="H1017" s="205">
        <f>1/3</f>
        <v>0.33333333333333331</v>
      </c>
      <c r="I1017" s="141">
        <f>ROUND((F1017*G1017*H1017),0)</f>
        <v>2704</v>
      </c>
      <c r="J1017" s="47"/>
      <c r="K1017" s="143"/>
    </row>
    <row r="1018" spans="2:11" ht="24.9" customHeight="1" x14ac:dyDescent="0.2">
      <c r="B1018" s="672"/>
      <c r="C1018" s="108" t="str">
        <f>+'LISTA DE INSUMOS'!A52</f>
        <v>MAT021</v>
      </c>
      <c r="D1018" s="139" t="str">
        <f>+'LISTA DE INSUMOS'!B52</f>
        <v>Puntilla (promedio)</v>
      </c>
      <c r="E1018" s="108" t="str">
        <f>+'LISTA DE INSUMOS'!C52</f>
        <v>Lb</v>
      </c>
      <c r="F1018" s="140">
        <v>0.1</v>
      </c>
      <c r="G1018" s="141">
        <f>'LISTA DE INSUMOS'!E52</f>
        <v>6690.6972299999998</v>
      </c>
      <c r="H1018" s="205">
        <v>0</v>
      </c>
      <c r="I1018" s="141">
        <f>ROUND((F1018*G1018),0)</f>
        <v>669</v>
      </c>
      <c r="J1018" s="47"/>
      <c r="K1018" s="143"/>
    </row>
    <row r="1019" spans="2:11" ht="24.9" customHeight="1" x14ac:dyDescent="0.2">
      <c r="B1019" s="672"/>
      <c r="C1019" s="108" t="str">
        <f>+'LISTA DE INSUMOS'!A93</f>
        <v>MAT051</v>
      </c>
      <c r="D1019" s="139" t="str">
        <f>+'LISTA DE INSUMOS'!B93</f>
        <v>Antisol blanco</v>
      </c>
      <c r="E1019" s="108" t="str">
        <f>+'LISTA DE INSUMOS'!C93</f>
        <v>Kg</v>
      </c>
      <c r="F1019" s="140">
        <v>0.1</v>
      </c>
      <c r="G1019" s="141">
        <f>+'LISTA DE INSUMOS'!E93</f>
        <v>11510.734499999999</v>
      </c>
      <c r="H1019" s="205">
        <v>1.03</v>
      </c>
      <c r="I1019" s="141">
        <f>ROUND((F1019*G1019*H1019),0)</f>
        <v>1186</v>
      </c>
      <c r="J1019" s="47"/>
      <c r="K1019" s="143"/>
    </row>
    <row r="1020" spans="2:11" ht="24.9" customHeight="1" thickBot="1" x14ac:dyDescent="0.25">
      <c r="B1020" s="673"/>
      <c r="C1020" s="108" t="str">
        <f>+'LISTA DE INSUMOS'!A132</f>
        <v>MAT091</v>
      </c>
      <c r="D1020" s="139" t="str">
        <f>+'LISTA DE INSUMOS'!B132</f>
        <v>Varillón de sajo</v>
      </c>
      <c r="E1020" s="108" t="str">
        <f>+'LISTA DE INSUMOS'!C132</f>
        <v>M</v>
      </c>
      <c r="F1020" s="140">
        <v>1.5</v>
      </c>
      <c r="G1020" s="141">
        <f>'LISTA DE INSUMOS'!E132</f>
        <v>2979.6450687603597</v>
      </c>
      <c r="H1020" s="205">
        <f>1/3</f>
        <v>0.33333333333333331</v>
      </c>
      <c r="I1020" s="141">
        <f>ROUND((F1020*G1020*H1020),0)</f>
        <v>1490</v>
      </c>
      <c r="J1020" s="47"/>
      <c r="K1020" s="143"/>
    </row>
    <row r="1021" spans="2:11" ht="24.9" customHeight="1" thickTop="1" x14ac:dyDescent="0.2">
      <c r="B1021" s="742" t="s">
        <v>1310</v>
      </c>
      <c r="C1021" s="108" t="str">
        <f>+B544</f>
        <v>ITE092</v>
      </c>
      <c r="D1021" s="139" t="str">
        <f>+D544</f>
        <v>Concreto de 20,7 Mpa (3000 psi) (producción)</v>
      </c>
      <c r="E1021" s="108" t="str">
        <f>+E544</f>
        <v>M3</v>
      </c>
      <c r="F1021" s="152">
        <v>1.4999999999999999E-2</v>
      </c>
      <c r="G1021" s="141">
        <f>G544</f>
        <v>596118</v>
      </c>
      <c r="H1021" s="205">
        <v>1.05</v>
      </c>
      <c r="I1021" s="141">
        <f>ROUND((F1021*G1021*H1021),0)</f>
        <v>9389</v>
      </c>
      <c r="J1021" s="47"/>
      <c r="K1021" s="143"/>
    </row>
    <row r="1022" spans="2:11" ht="24.9" customHeight="1" thickBot="1" x14ac:dyDescent="0.25">
      <c r="B1022" s="685"/>
      <c r="C1022" s="108" t="str">
        <f>+B587</f>
        <v>ITE98</v>
      </c>
      <c r="D1022" s="139" t="str">
        <f>+D587</f>
        <v>Acero Fy = 60.000 psi d&gt;1/4"</v>
      </c>
      <c r="E1022" s="108" t="str">
        <f>+E587</f>
        <v>Kg</v>
      </c>
      <c r="F1022" s="140">
        <f>2+0.6</f>
        <v>2.6</v>
      </c>
      <c r="G1022" s="141">
        <f>G587</f>
        <v>7240</v>
      </c>
      <c r="H1022" s="205">
        <v>0</v>
      </c>
      <c r="I1022" s="141">
        <f>ROUND((F1022*G1022),0)</f>
        <v>18824</v>
      </c>
      <c r="J1022" s="47"/>
      <c r="K1022" s="143"/>
    </row>
    <row r="1023" spans="2:11" ht="24.9" customHeight="1" thickTop="1" thickBot="1" x14ac:dyDescent="0.25">
      <c r="B1023" s="156" t="s">
        <v>1034</v>
      </c>
      <c r="C1023" s="108" t="str">
        <f>+'LISTA DE INSUMOS'!A20</f>
        <v>MOB017</v>
      </c>
      <c r="D1023" s="139" t="str">
        <f>+'LISTA DE INSUMOS'!B20</f>
        <v>Cuadrilla G 1 Of + 2 Ay (jornal + prestaciones)</v>
      </c>
      <c r="E1023" s="108" t="str">
        <f>+'LISTA DE INSUMOS'!C20</f>
        <v>Día</v>
      </c>
      <c r="F1023" s="140">
        <v>1</v>
      </c>
      <c r="G1023" s="141">
        <f>'LISTA DE INSUMOS'!E20</f>
        <v>327445</v>
      </c>
      <c r="H1023" s="205">
        <f>1/10</f>
        <v>0.1</v>
      </c>
      <c r="I1023" s="141">
        <f>ROUND((F1023*G1023*H1023),0)</f>
        <v>32745</v>
      </c>
      <c r="J1023" s="47"/>
      <c r="K1023" s="143"/>
    </row>
    <row r="1024" spans="2:11" ht="24.9" customHeight="1" thickTop="1" x14ac:dyDescent="0.2">
      <c r="B1024" s="674" t="s">
        <v>1033</v>
      </c>
      <c r="C1024" s="108" t="str">
        <f>+'LISTA DE INSUMOS'!A758</f>
        <v>EQU002</v>
      </c>
      <c r="D1024" s="139" t="str">
        <f>+'LISTA DE INSUMOS'!B758</f>
        <v>Herramienta menor (% mano obra)</v>
      </c>
      <c r="E1024" s="108" t="str">
        <f>+'LISTA DE INSUMOS'!C758</f>
        <v>%MO</v>
      </c>
      <c r="F1024" s="140">
        <v>0.1</v>
      </c>
      <c r="G1024" s="141">
        <f>I1023</f>
        <v>32745</v>
      </c>
      <c r="H1024" s="205">
        <v>0</v>
      </c>
      <c r="I1024" s="141">
        <f>ROUND((F1024*G1024),0)</f>
        <v>3275</v>
      </c>
      <c r="J1024" s="47"/>
      <c r="K1024" s="143"/>
    </row>
    <row r="1025" spans="2:11" ht="24.9" customHeight="1" thickBot="1" x14ac:dyDescent="0.25">
      <c r="B1025" s="709"/>
      <c r="C1025" s="145" t="str">
        <f>+'LISTA DE INSUMOS'!A762</f>
        <v>EQU006</v>
      </c>
      <c r="D1025" s="146" t="str">
        <f>+'LISTA DE INSUMOS'!B762</f>
        <v>Andamio (% mano obra)</v>
      </c>
      <c r="E1025" s="145" t="str">
        <f>+'LISTA DE INSUMOS'!C762</f>
        <v>%MO</v>
      </c>
      <c r="F1025" s="147">
        <v>0.1</v>
      </c>
      <c r="G1025" s="148">
        <f>I1023</f>
        <v>32745</v>
      </c>
      <c r="H1025" s="206">
        <v>0</v>
      </c>
      <c r="I1025" s="148">
        <f>ROUND((F1025*G1025),0)</f>
        <v>3275</v>
      </c>
      <c r="J1025" s="47"/>
      <c r="K1025" s="143"/>
    </row>
    <row r="1026" spans="2:11" ht="24.9" customHeight="1" x14ac:dyDescent="0.2">
      <c r="B1026" s="117" t="s">
        <v>1799</v>
      </c>
      <c r="C1026" s="117"/>
      <c r="D1026" s="112" t="s">
        <v>210</v>
      </c>
      <c r="E1026" s="117" t="s">
        <v>1412</v>
      </c>
      <c r="F1026" s="149"/>
      <c r="G1026" s="119">
        <f>ROUND(SUM(I1026:I1035),0)</f>
        <v>73521</v>
      </c>
      <c r="H1026" s="120"/>
      <c r="I1026" s="119"/>
      <c r="J1026" s="47"/>
      <c r="K1026" s="143"/>
    </row>
    <row r="1027" spans="2:11" ht="24.9" customHeight="1" x14ac:dyDescent="0.2">
      <c r="B1027" s="672" t="s">
        <v>1035</v>
      </c>
      <c r="C1027" s="108" t="str">
        <f>+'LISTA DE INSUMOS'!A46</f>
        <v>MAT017</v>
      </c>
      <c r="D1027" s="139" t="str">
        <f>+'LISTA DE INSUMOS'!B46</f>
        <v>Tabla para formaleta de 1" x 10" x 2,9 m</v>
      </c>
      <c r="E1027" s="108" t="str">
        <f>+'LISTA DE INSUMOS'!C46</f>
        <v>M</v>
      </c>
      <c r="F1027" s="140">
        <v>1.5</v>
      </c>
      <c r="G1027" s="141">
        <f>'LISTA DE INSUMOS'!E46</f>
        <v>8112.0359999999991</v>
      </c>
      <c r="H1027" s="205">
        <f>1/3</f>
        <v>0.33333333333333331</v>
      </c>
      <c r="I1027" s="141">
        <f>ROUND((F1027*G1027*H1027),0)</f>
        <v>4056</v>
      </c>
      <c r="J1027" s="47"/>
      <c r="K1027" s="143"/>
    </row>
    <row r="1028" spans="2:11" ht="24.9" customHeight="1" x14ac:dyDescent="0.2">
      <c r="B1028" s="672"/>
      <c r="C1028" s="108" t="str">
        <f>+'LISTA DE INSUMOS'!A52</f>
        <v>MAT021</v>
      </c>
      <c r="D1028" s="139" t="str">
        <f>+'LISTA DE INSUMOS'!B52</f>
        <v>Puntilla (promedio)</v>
      </c>
      <c r="E1028" s="108" t="str">
        <f>+'LISTA DE INSUMOS'!C52</f>
        <v>Lb</v>
      </c>
      <c r="F1028" s="140">
        <v>0.2</v>
      </c>
      <c r="G1028" s="141">
        <f>'LISTA DE INSUMOS'!E52</f>
        <v>6690.6972299999998</v>
      </c>
      <c r="H1028" s="205">
        <v>0</v>
      </c>
      <c r="I1028" s="141">
        <f>ROUND((F1028*G1028),0)</f>
        <v>1338</v>
      </c>
      <c r="J1028" s="47"/>
      <c r="K1028" s="143"/>
    </row>
    <row r="1029" spans="2:11" ht="24.9" customHeight="1" x14ac:dyDescent="0.2">
      <c r="B1029" s="672"/>
      <c r="C1029" s="108" t="str">
        <f>+'LISTA DE INSUMOS'!A93</f>
        <v>MAT051</v>
      </c>
      <c r="D1029" s="139" t="str">
        <f>+'LISTA DE INSUMOS'!B93</f>
        <v>Antisol blanco</v>
      </c>
      <c r="E1029" s="108" t="str">
        <f>+'LISTA DE INSUMOS'!C93</f>
        <v>Kg</v>
      </c>
      <c r="F1029" s="140">
        <v>0.1</v>
      </c>
      <c r="G1029" s="141">
        <f>+'LISTA DE INSUMOS'!E93</f>
        <v>11510.734499999999</v>
      </c>
      <c r="H1029" s="205">
        <v>1.03</v>
      </c>
      <c r="I1029" s="141">
        <f>ROUND((F1029*G1029*H1029),0)</f>
        <v>1186</v>
      </c>
      <c r="J1029" s="47"/>
      <c r="K1029" s="143"/>
    </row>
    <row r="1030" spans="2:11" ht="24.9" customHeight="1" thickBot="1" x14ac:dyDescent="0.25">
      <c r="B1030" s="673"/>
      <c r="C1030" s="108" t="str">
        <f>+'LISTA DE INSUMOS'!A132</f>
        <v>MAT091</v>
      </c>
      <c r="D1030" s="139" t="str">
        <f>+'LISTA DE INSUMOS'!B132</f>
        <v>Varillón de sajo</v>
      </c>
      <c r="E1030" s="108" t="str">
        <f>+'LISTA DE INSUMOS'!C132</f>
        <v>M</v>
      </c>
      <c r="F1030" s="140">
        <v>1</v>
      </c>
      <c r="G1030" s="141">
        <f>'LISTA DE INSUMOS'!E132</f>
        <v>2979.6450687603597</v>
      </c>
      <c r="H1030" s="205">
        <f>1/3</f>
        <v>0.33333333333333331</v>
      </c>
      <c r="I1030" s="141">
        <f>ROUND((F1030*G1030*H1030),0)</f>
        <v>993</v>
      </c>
      <c r="J1030" s="47"/>
      <c r="K1030" s="143"/>
    </row>
    <row r="1031" spans="2:11" ht="24.9" customHeight="1" thickTop="1" x14ac:dyDescent="0.2">
      <c r="B1031" s="742" t="s">
        <v>1310</v>
      </c>
      <c r="C1031" s="108" t="str">
        <f>+B544</f>
        <v>ITE092</v>
      </c>
      <c r="D1031" s="139" t="str">
        <f>+D544</f>
        <v>Concreto de 20,7 Mpa (3000 psi) (producción)</v>
      </c>
      <c r="E1031" s="108" t="str">
        <f>+E544</f>
        <v>M3</v>
      </c>
      <c r="F1031" s="152">
        <v>1.7999999999999999E-2</v>
      </c>
      <c r="G1031" s="141">
        <f>+'LISTA DE INSUMOS'!E63</f>
        <v>541142.1</v>
      </c>
      <c r="H1031" s="205">
        <v>1.05</v>
      </c>
      <c r="I1031" s="141">
        <f>ROUND((F1031*G1031*H1031),0)</f>
        <v>10228</v>
      </c>
      <c r="J1031" s="47"/>
      <c r="K1031" s="143"/>
    </row>
    <row r="1032" spans="2:11" ht="24.9" customHeight="1" thickBot="1" x14ac:dyDescent="0.25">
      <c r="B1032" s="685"/>
      <c r="C1032" s="108" t="str">
        <f>+B587</f>
        <v>ITE98</v>
      </c>
      <c r="D1032" s="139" t="str">
        <f>+D587</f>
        <v>Acero Fy = 60.000 psi d&gt;1/4"</v>
      </c>
      <c r="E1032" s="108" t="str">
        <f>+E587</f>
        <v>Kg</v>
      </c>
      <c r="F1032" s="140">
        <f>4+1.7</f>
        <v>5.7</v>
      </c>
      <c r="G1032" s="141">
        <f>+'LISTA DE INSUMOS'!E45</f>
        <v>4605.3128999999999</v>
      </c>
      <c r="H1032" s="205">
        <v>0</v>
      </c>
      <c r="I1032" s="141">
        <f>ROUND((F1032*G1032),0)</f>
        <v>26250</v>
      </c>
      <c r="J1032" s="47"/>
      <c r="K1032" s="143"/>
    </row>
    <row r="1033" spans="2:11" ht="24.9" customHeight="1" thickTop="1" thickBot="1" x14ac:dyDescent="0.25">
      <c r="B1033" s="156" t="s">
        <v>1034</v>
      </c>
      <c r="C1033" s="108" t="str">
        <f>+'LISTA DE INSUMOS'!A18</f>
        <v>MOB015</v>
      </c>
      <c r="D1033" s="139" t="str">
        <f>+'LISTA DE INSUMOS'!B18</f>
        <v>Cuadrilla E 1 Of + 1 Ay (jornal + prestaciones)</v>
      </c>
      <c r="E1033" s="108" t="str">
        <f>+'LISTA DE INSUMOS'!C18</f>
        <v>Día</v>
      </c>
      <c r="F1033" s="140">
        <v>1</v>
      </c>
      <c r="G1033" s="141">
        <f>'LISTA DE INSUMOS'!E18</f>
        <v>245584</v>
      </c>
      <c r="H1033" s="205">
        <f>1/10</f>
        <v>0.1</v>
      </c>
      <c r="I1033" s="141">
        <f>ROUND((F1033*G1033*H1033),0)</f>
        <v>24558</v>
      </c>
      <c r="J1033" s="47"/>
      <c r="K1033" s="143"/>
    </row>
    <row r="1034" spans="2:11" ht="24.9" customHeight="1" thickTop="1" x14ac:dyDescent="0.2">
      <c r="B1034" s="674" t="s">
        <v>1033</v>
      </c>
      <c r="C1034" s="108" t="str">
        <f>+'LISTA DE INSUMOS'!A758</f>
        <v>EQU002</v>
      </c>
      <c r="D1034" s="139" t="str">
        <f>+'LISTA DE INSUMOS'!B758</f>
        <v>Herramienta menor (% mano obra)</v>
      </c>
      <c r="E1034" s="108" t="str">
        <f>+'LISTA DE INSUMOS'!C758</f>
        <v>%MO</v>
      </c>
      <c r="F1034" s="140">
        <v>0.1</v>
      </c>
      <c r="G1034" s="141">
        <f>I1033</f>
        <v>24558</v>
      </c>
      <c r="H1034" s="205">
        <v>0</v>
      </c>
      <c r="I1034" s="141">
        <f>ROUND((F1034*G1034),0)</f>
        <v>2456</v>
      </c>
      <c r="J1034" s="47"/>
      <c r="K1034" s="143"/>
    </row>
    <row r="1035" spans="2:11" ht="24.9" customHeight="1" thickBot="1" x14ac:dyDescent="0.25">
      <c r="B1035" s="709"/>
      <c r="C1035" s="145" t="str">
        <f>+'LISTA DE INSUMOS'!A762</f>
        <v>EQU006</v>
      </c>
      <c r="D1035" s="146" t="str">
        <f>+'LISTA DE INSUMOS'!B762</f>
        <v>Andamio (% mano obra)</v>
      </c>
      <c r="E1035" s="145" t="str">
        <f>+'LISTA DE INSUMOS'!C762</f>
        <v>%MO</v>
      </c>
      <c r="F1035" s="147">
        <v>0.1</v>
      </c>
      <c r="G1035" s="148">
        <f>I1033</f>
        <v>24558</v>
      </c>
      <c r="H1035" s="206">
        <v>0</v>
      </c>
      <c r="I1035" s="148">
        <f>ROUND((F1035*G1035),0)</f>
        <v>2456</v>
      </c>
      <c r="J1035" s="47"/>
      <c r="K1035" s="143"/>
    </row>
    <row r="1036" spans="2:11" s="317" customFormat="1" ht="24.9" hidden="1" customHeight="1" x14ac:dyDescent="0.2">
      <c r="B1036" s="319" t="s">
        <v>1852</v>
      </c>
      <c r="C1036" s="319"/>
      <c r="D1036" s="320" t="s">
        <v>211</v>
      </c>
      <c r="E1036" s="319" t="s">
        <v>1412</v>
      </c>
      <c r="F1036" s="332"/>
      <c r="G1036" s="312">
        <f>ROUND(SUM(I1036:I1046),0)</f>
        <v>107879</v>
      </c>
      <c r="H1036" s="322"/>
      <c r="I1036" s="312"/>
      <c r="J1036" s="313"/>
      <c r="K1036" s="323"/>
    </row>
    <row r="1037" spans="2:11" s="317" customFormat="1" ht="24.9" hidden="1" customHeight="1" x14ac:dyDescent="0.2">
      <c r="B1037" s="691" t="s">
        <v>1035</v>
      </c>
      <c r="C1037" s="322" t="str">
        <f>+'LISTA DE INSUMOS'!A46</f>
        <v>MAT017</v>
      </c>
      <c r="D1037" s="324" t="str">
        <f>+'LISTA DE INSUMOS'!B46</f>
        <v>Tabla para formaleta de 1" x 10" x 2,9 m</v>
      </c>
      <c r="E1037" s="322" t="str">
        <f>+'LISTA DE INSUMOS'!C46</f>
        <v>M</v>
      </c>
      <c r="F1037" s="325">
        <v>1</v>
      </c>
      <c r="G1037" s="312">
        <f>'LISTA DE INSUMOS'!E46</f>
        <v>8112.0359999999991</v>
      </c>
      <c r="H1037" s="349">
        <f>1/3</f>
        <v>0.33333333333333331</v>
      </c>
      <c r="I1037" s="312">
        <f>ROUND((F1037*G1037*H1037),0)</f>
        <v>2704</v>
      </c>
      <c r="J1037" s="313"/>
      <c r="K1037" s="323"/>
    </row>
    <row r="1038" spans="2:11" s="317" customFormat="1" ht="24.9" hidden="1" customHeight="1" x14ac:dyDescent="0.2">
      <c r="B1038" s="691"/>
      <c r="C1038" s="322" t="str">
        <f>+'LISTA DE INSUMOS'!A52</f>
        <v>MAT021</v>
      </c>
      <c r="D1038" s="324" t="str">
        <f>+'LISTA DE INSUMOS'!B52</f>
        <v>Puntilla (promedio)</v>
      </c>
      <c r="E1038" s="322" t="str">
        <f>+'LISTA DE INSUMOS'!C52</f>
        <v>Lb</v>
      </c>
      <c r="F1038" s="325">
        <v>0.2</v>
      </c>
      <c r="G1038" s="312">
        <f>'LISTA DE INSUMOS'!E52</f>
        <v>6690.6972299999998</v>
      </c>
      <c r="H1038" s="349">
        <v>0</v>
      </c>
      <c r="I1038" s="312">
        <f>ROUND((F1038*G1038),0)</f>
        <v>1338</v>
      </c>
      <c r="J1038" s="313"/>
      <c r="K1038" s="323"/>
    </row>
    <row r="1039" spans="2:11" s="317" customFormat="1" ht="24.9" hidden="1" customHeight="1" x14ac:dyDescent="0.2">
      <c r="B1039" s="691"/>
      <c r="C1039" s="322" t="str">
        <f>+'LISTA DE INSUMOS'!A67</f>
        <v>MAT034</v>
      </c>
      <c r="D1039" s="324" t="str">
        <f>+'LISTA DE INSUMOS'!B67</f>
        <v>ACPM</v>
      </c>
      <c r="E1039" s="322" t="str">
        <f>+'LISTA DE INSUMOS'!C67</f>
        <v>Gl</v>
      </c>
      <c r="F1039" s="325">
        <v>0.05</v>
      </c>
      <c r="G1039" s="312">
        <f>'LISTA DE INSUMOS'!E67</f>
        <v>9681.4499999999989</v>
      </c>
      <c r="H1039" s="349">
        <v>0</v>
      </c>
      <c r="I1039" s="312">
        <f>ROUND((F1039*G1039),0)</f>
        <v>484</v>
      </c>
      <c r="J1039" s="313"/>
      <c r="K1039" s="323"/>
    </row>
    <row r="1040" spans="2:11" s="317" customFormat="1" ht="24.9" hidden="1" customHeight="1" x14ac:dyDescent="0.2">
      <c r="B1040" s="691"/>
      <c r="C1040" s="322" t="str">
        <f>+'LISTA DE INSUMOS'!A93</f>
        <v>MAT051</v>
      </c>
      <c r="D1040" s="324" t="str">
        <f>+'LISTA DE INSUMOS'!B93</f>
        <v>Antisol blanco</v>
      </c>
      <c r="E1040" s="322" t="str">
        <f>+'LISTA DE INSUMOS'!C93</f>
        <v>Kg</v>
      </c>
      <c r="F1040" s="325">
        <v>0.1</v>
      </c>
      <c r="G1040" s="312">
        <f>+'LISTA DE INSUMOS'!E93</f>
        <v>11510.734499999999</v>
      </c>
      <c r="H1040" s="349">
        <v>1.03</v>
      </c>
      <c r="I1040" s="312">
        <f>ROUND((F1040*G1040*H1040),0)</f>
        <v>1186</v>
      </c>
      <c r="J1040" s="313"/>
      <c r="K1040" s="323"/>
    </row>
    <row r="1041" spans="2:11" s="317" customFormat="1" ht="24.9" hidden="1" customHeight="1" thickBot="1" x14ac:dyDescent="0.25">
      <c r="B1041" s="692"/>
      <c r="C1041" s="322" t="str">
        <f>+'LISTA DE INSUMOS'!A132</f>
        <v>MAT091</v>
      </c>
      <c r="D1041" s="324" t="str">
        <f>+'LISTA DE INSUMOS'!B132</f>
        <v>Varillón de sajo</v>
      </c>
      <c r="E1041" s="322" t="str">
        <f>+'LISTA DE INSUMOS'!C132</f>
        <v>M</v>
      </c>
      <c r="F1041" s="325">
        <v>1</v>
      </c>
      <c r="G1041" s="312">
        <f>'LISTA DE INSUMOS'!E132</f>
        <v>2979.6450687603597</v>
      </c>
      <c r="H1041" s="349">
        <f>1/3</f>
        <v>0.33333333333333331</v>
      </c>
      <c r="I1041" s="312">
        <f>ROUND((F1041*G1041*H1041),0)</f>
        <v>993</v>
      </c>
      <c r="J1041" s="313"/>
      <c r="K1041" s="323"/>
    </row>
    <row r="1042" spans="2:11" s="317" customFormat="1" ht="24.9" hidden="1" customHeight="1" thickTop="1" x14ac:dyDescent="0.2">
      <c r="B1042" s="743" t="s">
        <v>1310</v>
      </c>
      <c r="C1042" s="322" t="str">
        <f>+B544</f>
        <v>ITE092</v>
      </c>
      <c r="D1042" s="324" t="str">
        <f>+D544</f>
        <v>Concreto de 20,7 Mpa (3000 psi) (producción)</v>
      </c>
      <c r="E1042" s="322" t="str">
        <f>+E544</f>
        <v>M3</v>
      </c>
      <c r="F1042" s="325">
        <v>0.02</v>
      </c>
      <c r="G1042" s="312">
        <f>G544</f>
        <v>596118</v>
      </c>
      <c r="H1042" s="349">
        <v>1.05</v>
      </c>
      <c r="I1042" s="312">
        <f>ROUND((F1042*G1042*H1042),0)</f>
        <v>12518</v>
      </c>
      <c r="J1042" s="313"/>
      <c r="K1042" s="323"/>
    </row>
    <row r="1043" spans="2:11" s="317" customFormat="1" ht="24.9" hidden="1" customHeight="1" thickBot="1" x14ac:dyDescent="0.25">
      <c r="B1043" s="714"/>
      <c r="C1043" s="322" t="str">
        <f>+B587</f>
        <v>ITE98</v>
      </c>
      <c r="D1043" s="324" t="str">
        <f>+D587</f>
        <v>Acero Fy = 60.000 psi d&gt;1/4"</v>
      </c>
      <c r="E1043" s="322" t="str">
        <f>+E587</f>
        <v>Kg</v>
      </c>
      <c r="F1043" s="325">
        <f>2+1.2</f>
        <v>3.2</v>
      </c>
      <c r="G1043" s="312">
        <f>G587</f>
        <v>7240</v>
      </c>
      <c r="H1043" s="349">
        <v>0</v>
      </c>
      <c r="I1043" s="312">
        <f>ROUND((F1043*G1043),0)</f>
        <v>23168</v>
      </c>
      <c r="J1043" s="313"/>
      <c r="K1043" s="323"/>
    </row>
    <row r="1044" spans="2:11" s="317" customFormat="1" ht="24.9" hidden="1" customHeight="1" thickTop="1" thickBot="1" x14ac:dyDescent="0.25">
      <c r="B1044" s="348" t="s">
        <v>1034</v>
      </c>
      <c r="C1044" s="322" t="str">
        <f>+'LISTA DE INSUMOS'!A20</f>
        <v>MOB017</v>
      </c>
      <c r="D1044" s="324" t="str">
        <f>+'LISTA DE INSUMOS'!B20</f>
        <v>Cuadrilla G 1 Of + 2 Ay (jornal + prestaciones)</v>
      </c>
      <c r="E1044" s="322" t="str">
        <f>+'LISTA DE INSUMOS'!C20</f>
        <v>Día</v>
      </c>
      <c r="F1044" s="325">
        <v>1</v>
      </c>
      <c r="G1044" s="312">
        <f>'LISTA DE INSUMOS'!E20</f>
        <v>327445</v>
      </c>
      <c r="H1044" s="349">
        <f>1/6</f>
        <v>0.16666666666666666</v>
      </c>
      <c r="I1044" s="312">
        <f>ROUND((F1044*G1044*H1044),0)</f>
        <v>54574</v>
      </c>
      <c r="J1044" s="313"/>
      <c r="K1044" s="323"/>
    </row>
    <row r="1045" spans="2:11" s="317" customFormat="1" ht="24.9" hidden="1" customHeight="1" thickTop="1" x14ac:dyDescent="0.2">
      <c r="B1045" s="693" t="s">
        <v>1033</v>
      </c>
      <c r="C1045" s="322" t="str">
        <f>+'LISTA DE INSUMOS'!A758</f>
        <v>EQU002</v>
      </c>
      <c r="D1045" s="324" t="str">
        <f>+'LISTA DE INSUMOS'!B758</f>
        <v>Herramienta menor (% mano obra)</v>
      </c>
      <c r="E1045" s="322" t="str">
        <f>+'LISTA DE INSUMOS'!C758</f>
        <v>%MO</v>
      </c>
      <c r="F1045" s="332">
        <v>0.1</v>
      </c>
      <c r="G1045" s="312">
        <f>I1044</f>
        <v>54574</v>
      </c>
      <c r="H1045" s="349">
        <v>0</v>
      </c>
      <c r="I1045" s="312">
        <f>ROUND((F1045*G1045),0)</f>
        <v>5457</v>
      </c>
      <c r="J1045" s="313"/>
      <c r="K1045" s="323"/>
    </row>
    <row r="1046" spans="2:11" s="317" customFormat="1" ht="24.9" hidden="1" customHeight="1" thickBot="1" x14ac:dyDescent="0.25">
      <c r="B1046" s="694"/>
      <c r="C1046" s="329" t="str">
        <f>+'LISTA DE INSUMOS'!A762</f>
        <v>EQU006</v>
      </c>
      <c r="D1046" s="328" t="str">
        <f>+'LISTA DE INSUMOS'!B762</f>
        <v>Andamio (% mano obra)</v>
      </c>
      <c r="E1046" s="329" t="str">
        <f>+'LISTA DE INSUMOS'!C762</f>
        <v>%MO</v>
      </c>
      <c r="F1046" s="330">
        <v>0.1</v>
      </c>
      <c r="G1046" s="331">
        <f>'ANALISIS UNITARIOS'!I1044</f>
        <v>54574</v>
      </c>
      <c r="H1046" s="350">
        <v>0</v>
      </c>
      <c r="I1046" s="331">
        <f>ROUND((F1046*G1046),0)</f>
        <v>5457</v>
      </c>
      <c r="J1046" s="313"/>
      <c r="K1046" s="323"/>
    </row>
    <row r="1047" spans="2:11" s="317" customFormat="1" ht="24.9" hidden="1" customHeight="1" x14ac:dyDescent="0.2">
      <c r="B1047" s="319" t="s">
        <v>1853</v>
      </c>
      <c r="C1047" s="319"/>
      <c r="D1047" s="320" t="s">
        <v>212</v>
      </c>
      <c r="E1047" s="319" t="s">
        <v>1412</v>
      </c>
      <c r="F1047" s="332"/>
      <c r="G1047" s="312">
        <f>ROUND(SUM(I1047:I1056),0)</f>
        <v>99293</v>
      </c>
      <c r="H1047" s="322"/>
      <c r="I1047" s="312"/>
      <c r="J1047" s="313"/>
      <c r="K1047" s="323"/>
    </row>
    <row r="1048" spans="2:11" s="317" customFormat="1" ht="24.9" hidden="1" customHeight="1" x14ac:dyDescent="0.2">
      <c r="B1048" s="691" t="s">
        <v>1035</v>
      </c>
      <c r="C1048" s="322" t="str">
        <f>+'LISTA DE INSUMOS'!A46</f>
        <v>MAT017</v>
      </c>
      <c r="D1048" s="324" t="str">
        <f>+'LISTA DE INSUMOS'!B46</f>
        <v>Tabla para formaleta de 1" x 10" x 2,9 m</v>
      </c>
      <c r="E1048" s="322" t="str">
        <f>+'LISTA DE INSUMOS'!C46</f>
        <v>M</v>
      </c>
      <c r="F1048" s="325">
        <v>1</v>
      </c>
      <c r="G1048" s="312">
        <f>'LISTA DE INSUMOS'!E46</f>
        <v>8112.0359999999991</v>
      </c>
      <c r="H1048" s="349">
        <f>1/3</f>
        <v>0.33333333333333331</v>
      </c>
      <c r="I1048" s="312">
        <f>ROUND((F1048*G1048*H1048),0)</f>
        <v>2704</v>
      </c>
      <c r="J1048" s="313"/>
      <c r="K1048" s="323"/>
    </row>
    <row r="1049" spans="2:11" s="317" customFormat="1" ht="24.9" hidden="1" customHeight="1" x14ac:dyDescent="0.2">
      <c r="B1049" s="691"/>
      <c r="C1049" s="322" t="str">
        <f>+'LISTA DE INSUMOS'!A52</f>
        <v>MAT021</v>
      </c>
      <c r="D1049" s="324" t="str">
        <f>+'LISTA DE INSUMOS'!B52</f>
        <v>Puntilla (promedio)</v>
      </c>
      <c r="E1049" s="322" t="str">
        <f>+'LISTA DE INSUMOS'!C52</f>
        <v>Lb</v>
      </c>
      <c r="F1049" s="325">
        <v>0.2</v>
      </c>
      <c r="G1049" s="312">
        <f>'LISTA DE INSUMOS'!E52</f>
        <v>6690.6972299999998</v>
      </c>
      <c r="H1049" s="349">
        <v>0</v>
      </c>
      <c r="I1049" s="312">
        <f>ROUND((F1049*G1049),0)</f>
        <v>1338</v>
      </c>
      <c r="J1049" s="313"/>
      <c r="K1049" s="323"/>
    </row>
    <row r="1050" spans="2:11" s="317" customFormat="1" ht="24.9" hidden="1" customHeight="1" x14ac:dyDescent="0.2">
      <c r="B1050" s="691"/>
      <c r="C1050" s="322" t="str">
        <f>+'LISTA DE INSUMOS'!A67</f>
        <v>MAT034</v>
      </c>
      <c r="D1050" s="324" t="str">
        <f>+'LISTA DE INSUMOS'!B67</f>
        <v>ACPM</v>
      </c>
      <c r="E1050" s="322" t="str">
        <f>+'LISTA DE INSUMOS'!C67</f>
        <v>Gl</v>
      </c>
      <c r="F1050" s="325">
        <v>0.05</v>
      </c>
      <c r="G1050" s="312">
        <f>'LISTA DE INSUMOS'!E67</f>
        <v>9681.4499999999989</v>
      </c>
      <c r="H1050" s="349">
        <v>0</v>
      </c>
      <c r="I1050" s="312">
        <f>ROUND((F1050*G1050),0)</f>
        <v>484</v>
      </c>
      <c r="J1050" s="313"/>
      <c r="K1050" s="323"/>
    </row>
    <row r="1051" spans="2:11" s="317" customFormat="1" ht="24.9" hidden="1" customHeight="1" x14ac:dyDescent="0.2">
      <c r="B1051" s="691"/>
      <c r="C1051" s="322" t="str">
        <f>+'LISTA DE INSUMOS'!A93</f>
        <v>MAT051</v>
      </c>
      <c r="D1051" s="324" t="str">
        <f>+'LISTA DE INSUMOS'!B93</f>
        <v>Antisol blanco</v>
      </c>
      <c r="E1051" s="322" t="str">
        <f>+'LISTA DE INSUMOS'!C93</f>
        <v>Kg</v>
      </c>
      <c r="F1051" s="325">
        <v>0.1</v>
      </c>
      <c r="G1051" s="312">
        <f>+'LISTA DE INSUMOS'!E93</f>
        <v>11510.734499999999</v>
      </c>
      <c r="H1051" s="349">
        <v>1.03</v>
      </c>
      <c r="I1051" s="312">
        <f>ROUND((F1051*G1051*H1051),0)</f>
        <v>1186</v>
      </c>
      <c r="J1051" s="313"/>
      <c r="K1051" s="323"/>
    </row>
    <row r="1052" spans="2:11" s="317" customFormat="1" ht="24.9" hidden="1" customHeight="1" thickBot="1" x14ac:dyDescent="0.25">
      <c r="B1052" s="692"/>
      <c r="C1052" s="322" t="str">
        <f>+'LISTA DE INSUMOS'!A132</f>
        <v>MAT091</v>
      </c>
      <c r="D1052" s="324" t="str">
        <f>+'LISTA DE INSUMOS'!B132</f>
        <v>Varillón de sajo</v>
      </c>
      <c r="E1052" s="322" t="str">
        <f>+'LISTA DE INSUMOS'!C132</f>
        <v>M</v>
      </c>
      <c r="F1052" s="325">
        <v>1</v>
      </c>
      <c r="G1052" s="312">
        <f>+'LISTA DE INSUMOS'!E132</f>
        <v>2979.6450687603597</v>
      </c>
      <c r="H1052" s="349">
        <f>1/3</f>
        <v>0.33333333333333331</v>
      </c>
      <c r="I1052" s="312">
        <f>ROUND((F1052*G1052*H1052),0)</f>
        <v>993</v>
      </c>
      <c r="J1052" s="313"/>
      <c r="K1052" s="323"/>
    </row>
    <row r="1053" spans="2:11" s="317" customFormat="1" ht="24.9" hidden="1" customHeight="1" thickTop="1" x14ac:dyDescent="0.2">
      <c r="B1053" s="743" t="s">
        <v>1310</v>
      </c>
      <c r="C1053" s="322" t="str">
        <f>+B544</f>
        <v>ITE092</v>
      </c>
      <c r="D1053" s="324" t="str">
        <f>+D544</f>
        <v>Concreto de 20,7 Mpa (3000 psi) (producción)</v>
      </c>
      <c r="E1053" s="322" t="str">
        <f>+E544</f>
        <v>M3</v>
      </c>
      <c r="F1053" s="351">
        <v>1.4999999999999999E-2</v>
      </c>
      <c r="G1053" s="312">
        <f>G544</f>
        <v>596118</v>
      </c>
      <c r="H1053" s="349">
        <v>1.05</v>
      </c>
      <c r="I1053" s="312">
        <f>ROUND((F1053*G1053*H1053),0)</f>
        <v>9389</v>
      </c>
      <c r="J1053" s="313"/>
      <c r="K1053" s="323"/>
    </row>
    <row r="1054" spans="2:11" s="317" customFormat="1" ht="24.9" hidden="1" customHeight="1" thickBot="1" x14ac:dyDescent="0.25">
      <c r="B1054" s="714"/>
      <c r="C1054" s="322" t="str">
        <f>+B587</f>
        <v>ITE98</v>
      </c>
      <c r="D1054" s="324" t="str">
        <f>+D587</f>
        <v>Acero Fy = 60.000 psi d&gt;1/4"</v>
      </c>
      <c r="E1054" s="322" t="str">
        <f>+E587</f>
        <v>Kg</v>
      </c>
      <c r="F1054" s="325">
        <f>2+1.2</f>
        <v>3.2</v>
      </c>
      <c r="G1054" s="312">
        <f>G587</f>
        <v>7240</v>
      </c>
      <c r="H1054" s="349">
        <v>0</v>
      </c>
      <c r="I1054" s="312">
        <f>ROUND((F1054*G1054),0)</f>
        <v>23168</v>
      </c>
      <c r="J1054" s="313"/>
      <c r="K1054" s="323"/>
    </row>
    <row r="1055" spans="2:11" s="317" customFormat="1" ht="24.9" hidden="1" customHeight="1" thickTop="1" thickBot="1" x14ac:dyDescent="0.25">
      <c r="B1055" s="348" t="s">
        <v>1034</v>
      </c>
      <c r="C1055" s="322" t="str">
        <f>+'LISTA DE INSUMOS'!A20</f>
        <v>MOB017</v>
      </c>
      <c r="D1055" s="324" t="str">
        <f>+'LISTA DE INSUMOS'!B20</f>
        <v>Cuadrilla G 1 Of + 2 Ay (jornal + prestaciones)</v>
      </c>
      <c r="E1055" s="322" t="str">
        <f>+'LISTA DE INSUMOS'!C20</f>
        <v>Día</v>
      </c>
      <c r="F1055" s="325">
        <v>1</v>
      </c>
      <c r="G1055" s="312">
        <f>'LISTA DE INSUMOS'!E20</f>
        <v>327445</v>
      </c>
      <c r="H1055" s="349">
        <f>1/6</f>
        <v>0.16666666666666666</v>
      </c>
      <c r="I1055" s="312">
        <f>ROUND((F1055*G1055*H1055),0)</f>
        <v>54574</v>
      </c>
      <c r="J1055" s="313"/>
      <c r="K1055" s="323"/>
    </row>
    <row r="1056" spans="2:11" s="317" customFormat="1" ht="24.9" hidden="1" customHeight="1" thickTop="1" thickBot="1" x14ac:dyDescent="0.25">
      <c r="B1056" s="255" t="s">
        <v>1033</v>
      </c>
      <c r="C1056" s="327" t="str">
        <f>+'LISTA DE INSUMOS'!A758</f>
        <v>EQU002</v>
      </c>
      <c r="D1056" s="328" t="str">
        <f>+'LISTA DE INSUMOS'!B758</f>
        <v>Herramienta menor (% mano obra)</v>
      </c>
      <c r="E1056" s="329" t="str">
        <f>+'LISTA DE INSUMOS'!C758</f>
        <v>%MO</v>
      </c>
      <c r="F1056" s="330">
        <v>0.1</v>
      </c>
      <c r="G1056" s="331">
        <f>I1055</f>
        <v>54574</v>
      </c>
      <c r="H1056" s="350">
        <v>0</v>
      </c>
      <c r="I1056" s="331">
        <f>ROUND((F1056*G1056),0)</f>
        <v>5457</v>
      </c>
      <c r="J1056" s="313"/>
      <c r="K1056" s="323"/>
    </row>
    <row r="1057" spans="2:35" ht="24.9" customHeight="1" x14ac:dyDescent="0.2">
      <c r="B1057" s="117" t="s">
        <v>1936</v>
      </c>
      <c r="C1057" s="117"/>
      <c r="D1057" s="112" t="s">
        <v>464</v>
      </c>
      <c r="E1057" s="117" t="s">
        <v>1432</v>
      </c>
      <c r="F1057" s="149"/>
      <c r="G1057" s="119">
        <f>ROUND(SUM(I1057:I1065),0)</f>
        <v>579507</v>
      </c>
      <c r="H1057" s="120"/>
      <c r="I1057" s="119"/>
      <c r="J1057" s="47"/>
      <c r="K1057" s="143"/>
      <c r="O1057" s="104">
        <v>360000</v>
      </c>
      <c r="AA1057" s="104">
        <v>416300</v>
      </c>
      <c r="AI1057" s="104">
        <v>454842</v>
      </c>
    </row>
    <row r="1058" spans="2:35" ht="36.75" customHeight="1" x14ac:dyDescent="0.2">
      <c r="B1058" s="706" t="s">
        <v>1035</v>
      </c>
      <c r="C1058" s="125" t="str">
        <f>+'LISTA DE INSUMOS'!A30</f>
        <v>MAT001</v>
      </c>
      <c r="D1058" s="225" t="str">
        <f>+'LISTA DE INSUMOS'!B30</f>
        <v>Cemento gris saco por 50 kilos, incluye cargue, descargue y transporte</v>
      </c>
      <c r="E1058" s="108" t="str">
        <f>+'LISTA DE INSUMOS'!C30</f>
        <v>Sc</v>
      </c>
      <c r="F1058" s="140">
        <v>7.5</v>
      </c>
      <c r="G1058" s="141">
        <f>+'LISTA DE INSUMOS'!E30</f>
        <v>34500</v>
      </c>
      <c r="H1058" s="108">
        <v>1.03</v>
      </c>
      <c r="I1058" s="141">
        <f t="shared" ref="I1058:I1063" si="17">ROUND((F1058*G1058*H1058),0)</f>
        <v>266513</v>
      </c>
      <c r="J1058" s="47"/>
      <c r="K1058" s="143"/>
    </row>
    <row r="1059" spans="2:35" ht="24.9" customHeight="1" x14ac:dyDescent="0.2">
      <c r="B1059" s="706"/>
      <c r="C1059" s="108" t="str">
        <f>+'LISTA DE INSUMOS'!A32</f>
        <v>MAT003</v>
      </c>
      <c r="D1059" s="139" t="str">
        <f>+'LISTA DE INSUMOS'!B32</f>
        <v>Arena</v>
      </c>
      <c r="E1059" s="108" t="str">
        <f>+'LISTA DE INSUMOS'!C32</f>
        <v>M3</v>
      </c>
      <c r="F1059" s="140">
        <v>0.6</v>
      </c>
      <c r="G1059" s="141">
        <f>+'LISTA DE INSUMOS'!E32</f>
        <v>112536.56002875</v>
      </c>
      <c r="H1059" s="108">
        <v>1.03</v>
      </c>
      <c r="I1059" s="141">
        <f t="shared" si="17"/>
        <v>69548</v>
      </c>
      <c r="J1059" s="47"/>
      <c r="K1059" s="143"/>
    </row>
    <row r="1060" spans="2:35" ht="24.9" customHeight="1" x14ac:dyDescent="0.2">
      <c r="B1060" s="706"/>
      <c r="C1060" s="108" t="str">
        <f>+'LISTA DE INSUMOS'!A33</f>
        <v>MAT004</v>
      </c>
      <c r="D1060" s="139" t="str">
        <f>+'LISTA DE INSUMOS'!B33</f>
        <v>Gravilla de río y/o triturado</v>
      </c>
      <c r="E1060" s="108" t="str">
        <f>+'LISTA DE INSUMOS'!C33</f>
        <v>M3</v>
      </c>
      <c r="F1060" s="140">
        <v>0.8</v>
      </c>
      <c r="G1060" s="141">
        <f>+'LISTA DE INSUMOS'!E33</f>
        <v>112536.56002875</v>
      </c>
      <c r="H1060" s="108">
        <v>1.03</v>
      </c>
      <c r="I1060" s="141">
        <f t="shared" si="17"/>
        <v>92730</v>
      </c>
      <c r="J1060" s="47"/>
      <c r="K1060" s="143"/>
    </row>
    <row r="1061" spans="2:35" ht="24.9" customHeight="1" thickBot="1" x14ac:dyDescent="0.25">
      <c r="B1061" s="708"/>
      <c r="C1061" s="108" t="str">
        <f>+'LISTA DE INSUMOS'!A42</f>
        <v>MAT013</v>
      </c>
      <c r="D1061" s="139" t="str">
        <f>+'LISTA DE INSUMOS'!B42</f>
        <v xml:space="preserve">Agua </v>
      </c>
      <c r="E1061" s="108" t="str">
        <f>+'LISTA DE INSUMOS'!C42</f>
        <v>Lt</v>
      </c>
      <c r="F1061" s="140">
        <v>190</v>
      </c>
      <c r="G1061" s="141">
        <f>+'LISTA DE INSUMOS'!E42</f>
        <v>96.828790046226644</v>
      </c>
      <c r="H1061" s="108">
        <v>1.03</v>
      </c>
      <c r="I1061" s="141">
        <f t="shared" si="17"/>
        <v>18949</v>
      </c>
      <c r="J1061" s="47"/>
      <c r="K1061" s="143"/>
    </row>
    <row r="1062" spans="2:35" ht="24.9" customHeight="1" thickTop="1" thickBot="1" x14ac:dyDescent="0.25">
      <c r="B1062" s="117" t="s">
        <v>1407</v>
      </c>
      <c r="C1062" s="108" t="s">
        <v>1450</v>
      </c>
      <c r="D1062" s="139" t="str">
        <f>D336</f>
        <v xml:space="preserve">Transporte material &lt; 40 Km </v>
      </c>
      <c r="E1062" s="108" t="s">
        <v>2650</v>
      </c>
      <c r="F1062" s="140">
        <f>SUM(F1060,F1059)*20</f>
        <v>28</v>
      </c>
      <c r="G1062" s="141">
        <f>G336</f>
        <v>1634</v>
      </c>
      <c r="H1062" s="108">
        <v>1</v>
      </c>
      <c r="I1062" s="141">
        <f t="shared" si="17"/>
        <v>45752</v>
      </c>
      <c r="J1062" s="47"/>
      <c r="K1062" s="143"/>
    </row>
    <row r="1063" spans="2:35" ht="24.9" customHeight="1" thickTop="1" thickBot="1" x14ac:dyDescent="0.25">
      <c r="B1063" s="156" t="s">
        <v>1034</v>
      </c>
      <c r="C1063" s="108" t="str">
        <f>+'LISTA DE INSUMOS'!A16</f>
        <v>MOB013</v>
      </c>
      <c r="D1063" s="139" t="str">
        <f>+'LISTA DE INSUMOS'!B16</f>
        <v>Cuadrilla C 1 Of + 7 Ay (jornal + prestaciones)</v>
      </c>
      <c r="E1063" s="108" t="str">
        <f>+'LISTA DE INSUMOS'!C16</f>
        <v>Día</v>
      </c>
      <c r="F1063" s="140">
        <v>1</v>
      </c>
      <c r="G1063" s="141">
        <f>+'LISTA DE INSUMOS'!E16</f>
        <v>736750</v>
      </c>
      <c r="H1063" s="108">
        <f>1/10</f>
        <v>0.1</v>
      </c>
      <c r="I1063" s="141">
        <f t="shared" si="17"/>
        <v>73675</v>
      </c>
      <c r="J1063" s="47"/>
      <c r="K1063" s="143"/>
    </row>
    <row r="1064" spans="2:35" ht="24.9" customHeight="1" thickTop="1" x14ac:dyDescent="0.2">
      <c r="B1064" s="674" t="s">
        <v>1033</v>
      </c>
      <c r="C1064" s="108" t="str">
        <f>+'LISTA DE INSUMOS'!A758</f>
        <v>EQU002</v>
      </c>
      <c r="D1064" s="139" t="str">
        <f>+'LISTA DE INSUMOS'!B758</f>
        <v>Herramienta menor (% mano obra)</v>
      </c>
      <c r="E1064" s="108" t="str">
        <f>+'LISTA DE INSUMOS'!C758</f>
        <v>%MO</v>
      </c>
      <c r="F1064" s="160">
        <v>0.1</v>
      </c>
      <c r="G1064" s="141">
        <f>I1063</f>
        <v>73675</v>
      </c>
      <c r="H1064" s="108">
        <v>0</v>
      </c>
      <c r="I1064" s="141">
        <f>ROUND((F1064*G1064),0)</f>
        <v>7368</v>
      </c>
      <c r="J1064" s="47"/>
      <c r="K1064" s="143"/>
    </row>
    <row r="1065" spans="2:35" ht="24.9" customHeight="1" thickBot="1" x14ac:dyDescent="0.25">
      <c r="B1065" s="709"/>
      <c r="C1065" s="145" t="str">
        <f>+'LISTA DE INSUMOS'!A759</f>
        <v>EQU003</v>
      </c>
      <c r="D1065" s="146" t="str">
        <f>+'LISTA DE INSUMOS'!B759</f>
        <v>Concretadora gasolina 1 o 1 1/2 sacos</v>
      </c>
      <c r="E1065" s="145" t="str">
        <f>+'LISTA DE INSUMOS'!C759</f>
        <v>Día</v>
      </c>
      <c r="F1065" s="147">
        <v>1</v>
      </c>
      <c r="G1065" s="148">
        <f>+'LISTA DE INSUMOS'!E759</f>
        <v>49716.008472358793</v>
      </c>
      <c r="H1065" s="145">
        <f>1/10</f>
        <v>0.1</v>
      </c>
      <c r="I1065" s="148">
        <f>ROUND((F1065*G1065*H1065),0)</f>
        <v>4972</v>
      </c>
      <c r="J1065" s="47"/>
      <c r="K1065" s="143"/>
    </row>
    <row r="1066" spans="2:35" ht="24.9" customHeight="1" x14ac:dyDescent="0.2">
      <c r="B1066" s="117" t="s">
        <v>1438</v>
      </c>
      <c r="C1066" s="117"/>
      <c r="D1066" s="112" t="s">
        <v>213</v>
      </c>
      <c r="E1066" s="117" t="s">
        <v>1435</v>
      </c>
      <c r="F1066" s="149"/>
      <c r="G1066" s="119">
        <f>ROUND(SUM(I1066:I1076),0)</f>
        <v>321334</v>
      </c>
      <c r="H1066" s="120"/>
      <c r="I1066" s="119"/>
      <c r="J1066" s="47"/>
      <c r="K1066" s="143"/>
    </row>
    <row r="1067" spans="2:35" ht="24.9" customHeight="1" x14ac:dyDescent="0.2">
      <c r="B1067" s="672" t="s">
        <v>1035</v>
      </c>
      <c r="C1067" s="108" t="str">
        <f>+'LISTA DE INSUMOS'!A181</f>
        <v>MAT134</v>
      </c>
      <c r="D1067" s="139" t="str">
        <f>+'LISTA DE INSUMOS'!B181</f>
        <v>Ángulo de 1" x 1/8"</v>
      </c>
      <c r="E1067" s="108" t="str">
        <f>+'LISTA DE INSUMOS'!C181</f>
        <v>M</v>
      </c>
      <c r="F1067" s="140">
        <f>0.45*4*2</f>
        <v>3.6</v>
      </c>
      <c r="G1067" s="141">
        <f>+'LISTA DE INSUMOS'!E181</f>
        <v>8460.7605347429999</v>
      </c>
      <c r="H1067" s="108">
        <v>0</v>
      </c>
      <c r="I1067" s="141">
        <f>ROUND((F1067*G1067),0)</f>
        <v>30459</v>
      </c>
      <c r="J1067" s="47"/>
      <c r="K1067" s="143"/>
    </row>
    <row r="1068" spans="2:35" ht="24.9" customHeight="1" x14ac:dyDescent="0.2">
      <c r="B1068" s="672"/>
      <c r="C1068" s="108" t="str">
        <f>+'LISTA DE INSUMOS'!A50</f>
        <v>MAT019</v>
      </c>
      <c r="D1068" s="139" t="str">
        <f>+'LISTA DE INSUMOS'!B50</f>
        <v>Listón sajo de 5 x 3 cm x 2,5 m (varilla)</v>
      </c>
      <c r="E1068" s="108" t="str">
        <f>+'LISTA DE INSUMOS'!C50</f>
        <v>M</v>
      </c>
      <c r="F1068" s="140">
        <v>3</v>
      </c>
      <c r="G1068" s="141">
        <f>'LISTA DE INSUMOS'!E50</f>
        <v>7285.5458999999992</v>
      </c>
      <c r="H1068" s="108">
        <f>1/3</f>
        <v>0.33333333333333331</v>
      </c>
      <c r="I1068" s="141">
        <f>ROUND((F1068*G1068*H1068),0)</f>
        <v>7286</v>
      </c>
      <c r="J1068" s="47"/>
      <c r="K1068" s="143"/>
    </row>
    <row r="1069" spans="2:35" ht="24.9" customHeight="1" x14ac:dyDescent="0.2">
      <c r="B1069" s="672"/>
      <c r="C1069" s="108" t="str">
        <f>+'LISTA DE INSUMOS'!A52</f>
        <v>MAT021</v>
      </c>
      <c r="D1069" s="139" t="str">
        <f>+'LISTA DE INSUMOS'!B52</f>
        <v>Puntilla (promedio)</v>
      </c>
      <c r="E1069" s="108" t="str">
        <f>+'LISTA DE INSUMOS'!C52</f>
        <v>Lb</v>
      </c>
      <c r="F1069" s="140">
        <v>0.5</v>
      </c>
      <c r="G1069" s="141">
        <f>+'LISTA DE INSUMOS'!E52</f>
        <v>6690.6972299999998</v>
      </c>
      <c r="H1069" s="108">
        <v>0</v>
      </c>
      <c r="I1069" s="141">
        <f>ROUND((F1069*G1069),0)</f>
        <v>3345</v>
      </c>
      <c r="J1069" s="47"/>
      <c r="K1069" s="143"/>
    </row>
    <row r="1070" spans="2:35" ht="24.9" customHeight="1" x14ac:dyDescent="0.2">
      <c r="B1070" s="672"/>
      <c r="C1070" s="108" t="str">
        <f>+'LISTA DE INSUMOS'!A46</f>
        <v>MAT017</v>
      </c>
      <c r="D1070" s="139" t="str">
        <f>+'LISTA DE INSUMOS'!B46</f>
        <v>Tabla para formaleta de 1" x 10" x 2,9 m</v>
      </c>
      <c r="E1070" s="108" t="str">
        <f>+'LISTA DE INSUMOS'!C46</f>
        <v>M</v>
      </c>
      <c r="F1070" s="140">
        <v>4</v>
      </c>
      <c r="G1070" s="141">
        <f>'LISTA DE INSUMOS'!E46</f>
        <v>8112.0359999999991</v>
      </c>
      <c r="H1070" s="108">
        <f>1/3</f>
        <v>0.33333333333333331</v>
      </c>
      <c r="I1070" s="141">
        <f t="shared" ref="I1070:I1075" si="18">ROUND((F1070*G1070*H1070),0)</f>
        <v>10816</v>
      </c>
      <c r="J1070" s="47"/>
      <c r="K1070" s="143"/>
    </row>
    <row r="1071" spans="2:35" ht="24.9" customHeight="1" thickBot="1" x14ac:dyDescent="0.25">
      <c r="B1071" s="673"/>
      <c r="C1071" s="108" t="str">
        <f>+'LISTA DE INSUMOS'!A93</f>
        <v>MAT051</v>
      </c>
      <c r="D1071" s="139" t="str">
        <f>+'LISTA DE INSUMOS'!B93</f>
        <v>Antisol blanco</v>
      </c>
      <c r="E1071" s="108" t="str">
        <f>+'LISTA DE INSUMOS'!C93</f>
        <v>Kg</v>
      </c>
      <c r="F1071" s="140">
        <v>0.2</v>
      </c>
      <c r="G1071" s="141">
        <f>+'LISTA DE INSUMOS'!E93</f>
        <v>11510.734499999999</v>
      </c>
      <c r="H1071" s="108">
        <v>1.05</v>
      </c>
      <c r="I1071" s="141">
        <f t="shared" si="18"/>
        <v>2417</v>
      </c>
      <c r="J1071" s="47"/>
      <c r="K1071" s="143"/>
    </row>
    <row r="1072" spans="2:35" ht="24.9" customHeight="1" thickTop="1" x14ac:dyDescent="0.2">
      <c r="B1072" s="726" t="s">
        <v>1310</v>
      </c>
      <c r="C1072" s="108" t="str">
        <f>+B553</f>
        <v>ITE093</v>
      </c>
      <c r="D1072" s="139" t="str">
        <f>+D553</f>
        <v>Concreto de 17,2 Mpa (2500 psi) (producción)</v>
      </c>
      <c r="E1072" s="108" t="str">
        <f>+E553</f>
        <v>M3</v>
      </c>
      <c r="F1072" s="140">
        <v>0.17</v>
      </c>
      <c r="G1072" s="141">
        <f>G553</f>
        <v>566526</v>
      </c>
      <c r="H1072" s="108">
        <v>1.05</v>
      </c>
      <c r="I1072" s="141">
        <f t="shared" si="18"/>
        <v>101125</v>
      </c>
      <c r="J1072" s="47"/>
      <c r="K1072" s="143"/>
    </row>
    <row r="1073" spans="2:11" ht="24.9" customHeight="1" x14ac:dyDescent="0.2">
      <c r="B1073" s="727"/>
      <c r="C1073" s="108" t="str">
        <f>+B544</f>
        <v>ITE092</v>
      </c>
      <c r="D1073" s="139" t="str">
        <f>+D544</f>
        <v>Concreto de 20,7 Mpa (3000 psi) (producción)</v>
      </c>
      <c r="E1073" s="108" t="str">
        <f>+E544</f>
        <v>M3</v>
      </c>
      <c r="F1073" s="152">
        <v>1.7999999999999999E-2</v>
      </c>
      <c r="G1073" s="141">
        <f>G544</f>
        <v>596118</v>
      </c>
      <c r="H1073" s="108">
        <v>1.05</v>
      </c>
      <c r="I1073" s="141">
        <f t="shared" si="18"/>
        <v>11267</v>
      </c>
      <c r="J1073" s="47"/>
      <c r="K1073" s="143"/>
    </row>
    <row r="1074" spans="2:11" ht="24.9" customHeight="1" thickBot="1" x14ac:dyDescent="0.25">
      <c r="B1074" s="728"/>
      <c r="C1074" s="108" t="str">
        <f>+B587</f>
        <v>ITE98</v>
      </c>
      <c r="D1074" s="167" t="str">
        <f>+D587</f>
        <v>Acero Fy = 60.000 psi d&gt;1/4"</v>
      </c>
      <c r="E1074" s="108" t="str">
        <f>+E587</f>
        <v>Kg</v>
      </c>
      <c r="F1074" s="140">
        <v>2.7</v>
      </c>
      <c r="G1074" s="141">
        <f>G587</f>
        <v>7240</v>
      </c>
      <c r="H1074" s="108">
        <v>0</v>
      </c>
      <c r="I1074" s="141">
        <f>ROUND((F1074*G1074),0)</f>
        <v>19548</v>
      </c>
      <c r="J1074" s="47"/>
      <c r="K1074" s="143"/>
    </row>
    <row r="1075" spans="2:11" ht="24.9" customHeight="1" thickTop="1" thickBot="1" x14ac:dyDescent="0.25">
      <c r="B1075" s="158" t="s">
        <v>1034</v>
      </c>
      <c r="C1075" s="108" t="str">
        <f>+'LISTA DE INSUMOS'!A18</f>
        <v>MOB015</v>
      </c>
      <c r="D1075" s="139" t="str">
        <f>+'LISTA DE INSUMOS'!B18</f>
        <v>Cuadrilla E 1 Of + 1 Ay (jornal + prestaciones)</v>
      </c>
      <c r="E1075" s="108" t="str">
        <f>+'LISTA DE INSUMOS'!C18</f>
        <v>Día</v>
      </c>
      <c r="F1075" s="140">
        <v>1</v>
      </c>
      <c r="G1075" s="141">
        <f>'LISTA DE INSUMOS'!E18</f>
        <v>245584</v>
      </c>
      <c r="H1075" s="108">
        <f>1/2</f>
        <v>0.5</v>
      </c>
      <c r="I1075" s="141">
        <f t="shared" si="18"/>
        <v>122792</v>
      </c>
      <c r="J1075" s="47"/>
      <c r="K1075" s="143"/>
    </row>
    <row r="1076" spans="2:11" ht="24.9" customHeight="1" thickTop="1" thickBot="1" x14ac:dyDescent="0.25">
      <c r="B1076" s="150" t="s">
        <v>1033</v>
      </c>
      <c r="C1076" s="151" t="str">
        <f>+'LISTA DE INSUMOS'!A758</f>
        <v>EQU002</v>
      </c>
      <c r="D1076" s="146" t="str">
        <f>+'LISTA DE INSUMOS'!B758</f>
        <v>Herramienta menor (% mano obra)</v>
      </c>
      <c r="E1076" s="145" t="str">
        <f>+'LISTA DE INSUMOS'!C758</f>
        <v>%MO</v>
      </c>
      <c r="F1076" s="147">
        <v>0.1</v>
      </c>
      <c r="G1076" s="148">
        <f>I1075</f>
        <v>122792</v>
      </c>
      <c r="H1076" s="145">
        <v>0</v>
      </c>
      <c r="I1076" s="148">
        <f>ROUND((F1076*G1076),0)</f>
        <v>12279</v>
      </c>
      <c r="J1076" s="47"/>
      <c r="K1076" s="143"/>
    </row>
    <row r="1077" spans="2:11" ht="24.9" customHeight="1" x14ac:dyDescent="0.2">
      <c r="B1077" s="117" t="s">
        <v>2057</v>
      </c>
      <c r="C1077" s="117"/>
      <c r="D1077" s="112" t="s">
        <v>431</v>
      </c>
      <c r="E1077" s="117" t="s">
        <v>2585</v>
      </c>
      <c r="F1077" s="149"/>
      <c r="G1077" s="119">
        <f>ROUND(SUM(I1077:I1082),0)</f>
        <v>145649</v>
      </c>
      <c r="H1077" s="120"/>
      <c r="I1077" s="119"/>
      <c r="J1077" s="47"/>
      <c r="K1077" s="143"/>
    </row>
    <row r="1078" spans="2:11" ht="24.9" customHeight="1" thickBot="1" x14ac:dyDescent="0.25">
      <c r="B1078" s="175" t="s">
        <v>1325</v>
      </c>
      <c r="C1078" s="108" t="str">
        <f>'LISTA DE INSUMOS'!A34</f>
        <v>MAT005</v>
      </c>
      <c r="D1078" s="139" t="str">
        <f>'LISTA DE INSUMOS'!B34</f>
        <v>Piedra media zonga</v>
      </c>
      <c r="E1078" s="108" t="str">
        <f>'LISTA DE INSUMOS'!C34</f>
        <v>M3</v>
      </c>
      <c r="F1078" s="140">
        <v>0.25</v>
      </c>
      <c r="G1078" s="141">
        <f>'LISTA DE INSUMOS'!E34</f>
        <v>120549.00000000001</v>
      </c>
      <c r="H1078" s="108">
        <v>1.3</v>
      </c>
      <c r="I1078" s="141">
        <f>ROUND((F1078*G1078*H1078),0)</f>
        <v>39178</v>
      </c>
      <c r="J1078" s="47"/>
      <c r="K1078" s="143"/>
    </row>
    <row r="1079" spans="2:11" ht="24.9" customHeight="1" thickTop="1" thickBot="1" x14ac:dyDescent="0.25">
      <c r="B1079" s="191" t="s">
        <v>1310</v>
      </c>
      <c r="C1079" s="108" t="str">
        <f>+B544</f>
        <v>ITE092</v>
      </c>
      <c r="D1079" s="139" t="str">
        <f>+D544</f>
        <v>Concreto de 20,7 Mpa (3000 psi) (producción)</v>
      </c>
      <c r="E1079" s="108" t="str">
        <f>E544</f>
        <v>M3</v>
      </c>
      <c r="F1079" s="152">
        <v>0.1</v>
      </c>
      <c r="G1079" s="141">
        <f>+G544</f>
        <v>596118</v>
      </c>
      <c r="H1079" s="108">
        <v>1.05</v>
      </c>
      <c r="I1079" s="141">
        <f>ROUND((F1079*G1079*H1079),0)</f>
        <v>62592</v>
      </c>
      <c r="J1079" s="47"/>
      <c r="K1079" s="143"/>
    </row>
    <row r="1080" spans="2:11" ht="24.9" customHeight="1" thickTop="1" thickBot="1" x14ac:dyDescent="0.25">
      <c r="B1080" s="158" t="s">
        <v>1034</v>
      </c>
      <c r="C1080" s="108" t="str">
        <f>+'LISTA DE INSUMOS'!A20</f>
        <v>MOB017</v>
      </c>
      <c r="D1080" s="139" t="str">
        <f>+'LISTA DE INSUMOS'!B20</f>
        <v>Cuadrilla G 1 Of + 2 Ay (jornal + prestaciones)</v>
      </c>
      <c r="E1080" s="108" t="str">
        <f>'LISTA DE INSUMOS'!C20</f>
        <v>Día</v>
      </c>
      <c r="F1080" s="140">
        <v>1</v>
      </c>
      <c r="G1080" s="141">
        <f>'LISTA DE INSUMOS'!E20</f>
        <v>327445</v>
      </c>
      <c r="H1080" s="108">
        <f>1/10</f>
        <v>0.1</v>
      </c>
      <c r="I1080" s="141">
        <f>ROUND((F1080*G1080*H1080),0)</f>
        <v>32745</v>
      </c>
      <c r="J1080" s="47"/>
      <c r="K1080" s="143"/>
    </row>
    <row r="1081" spans="2:11" ht="24.9" customHeight="1" thickTop="1" x14ac:dyDescent="0.2">
      <c r="B1081" s="674" t="s">
        <v>1033</v>
      </c>
      <c r="C1081" s="108" t="str">
        <f>'LISTA DE INSUMOS'!A757</f>
        <v>EQU001</v>
      </c>
      <c r="D1081" s="139" t="str">
        <f>'LISTA DE INSUMOS'!B757</f>
        <v>Control de agua</v>
      </c>
      <c r="E1081" s="108" t="str">
        <f>'LISTA DE INSUMOS'!C757</f>
        <v>%MO</v>
      </c>
      <c r="F1081" s="140">
        <v>0.17</v>
      </c>
      <c r="G1081" s="141">
        <f>I1080</f>
        <v>32745</v>
      </c>
      <c r="H1081" s="108">
        <v>0</v>
      </c>
      <c r="I1081" s="141">
        <f>ROUND((F1081*G1081),0)</f>
        <v>5567</v>
      </c>
      <c r="J1081" s="47"/>
      <c r="K1081" s="143"/>
    </row>
    <row r="1082" spans="2:11" ht="24.9" customHeight="1" thickBot="1" x14ac:dyDescent="0.25">
      <c r="B1082" s="709"/>
      <c r="C1082" s="145" t="str">
        <f>'LISTA DE INSUMOS'!A758</f>
        <v>EQU002</v>
      </c>
      <c r="D1082" s="146" t="str">
        <f>'LISTA DE INSUMOS'!B758</f>
        <v>Herramienta menor (% mano obra)</v>
      </c>
      <c r="E1082" s="145" t="str">
        <f>'LISTA DE INSUMOS'!C758</f>
        <v>%MO</v>
      </c>
      <c r="F1082" s="147">
        <v>0.17</v>
      </c>
      <c r="G1082" s="148">
        <f>I1080</f>
        <v>32745</v>
      </c>
      <c r="H1082" s="145">
        <v>0</v>
      </c>
      <c r="I1082" s="148">
        <f>ROUND((F1082*G1082),0)</f>
        <v>5567</v>
      </c>
      <c r="J1082" s="47"/>
      <c r="K1082" s="143"/>
    </row>
    <row r="1083" spans="2:11" ht="24.9" customHeight="1" x14ac:dyDescent="0.2">
      <c r="B1083" s="117" t="s">
        <v>2053</v>
      </c>
      <c r="C1083" s="117"/>
      <c r="D1083" s="112" t="s">
        <v>214</v>
      </c>
      <c r="E1083" s="117" t="s">
        <v>1412</v>
      </c>
      <c r="F1083" s="118"/>
      <c r="G1083" s="119">
        <f>ROUND(SUM(I1083:I1090),0)</f>
        <v>47318</v>
      </c>
      <c r="H1083" s="120"/>
      <c r="I1083" s="119"/>
      <c r="J1083" s="47"/>
      <c r="K1083" s="143"/>
    </row>
    <row r="1084" spans="2:11" ht="24.9" customHeight="1" x14ac:dyDescent="0.2">
      <c r="B1084" s="672" t="s">
        <v>1035</v>
      </c>
      <c r="C1084" s="108" t="str">
        <f>'LISTA DE INSUMOS'!A46</f>
        <v>MAT017</v>
      </c>
      <c r="D1084" s="139" t="str">
        <f>'LISTA DE INSUMOS'!B46</f>
        <v>Tabla para formaleta de 1" x 10" x 2,9 m</v>
      </c>
      <c r="E1084" s="108" t="str">
        <f>'LISTA DE INSUMOS'!C46</f>
        <v>M</v>
      </c>
      <c r="F1084" s="140">
        <v>2</v>
      </c>
      <c r="G1084" s="141">
        <f>'LISTA DE INSUMOS'!E46</f>
        <v>8112.0359999999991</v>
      </c>
      <c r="H1084" s="108">
        <f>1/3</f>
        <v>0.33333333333333331</v>
      </c>
      <c r="I1084" s="141">
        <f>ROUND((F1084*G1084*H1084),0)</f>
        <v>5408</v>
      </c>
      <c r="J1084" s="47"/>
      <c r="K1084" s="143"/>
    </row>
    <row r="1085" spans="2:11" ht="24.9" customHeight="1" x14ac:dyDescent="0.2">
      <c r="B1085" s="672"/>
      <c r="C1085" s="108" t="str">
        <f>'LISTA DE INSUMOS'!A52</f>
        <v>MAT021</v>
      </c>
      <c r="D1085" s="139" t="str">
        <f>'LISTA DE INSUMOS'!B52</f>
        <v>Puntilla (promedio)</v>
      </c>
      <c r="E1085" s="108" t="str">
        <f>'LISTA DE INSUMOS'!C52</f>
        <v>Lb</v>
      </c>
      <c r="F1085" s="140">
        <v>0.1</v>
      </c>
      <c r="G1085" s="141">
        <f>'LISTA DE INSUMOS'!E52</f>
        <v>6690.6972299999998</v>
      </c>
      <c r="H1085" s="108">
        <v>0</v>
      </c>
      <c r="I1085" s="141">
        <f>ROUND((F1085*G1085),0)</f>
        <v>669</v>
      </c>
      <c r="J1085" s="47"/>
      <c r="K1085" s="143"/>
    </row>
    <row r="1086" spans="2:11" ht="24.9" customHeight="1" x14ac:dyDescent="0.2">
      <c r="B1086" s="672"/>
      <c r="C1086" s="108" t="str">
        <f>'LISTA DE INSUMOS'!A93</f>
        <v>MAT051</v>
      </c>
      <c r="D1086" s="139" t="str">
        <f>'LISTA DE INSUMOS'!B93</f>
        <v>Antisol blanco</v>
      </c>
      <c r="E1086" s="108" t="str">
        <f>'LISTA DE INSUMOS'!C93</f>
        <v>Kg</v>
      </c>
      <c r="F1086" s="140">
        <v>0.06</v>
      </c>
      <c r="G1086" s="141">
        <f>'LISTA DE INSUMOS'!E93</f>
        <v>11510.734499999999</v>
      </c>
      <c r="H1086" s="205">
        <v>1.03</v>
      </c>
      <c r="I1086" s="141">
        <f>ROUND((F1086*G1086*H1086),0)</f>
        <v>711</v>
      </c>
      <c r="J1086" s="47"/>
      <c r="K1086" s="143"/>
    </row>
    <row r="1087" spans="2:11" ht="24.9" customHeight="1" thickBot="1" x14ac:dyDescent="0.25">
      <c r="B1087" s="673"/>
      <c r="C1087" s="108" t="str">
        <f>'LISTA DE INSUMOS'!A132</f>
        <v>MAT091</v>
      </c>
      <c r="D1087" s="139" t="str">
        <f>'LISTA DE INSUMOS'!B132</f>
        <v>Varillón de sajo</v>
      </c>
      <c r="E1087" s="108" t="str">
        <f>'LISTA DE INSUMOS'!C132</f>
        <v>M</v>
      </c>
      <c r="F1087" s="140">
        <v>2</v>
      </c>
      <c r="G1087" s="141">
        <f>'LISTA DE INSUMOS'!E132</f>
        <v>2979.6450687603597</v>
      </c>
      <c r="H1087" s="108">
        <f>1/3</f>
        <v>0.33333333333333331</v>
      </c>
      <c r="I1087" s="141">
        <f>ROUND((F1087*G1087*H1087),0)</f>
        <v>1986</v>
      </c>
      <c r="J1087" s="47"/>
      <c r="K1087" s="143"/>
    </row>
    <row r="1088" spans="2:11" ht="24.9" customHeight="1" thickTop="1" thickBot="1" x14ac:dyDescent="0.25">
      <c r="B1088" s="191" t="s">
        <v>1310</v>
      </c>
      <c r="C1088" s="108" t="str">
        <f>+B544</f>
        <v>ITE092</v>
      </c>
      <c r="D1088" s="139" t="str">
        <f>+D544</f>
        <v>Concreto de 20,7 Mpa (3000 psi) (producción)</v>
      </c>
      <c r="E1088" s="108" t="str">
        <f>E544</f>
        <v>M3</v>
      </c>
      <c r="F1088" s="140">
        <v>0.04</v>
      </c>
      <c r="G1088" s="141">
        <f>G544</f>
        <v>596118</v>
      </c>
      <c r="H1088" s="108">
        <v>1.05</v>
      </c>
      <c r="I1088" s="141">
        <f>ROUND((F1088*G1088*H1088),0)</f>
        <v>25037</v>
      </c>
      <c r="J1088" s="47"/>
      <c r="K1088" s="143"/>
    </row>
    <row r="1089" spans="2:11" ht="24.9" customHeight="1" thickTop="1" thickBot="1" x14ac:dyDescent="0.25">
      <c r="B1089" s="158" t="s">
        <v>1034</v>
      </c>
      <c r="C1089" s="108" t="str">
        <f>+'LISTA DE INSUMOS'!A18</f>
        <v>MOB015</v>
      </c>
      <c r="D1089" s="139" t="str">
        <f>+'LISTA DE INSUMOS'!B18</f>
        <v>Cuadrilla E 1 Of + 1 Ay (jornal + prestaciones)</v>
      </c>
      <c r="E1089" s="108" t="str">
        <f>'LISTA DE INSUMOS'!C18</f>
        <v>Día</v>
      </c>
      <c r="F1089" s="140">
        <v>1</v>
      </c>
      <c r="G1089" s="141">
        <f>'LISTA DE INSUMOS'!E18</f>
        <v>245584</v>
      </c>
      <c r="H1089" s="108">
        <f>1/20</f>
        <v>0.05</v>
      </c>
      <c r="I1089" s="141">
        <f>ROUND((F1089*G1089*H1089),0)</f>
        <v>12279</v>
      </c>
      <c r="J1089" s="47"/>
      <c r="K1089" s="143"/>
    </row>
    <row r="1090" spans="2:11" ht="24.9" customHeight="1" thickTop="1" thickBot="1" x14ac:dyDescent="0.25">
      <c r="B1090" s="150" t="s">
        <v>1033</v>
      </c>
      <c r="C1090" s="151" t="str">
        <f>'LISTA DE INSUMOS'!A758</f>
        <v>EQU002</v>
      </c>
      <c r="D1090" s="146" t="str">
        <f>'LISTA DE INSUMOS'!B758</f>
        <v>Herramienta menor (% mano obra)</v>
      </c>
      <c r="E1090" s="145" t="str">
        <f>'LISTA DE INSUMOS'!C758</f>
        <v>%MO</v>
      </c>
      <c r="F1090" s="147">
        <v>0.1</v>
      </c>
      <c r="G1090" s="148">
        <f>I1089</f>
        <v>12279</v>
      </c>
      <c r="H1090" s="145">
        <v>0</v>
      </c>
      <c r="I1090" s="148">
        <f>ROUND((F1090*G1090),0)</f>
        <v>1228</v>
      </c>
      <c r="J1090" s="47"/>
      <c r="K1090" s="143"/>
    </row>
    <row r="1091" spans="2:11" ht="24.9" customHeight="1" x14ac:dyDescent="0.2">
      <c r="B1091" s="117" t="s">
        <v>1856</v>
      </c>
      <c r="C1091" s="117"/>
      <c r="D1091" s="112" t="s">
        <v>432</v>
      </c>
      <c r="E1091" s="117" t="s">
        <v>2585</v>
      </c>
      <c r="F1091" s="149"/>
      <c r="G1091" s="119">
        <f>ROUND(SUM(I1091:I1099),0)</f>
        <v>92670</v>
      </c>
      <c r="H1091" s="120"/>
      <c r="I1091" s="119"/>
      <c r="J1091" s="47"/>
      <c r="K1091" s="143"/>
    </row>
    <row r="1092" spans="2:11" ht="24.9" customHeight="1" x14ac:dyDescent="0.2">
      <c r="B1092" s="672" t="s">
        <v>1035</v>
      </c>
      <c r="C1092" s="108" t="str">
        <f>+'LISTA DE INSUMOS'!A46</f>
        <v>MAT017</v>
      </c>
      <c r="D1092" s="139" t="str">
        <f>+'LISTA DE INSUMOS'!B46</f>
        <v>Tabla para formaleta de 1" x 10" x 2,9 m</v>
      </c>
      <c r="E1092" s="108" t="str">
        <f>+'LISTA DE INSUMOS'!C46</f>
        <v>M</v>
      </c>
      <c r="F1092" s="140">
        <v>2</v>
      </c>
      <c r="G1092" s="141">
        <f>'LISTA DE INSUMOS'!E46</f>
        <v>8112.0359999999991</v>
      </c>
      <c r="H1092" s="205">
        <f>1/3</f>
        <v>0.33333333333333331</v>
      </c>
      <c r="I1092" s="141">
        <f>ROUND((F1092*G1092*H1092),0)</f>
        <v>5408</v>
      </c>
      <c r="J1092" s="47"/>
      <c r="K1092" s="143"/>
    </row>
    <row r="1093" spans="2:11" ht="24.9" customHeight="1" x14ac:dyDescent="0.2">
      <c r="B1093" s="672"/>
      <c r="C1093" s="108" t="str">
        <f>+'LISTA DE INSUMOS'!A52</f>
        <v>MAT021</v>
      </c>
      <c r="D1093" s="139" t="str">
        <f>+'LISTA DE INSUMOS'!B52</f>
        <v>Puntilla (promedio)</v>
      </c>
      <c r="E1093" s="108" t="str">
        <f>+'LISTA DE INSUMOS'!C52</f>
        <v>Lb</v>
      </c>
      <c r="F1093" s="140">
        <v>7.0000000000000007E-2</v>
      </c>
      <c r="G1093" s="141">
        <f>+'LISTA DE INSUMOS'!E52</f>
        <v>6690.6972299999998</v>
      </c>
      <c r="H1093" s="205">
        <v>0</v>
      </c>
      <c r="I1093" s="141">
        <f>ROUND((F1093*G1093),0)</f>
        <v>468</v>
      </c>
      <c r="J1093" s="47"/>
      <c r="K1093" s="143"/>
    </row>
    <row r="1094" spans="2:11" ht="24.9" customHeight="1" x14ac:dyDescent="0.2">
      <c r="B1094" s="672"/>
      <c r="C1094" s="108" t="str">
        <f>+'LISTA DE INSUMOS'!A93</f>
        <v>MAT051</v>
      </c>
      <c r="D1094" s="139" t="str">
        <f>+'LISTA DE INSUMOS'!B93</f>
        <v>Antisol blanco</v>
      </c>
      <c r="E1094" s="108" t="str">
        <f>+'LISTA DE INSUMOS'!C93</f>
        <v>Kg</v>
      </c>
      <c r="F1094" s="140">
        <v>0.2</v>
      </c>
      <c r="G1094" s="141">
        <f>+'LISTA DE INSUMOS'!E93</f>
        <v>11510.734499999999</v>
      </c>
      <c r="H1094" s="205">
        <v>1.03</v>
      </c>
      <c r="I1094" s="141">
        <f>ROUND((F1094*G1094*H1094),0)</f>
        <v>2371</v>
      </c>
      <c r="J1094" s="47"/>
      <c r="K1094" s="143"/>
    </row>
    <row r="1095" spans="2:11" ht="24.9" customHeight="1" thickBot="1" x14ac:dyDescent="0.25">
      <c r="B1095" s="673"/>
      <c r="C1095" s="108" t="str">
        <f>+'LISTA DE INSUMOS'!A132</f>
        <v>MAT091</v>
      </c>
      <c r="D1095" s="139" t="str">
        <f>+'LISTA DE INSUMOS'!B132</f>
        <v>Varillón de sajo</v>
      </c>
      <c r="E1095" s="108" t="str">
        <f>+'LISTA DE INSUMOS'!C132</f>
        <v>M</v>
      </c>
      <c r="F1095" s="140">
        <v>2</v>
      </c>
      <c r="G1095" s="141">
        <f>'LISTA DE INSUMOS'!E132</f>
        <v>2979.6450687603597</v>
      </c>
      <c r="H1095" s="205">
        <f>1/3</f>
        <v>0.33333333333333331</v>
      </c>
      <c r="I1095" s="141">
        <f>ROUND((F1095*G1095*H1095),0)</f>
        <v>1986</v>
      </c>
      <c r="J1095" s="47"/>
      <c r="K1095" s="143"/>
    </row>
    <row r="1096" spans="2:11" ht="24.9" customHeight="1" thickTop="1" thickBot="1" x14ac:dyDescent="0.25">
      <c r="B1096" s="191" t="s">
        <v>1310</v>
      </c>
      <c r="C1096" s="108" t="str">
        <f>+B544</f>
        <v>ITE092</v>
      </c>
      <c r="D1096" s="139" t="str">
        <f>+D544</f>
        <v>Concreto de 20,7 Mpa (3000 psi) (producción)</v>
      </c>
      <c r="E1096" s="108" t="str">
        <f>+E544</f>
        <v>M3</v>
      </c>
      <c r="F1096" s="140">
        <v>0.1</v>
      </c>
      <c r="G1096" s="141">
        <f>G544</f>
        <v>596118</v>
      </c>
      <c r="H1096" s="205">
        <v>1.05</v>
      </c>
      <c r="I1096" s="141">
        <f>ROUND((F1096*G1096*H1096),0)</f>
        <v>62592</v>
      </c>
      <c r="J1096" s="47"/>
      <c r="K1096" s="143"/>
    </row>
    <row r="1097" spans="2:11" ht="24.9" customHeight="1" thickTop="1" thickBot="1" x14ac:dyDescent="0.25">
      <c r="B1097" s="158" t="s">
        <v>1034</v>
      </c>
      <c r="C1097" s="108" t="str">
        <f>+'LISTA DE INSUMOS'!A9</f>
        <v>MOB006</v>
      </c>
      <c r="D1097" s="139" t="str">
        <f>+'LISTA DE INSUMOS'!B9</f>
        <v>Cuadrilla A 1 Of + 4 Ay (jornal + prestaciones)</v>
      </c>
      <c r="E1097" s="108" t="str">
        <f>+'LISTA DE INSUMOS'!C9</f>
        <v>Día</v>
      </c>
      <c r="F1097" s="140">
        <v>1</v>
      </c>
      <c r="G1097" s="141">
        <f>'LISTA DE INSUMOS'!E9</f>
        <v>491167</v>
      </c>
      <c r="H1097" s="205">
        <v>3.5000000000000003E-2</v>
      </c>
      <c r="I1097" s="141">
        <f>ROUND((F1097*G1097*H1097),0)</f>
        <v>17191</v>
      </c>
      <c r="J1097" s="47"/>
      <c r="K1097" s="143"/>
    </row>
    <row r="1098" spans="2:11" ht="24.9" customHeight="1" thickTop="1" x14ac:dyDescent="0.2">
      <c r="B1098" s="674" t="s">
        <v>1033</v>
      </c>
      <c r="C1098" s="108" t="str">
        <f>+'LISTA DE INSUMOS'!A758</f>
        <v>EQU002</v>
      </c>
      <c r="D1098" s="139" t="str">
        <f>+'LISTA DE INSUMOS'!B758</f>
        <v>Herramienta menor (% mano obra)</v>
      </c>
      <c r="E1098" s="108" t="str">
        <f>+'LISTA DE INSUMOS'!C758</f>
        <v>%MO</v>
      </c>
      <c r="F1098" s="140">
        <v>0.1</v>
      </c>
      <c r="G1098" s="141">
        <f>I1097</f>
        <v>17191</v>
      </c>
      <c r="H1098" s="205">
        <v>0</v>
      </c>
      <c r="I1098" s="141">
        <f>ROUND((F1098*G1098),0)</f>
        <v>1719</v>
      </c>
      <c r="J1098" s="47"/>
      <c r="K1098" s="143"/>
    </row>
    <row r="1099" spans="2:11" ht="24.9" customHeight="1" thickBot="1" x14ac:dyDescent="0.25">
      <c r="B1099" s="709"/>
      <c r="C1099" s="145" t="str">
        <f>+'LISTA DE INSUMOS'!A783</f>
        <v>EQU026</v>
      </c>
      <c r="D1099" s="146" t="str">
        <f>+'LISTA DE INSUMOS'!B783</f>
        <v>Regla vibradora</v>
      </c>
      <c r="E1099" s="145" t="str">
        <f>+'LISTA DE INSUMOS'!C783</f>
        <v>Día</v>
      </c>
      <c r="F1099" s="147">
        <v>1</v>
      </c>
      <c r="G1099" s="148">
        <f>'LISTA DE INSUMOS'!E783</f>
        <v>46728.195513999992</v>
      </c>
      <c r="H1099" s="206">
        <f>1/50</f>
        <v>0.02</v>
      </c>
      <c r="I1099" s="148">
        <f>ROUND((F1099*G1099*H1099),0)</f>
        <v>935</v>
      </c>
      <c r="J1099" s="47"/>
      <c r="K1099" s="143"/>
    </row>
    <row r="1100" spans="2:11" ht="24.9" customHeight="1" x14ac:dyDescent="0.2">
      <c r="B1100" s="117" t="s">
        <v>1523</v>
      </c>
      <c r="C1100" s="117"/>
      <c r="D1100" s="112" t="s">
        <v>343</v>
      </c>
      <c r="E1100" s="117" t="s">
        <v>2585</v>
      </c>
      <c r="F1100" s="149"/>
      <c r="G1100" s="119">
        <f>ROUND(SUM(I1100:I1107),0)</f>
        <v>109962</v>
      </c>
      <c r="H1100" s="120"/>
      <c r="I1100" s="119"/>
      <c r="J1100" s="47"/>
      <c r="K1100" s="143"/>
    </row>
    <row r="1101" spans="2:11" ht="24.9" customHeight="1" x14ac:dyDescent="0.2">
      <c r="B1101" s="672" t="s">
        <v>1035</v>
      </c>
      <c r="C1101" s="108" t="str">
        <f>+'LISTA DE INSUMOS'!A46</f>
        <v>MAT017</v>
      </c>
      <c r="D1101" s="139" t="str">
        <f>+'LISTA DE INSUMOS'!B46</f>
        <v>Tabla para formaleta de 1" x 10" x 2,9 m</v>
      </c>
      <c r="E1101" s="108" t="str">
        <f>+'LISTA DE INSUMOS'!C46</f>
        <v>M</v>
      </c>
      <c r="F1101" s="140">
        <v>1</v>
      </c>
      <c r="G1101" s="141">
        <f>'LISTA DE INSUMOS'!E46</f>
        <v>8112.0359999999991</v>
      </c>
      <c r="H1101" s="205">
        <f>1/3</f>
        <v>0.33333333333333331</v>
      </c>
      <c r="I1101" s="141">
        <f>ROUND((F1101*G1101*H1101),0)</f>
        <v>2704</v>
      </c>
      <c r="J1101" s="47"/>
      <c r="K1101" s="143"/>
    </row>
    <row r="1102" spans="2:11" ht="24.9" customHeight="1" x14ac:dyDescent="0.2">
      <c r="B1102" s="672"/>
      <c r="C1102" s="108" t="str">
        <f>+'LISTA DE INSUMOS'!A49</f>
        <v>MAT018</v>
      </c>
      <c r="D1102" s="139" t="str">
        <f>+'LISTA DE INSUMOS'!B49</f>
        <v>Cuartón de sajo 2" x 4" x 2,9 m</v>
      </c>
      <c r="E1102" s="108" t="str">
        <f>+'LISTA DE INSUMOS'!C49</f>
        <v>M</v>
      </c>
      <c r="F1102" s="140">
        <v>2</v>
      </c>
      <c r="G1102" s="141">
        <f>'LISTA DE INSUMOS'!E49</f>
        <v>11944.810644542158</v>
      </c>
      <c r="H1102" s="108">
        <f>1/3</f>
        <v>0.33333333333333331</v>
      </c>
      <c r="I1102" s="141">
        <f>ROUND((F1102*G1102*H1102),0)</f>
        <v>7963</v>
      </c>
      <c r="J1102" s="47"/>
      <c r="K1102" s="143"/>
    </row>
    <row r="1103" spans="2:11" ht="24.9" customHeight="1" x14ac:dyDescent="0.2">
      <c r="B1103" s="672"/>
      <c r="C1103" s="108" t="str">
        <f>+'LISTA DE INSUMOS'!A93</f>
        <v>MAT051</v>
      </c>
      <c r="D1103" s="139" t="str">
        <f>+'LISTA DE INSUMOS'!B93</f>
        <v>Antisol blanco</v>
      </c>
      <c r="E1103" s="108" t="str">
        <f>+'LISTA DE INSUMOS'!C93</f>
        <v>Kg</v>
      </c>
      <c r="F1103" s="140">
        <v>0.2</v>
      </c>
      <c r="G1103" s="141">
        <f>+'LISTA DE INSUMOS'!E93</f>
        <v>11510.734499999999</v>
      </c>
      <c r="H1103" s="205">
        <v>1.03</v>
      </c>
      <c r="I1103" s="141">
        <f>ROUND((F1103*G1103*H1103),0)</f>
        <v>2371</v>
      </c>
      <c r="J1103" s="47"/>
      <c r="K1103" s="143"/>
    </row>
    <row r="1104" spans="2:11" ht="24.9" customHeight="1" thickBot="1" x14ac:dyDescent="0.25">
      <c r="B1104" s="673"/>
      <c r="C1104" s="108" t="str">
        <f>+'LISTA DE INSUMOS'!A52</f>
        <v>MAT021</v>
      </c>
      <c r="D1104" s="139" t="str">
        <f>+'LISTA DE INSUMOS'!B52</f>
        <v>Puntilla (promedio)</v>
      </c>
      <c r="E1104" s="108" t="str">
        <f>+'LISTA DE INSUMOS'!C52</f>
        <v>Lb</v>
      </c>
      <c r="F1104" s="140">
        <v>0.2</v>
      </c>
      <c r="G1104" s="141">
        <f>+'LISTA DE INSUMOS'!E52</f>
        <v>6690.6972299999998</v>
      </c>
      <c r="H1104" s="108">
        <v>0</v>
      </c>
      <c r="I1104" s="141">
        <f>ROUND((F1104*G1104),0)</f>
        <v>1338</v>
      </c>
      <c r="J1104" s="47"/>
      <c r="K1104" s="143"/>
    </row>
    <row r="1105" spans="2:11" ht="24.9" customHeight="1" thickTop="1" thickBot="1" x14ac:dyDescent="0.25">
      <c r="B1105" s="191" t="s">
        <v>1310</v>
      </c>
      <c r="C1105" s="108" t="str">
        <f>+B553</f>
        <v>ITE093</v>
      </c>
      <c r="D1105" s="139" t="str">
        <f>+D553</f>
        <v>Concreto de 17,2 Mpa (2500 psi) (producción)</v>
      </c>
      <c r="E1105" s="108" t="str">
        <f>+E553</f>
        <v>M3</v>
      </c>
      <c r="F1105" s="140">
        <v>0.1</v>
      </c>
      <c r="G1105" s="141">
        <f>G553</f>
        <v>566526</v>
      </c>
      <c r="H1105" s="108">
        <v>1.05</v>
      </c>
      <c r="I1105" s="141">
        <f>ROUND((F1105*G1105*H1105),0)</f>
        <v>59485</v>
      </c>
      <c r="J1105" s="47"/>
      <c r="K1105" s="143"/>
    </row>
    <row r="1106" spans="2:11" ht="24.9" customHeight="1" thickTop="1" thickBot="1" x14ac:dyDescent="0.25">
      <c r="B1106" s="158" t="s">
        <v>1034</v>
      </c>
      <c r="C1106" s="108" t="str">
        <f>+'LISTA DE INSUMOS'!A9</f>
        <v>MOB006</v>
      </c>
      <c r="D1106" s="139" t="str">
        <f>+'LISTA DE INSUMOS'!B9</f>
        <v>Cuadrilla A 1 Of + 4 Ay (jornal + prestaciones)</v>
      </c>
      <c r="E1106" s="108" t="str">
        <f>+'LISTA DE INSUMOS'!C9</f>
        <v>Día</v>
      </c>
      <c r="F1106" s="140">
        <v>1</v>
      </c>
      <c r="G1106" s="141">
        <f>'LISTA DE INSUMOS'!E9</f>
        <v>491167</v>
      </c>
      <c r="H1106" s="108">
        <v>7.0000000000000007E-2</v>
      </c>
      <c r="I1106" s="141">
        <f>ROUND((F1106*G1106*H1106),0)</f>
        <v>34382</v>
      </c>
      <c r="J1106" s="47"/>
      <c r="K1106" s="143"/>
    </row>
    <row r="1107" spans="2:11" ht="24.9" customHeight="1" thickTop="1" thickBot="1" x14ac:dyDescent="0.25">
      <c r="B1107" s="150" t="s">
        <v>1033</v>
      </c>
      <c r="C1107" s="151" t="str">
        <f>+'LISTA DE INSUMOS'!A758</f>
        <v>EQU002</v>
      </c>
      <c r="D1107" s="146" t="str">
        <f>+'LISTA DE INSUMOS'!B758</f>
        <v>Herramienta menor (% mano obra)</v>
      </c>
      <c r="E1107" s="145" t="str">
        <f>+'LISTA DE INSUMOS'!C758</f>
        <v>%MO</v>
      </c>
      <c r="F1107" s="147">
        <v>0.05</v>
      </c>
      <c r="G1107" s="148">
        <f>I1106</f>
        <v>34382</v>
      </c>
      <c r="H1107" s="145">
        <v>0</v>
      </c>
      <c r="I1107" s="148">
        <f>ROUND((F1107*G1107),0)</f>
        <v>1719</v>
      </c>
      <c r="J1107" s="47"/>
      <c r="K1107" s="143"/>
    </row>
    <row r="1108" spans="2:11" ht="24.9" customHeight="1" x14ac:dyDescent="0.2">
      <c r="B1108" s="117" t="s">
        <v>1524</v>
      </c>
      <c r="C1108" s="117"/>
      <c r="D1108" s="112" t="s">
        <v>224</v>
      </c>
      <c r="E1108" s="117" t="s">
        <v>1412</v>
      </c>
      <c r="F1108" s="149"/>
      <c r="G1108" s="119">
        <f>ROUND(SUM(I1108:I1116),0)</f>
        <v>190974</v>
      </c>
      <c r="H1108" s="120"/>
      <c r="I1108" s="119"/>
      <c r="J1108" s="47"/>
      <c r="K1108" s="143"/>
    </row>
    <row r="1109" spans="2:11" ht="24.9" customHeight="1" x14ac:dyDescent="0.2">
      <c r="B1109" s="672" t="s">
        <v>1035</v>
      </c>
      <c r="C1109" s="108" t="str">
        <f>+'LISTA DE INSUMOS'!A46</f>
        <v>MAT017</v>
      </c>
      <c r="D1109" s="139" t="str">
        <f>+'LISTA DE INSUMOS'!B46</f>
        <v>Tabla para formaleta de 1" x 10" x 2,9 m</v>
      </c>
      <c r="E1109" s="108" t="str">
        <f>+'LISTA DE INSUMOS'!C46</f>
        <v>M</v>
      </c>
      <c r="F1109" s="140">
        <v>4</v>
      </c>
      <c r="G1109" s="141">
        <f>'LISTA DE INSUMOS'!E46</f>
        <v>8112.0359999999991</v>
      </c>
      <c r="H1109" s="205">
        <f>1/3</f>
        <v>0.33333333333333331</v>
      </c>
      <c r="I1109" s="141">
        <f>ROUND((F1109*G1109*H1109),0)</f>
        <v>10816</v>
      </c>
      <c r="J1109" s="47"/>
      <c r="K1109" s="143"/>
    </row>
    <row r="1110" spans="2:11" ht="24.9" customHeight="1" x14ac:dyDescent="0.2">
      <c r="B1110" s="672"/>
      <c r="C1110" s="108" t="str">
        <f>+'LISTA DE INSUMOS'!A132</f>
        <v>MAT091</v>
      </c>
      <c r="D1110" s="139" t="str">
        <f>+'LISTA DE INSUMOS'!B132</f>
        <v>Varillón de sajo</v>
      </c>
      <c r="E1110" s="108" t="str">
        <f>+'LISTA DE INSUMOS'!C132</f>
        <v>M</v>
      </c>
      <c r="F1110" s="140">
        <v>4.5</v>
      </c>
      <c r="G1110" s="141">
        <f>'LISTA DE INSUMOS'!E132</f>
        <v>2979.6450687603597</v>
      </c>
      <c r="H1110" s="205">
        <f>1/3</f>
        <v>0.33333333333333331</v>
      </c>
      <c r="I1110" s="141">
        <f>ROUND((F1110*G1110*H1110),0)</f>
        <v>4469</v>
      </c>
      <c r="J1110" s="47"/>
      <c r="K1110" s="143"/>
    </row>
    <row r="1111" spans="2:11" ht="24.9" customHeight="1" x14ac:dyDescent="0.2">
      <c r="B1111" s="672"/>
      <c r="C1111" s="108" t="str">
        <f>+'LISTA DE INSUMOS'!A52</f>
        <v>MAT021</v>
      </c>
      <c r="D1111" s="139" t="str">
        <f>+'LISTA DE INSUMOS'!B52</f>
        <v>Puntilla (promedio)</v>
      </c>
      <c r="E1111" s="108" t="str">
        <f>+'LISTA DE INSUMOS'!C52</f>
        <v>Lb</v>
      </c>
      <c r="F1111" s="140">
        <v>0.1</v>
      </c>
      <c r="G1111" s="141">
        <f>+'LISTA DE INSUMOS'!E52</f>
        <v>6690.6972299999998</v>
      </c>
      <c r="H1111" s="205">
        <v>0</v>
      </c>
      <c r="I1111" s="141">
        <f>ROUND((F1111*G1111),0)</f>
        <v>669</v>
      </c>
      <c r="J1111" s="47"/>
      <c r="K1111" s="143"/>
    </row>
    <row r="1112" spans="2:11" ht="24.9" customHeight="1" x14ac:dyDescent="0.2">
      <c r="B1112" s="672"/>
      <c r="C1112" s="108" t="str">
        <f>+'LISTA DE INSUMOS'!A93</f>
        <v>MAT051</v>
      </c>
      <c r="D1112" s="139" t="str">
        <f>+'LISTA DE INSUMOS'!B93</f>
        <v>Antisol blanco</v>
      </c>
      <c r="E1112" s="108" t="str">
        <f>+'LISTA DE INSUMOS'!C93</f>
        <v>Kg</v>
      </c>
      <c r="F1112" s="140">
        <v>0.4</v>
      </c>
      <c r="G1112" s="141">
        <f>+'LISTA DE INSUMOS'!E93</f>
        <v>11510.734499999999</v>
      </c>
      <c r="H1112" s="205">
        <v>1.03</v>
      </c>
      <c r="I1112" s="141">
        <f>ROUND((F1112*G1112*H1112),0)</f>
        <v>4742</v>
      </c>
      <c r="J1112" s="47"/>
      <c r="K1112" s="143"/>
    </row>
    <row r="1113" spans="2:11" ht="24.9" customHeight="1" thickBot="1" x14ac:dyDescent="0.25">
      <c r="B1113" s="673"/>
      <c r="C1113" s="108" t="str">
        <f>+'LISTA DE INSUMOS'!A67</f>
        <v>MAT034</v>
      </c>
      <c r="D1113" s="139" t="str">
        <f>+'LISTA DE INSUMOS'!B67</f>
        <v>ACPM</v>
      </c>
      <c r="E1113" s="108" t="str">
        <f>+'LISTA DE INSUMOS'!C67</f>
        <v>Gl</v>
      </c>
      <c r="F1113" s="140">
        <v>0.2</v>
      </c>
      <c r="G1113" s="141">
        <f>'LISTA DE INSUMOS'!E67</f>
        <v>9681.4499999999989</v>
      </c>
      <c r="H1113" s="205">
        <v>0</v>
      </c>
      <c r="I1113" s="141">
        <f>ROUND((F1113*G1113),0)</f>
        <v>1936</v>
      </c>
      <c r="J1113" s="47"/>
      <c r="K1113" s="143"/>
    </row>
    <row r="1114" spans="2:11" ht="24.9" customHeight="1" thickTop="1" thickBot="1" x14ac:dyDescent="0.25">
      <c r="B1114" s="191" t="s">
        <v>1310</v>
      </c>
      <c r="C1114" s="108" t="str">
        <f>+B544</f>
        <v>ITE092</v>
      </c>
      <c r="D1114" s="139" t="str">
        <f>+D544</f>
        <v>Concreto de 20,7 Mpa (3000 psi) (producción)</v>
      </c>
      <c r="E1114" s="108" t="str">
        <f>+E544</f>
        <v>M3</v>
      </c>
      <c r="F1114" s="152">
        <v>0.215</v>
      </c>
      <c r="G1114" s="141">
        <f>G544</f>
        <v>596118</v>
      </c>
      <c r="H1114" s="205">
        <v>1.05</v>
      </c>
      <c r="I1114" s="141">
        <f>ROUND((F1114*G1114*H1114),0)</f>
        <v>134574</v>
      </c>
      <c r="J1114" s="47"/>
      <c r="K1114" s="143"/>
    </row>
    <row r="1115" spans="2:11" ht="24.9" customHeight="1" thickTop="1" thickBot="1" x14ac:dyDescent="0.25">
      <c r="B1115" s="158" t="s">
        <v>1034</v>
      </c>
      <c r="C1115" s="108" t="str">
        <f>+'LISTA DE INSUMOS'!A18</f>
        <v>MOB015</v>
      </c>
      <c r="D1115" s="139" t="str">
        <f>+'LISTA DE INSUMOS'!B18</f>
        <v>Cuadrilla E 1 Of + 1 Ay (jornal + prestaciones)</v>
      </c>
      <c r="E1115" s="108" t="str">
        <f>+'LISTA DE INSUMOS'!C18</f>
        <v>Día</v>
      </c>
      <c r="F1115" s="140">
        <v>1</v>
      </c>
      <c r="G1115" s="141">
        <f>'LISTA DE INSUMOS'!E18</f>
        <v>245584</v>
      </c>
      <c r="H1115" s="205">
        <f>1/8</f>
        <v>0.125</v>
      </c>
      <c r="I1115" s="141">
        <f>ROUND((F1115*G1115*H1115),0)</f>
        <v>30698</v>
      </c>
      <c r="J1115" s="47"/>
      <c r="K1115" s="143"/>
    </row>
    <row r="1116" spans="2:11" ht="24.9" customHeight="1" thickTop="1" thickBot="1" x14ac:dyDescent="0.25">
      <c r="B1116" s="150" t="s">
        <v>1033</v>
      </c>
      <c r="C1116" s="151" t="str">
        <f>+'LISTA DE INSUMOS'!A758</f>
        <v>EQU002</v>
      </c>
      <c r="D1116" s="146" t="str">
        <f>+'LISTA DE INSUMOS'!B758</f>
        <v>Herramienta menor (% mano obra)</v>
      </c>
      <c r="E1116" s="145" t="str">
        <f>+'LISTA DE INSUMOS'!C758</f>
        <v>%MO</v>
      </c>
      <c r="F1116" s="147">
        <v>0.1</v>
      </c>
      <c r="G1116" s="148">
        <f>I1115</f>
        <v>30698</v>
      </c>
      <c r="H1116" s="206">
        <v>0</v>
      </c>
      <c r="I1116" s="148">
        <f>ROUND((F1116*G1116),0)</f>
        <v>3070</v>
      </c>
      <c r="J1116" s="47"/>
      <c r="K1116" s="143"/>
    </row>
    <row r="1117" spans="2:11" s="317" customFormat="1" ht="24.9" hidden="1" customHeight="1" x14ac:dyDescent="0.2">
      <c r="B1117" s="319" t="s">
        <v>1604</v>
      </c>
      <c r="C1117" s="319"/>
      <c r="D1117" s="320" t="s">
        <v>2251</v>
      </c>
      <c r="E1117" s="319" t="s">
        <v>1412</v>
      </c>
      <c r="F1117" s="332"/>
      <c r="G1117" s="312">
        <f>ROUND(SUM(I1117:I1129),0)</f>
        <v>500189</v>
      </c>
      <c r="H1117" s="322"/>
      <c r="I1117" s="312"/>
      <c r="J1117" s="313"/>
      <c r="K1117" s="323"/>
    </row>
    <row r="1118" spans="2:11" s="317" customFormat="1" ht="24.9" hidden="1" customHeight="1" x14ac:dyDescent="0.2">
      <c r="B1118" s="691" t="s">
        <v>1035</v>
      </c>
      <c r="C1118" s="322" t="str">
        <f>+'LISTA DE INSUMOS'!A46</f>
        <v>MAT017</v>
      </c>
      <c r="D1118" s="324" t="str">
        <f>+'LISTA DE INSUMOS'!B46</f>
        <v>Tabla para formaleta de 1" x 10" x 2,9 m</v>
      </c>
      <c r="E1118" s="322" t="str">
        <f>+'LISTA DE INSUMOS'!C46</f>
        <v>M</v>
      </c>
      <c r="F1118" s="332">
        <v>4</v>
      </c>
      <c r="G1118" s="312">
        <f>'LISTA DE INSUMOS'!E46</f>
        <v>8112.0359999999991</v>
      </c>
      <c r="H1118" s="349">
        <f>1/3</f>
        <v>0.33333333333333331</v>
      </c>
      <c r="I1118" s="312">
        <f>ROUND((F1118*G1118*H1118),0)</f>
        <v>10816</v>
      </c>
      <c r="J1118" s="313"/>
      <c r="K1118" s="323"/>
    </row>
    <row r="1119" spans="2:11" s="317" customFormat="1" ht="24.9" hidden="1" customHeight="1" x14ac:dyDescent="0.2">
      <c r="B1119" s="691"/>
      <c r="C1119" s="322" t="str">
        <f>+'LISTA DE INSUMOS'!A34</f>
        <v>MAT005</v>
      </c>
      <c r="D1119" s="324" t="str">
        <f>+'LISTA DE INSUMOS'!B34</f>
        <v>Piedra media zonga</v>
      </c>
      <c r="E1119" s="322" t="str">
        <f>+'LISTA DE INSUMOS'!C34</f>
        <v>M3</v>
      </c>
      <c r="F1119" s="358">
        <f>0.4*0.15*0.9*1</f>
        <v>5.3999999999999999E-2</v>
      </c>
      <c r="G1119" s="312">
        <f>'LISTA DE INSUMOS'!E34</f>
        <v>120549.00000000001</v>
      </c>
      <c r="H1119" s="349">
        <v>1.03</v>
      </c>
      <c r="I1119" s="312">
        <f>ROUND((F1119*G1119*H1119),0)</f>
        <v>6705</v>
      </c>
      <c r="J1119" s="313"/>
      <c r="K1119" s="323"/>
    </row>
    <row r="1120" spans="2:11" s="317" customFormat="1" ht="24.9" hidden="1" customHeight="1" x14ac:dyDescent="0.2">
      <c r="B1120" s="691"/>
      <c r="C1120" s="322" t="str">
        <f>+'LISTA DE INSUMOS'!A132</f>
        <v>MAT091</v>
      </c>
      <c r="D1120" s="324" t="str">
        <f>+'LISTA DE INSUMOS'!B132</f>
        <v>Varillón de sajo</v>
      </c>
      <c r="E1120" s="322" t="str">
        <f>+'LISTA DE INSUMOS'!C132</f>
        <v>M</v>
      </c>
      <c r="F1120" s="332">
        <v>4.5</v>
      </c>
      <c r="G1120" s="312">
        <f>'LISTA DE INSUMOS'!E132</f>
        <v>2979.6450687603597</v>
      </c>
      <c r="H1120" s="349">
        <f>1/3</f>
        <v>0.33333333333333331</v>
      </c>
      <c r="I1120" s="312">
        <f>ROUND((F1120*G1120*H1120),0)</f>
        <v>4469</v>
      </c>
      <c r="J1120" s="313"/>
      <c r="K1120" s="323"/>
    </row>
    <row r="1121" spans="2:11" s="317" customFormat="1" ht="24.9" hidden="1" customHeight="1" x14ac:dyDescent="0.2">
      <c r="B1121" s="691"/>
      <c r="C1121" s="322" t="str">
        <f>+'LISTA DE INSUMOS'!A52</f>
        <v>MAT021</v>
      </c>
      <c r="D1121" s="324" t="str">
        <f>+'LISTA DE INSUMOS'!B52</f>
        <v>Puntilla (promedio)</v>
      </c>
      <c r="E1121" s="322" t="str">
        <f>+'LISTA DE INSUMOS'!C52</f>
        <v>Lb</v>
      </c>
      <c r="F1121" s="332">
        <v>0.1</v>
      </c>
      <c r="G1121" s="312">
        <f>'LISTA DE INSUMOS'!E52</f>
        <v>6690.6972299999998</v>
      </c>
      <c r="H1121" s="349">
        <v>0</v>
      </c>
      <c r="I1121" s="312">
        <f>ROUND((F1121*G1121),0)</f>
        <v>669</v>
      </c>
      <c r="J1121" s="313"/>
      <c r="K1121" s="323"/>
    </row>
    <row r="1122" spans="2:11" s="317" customFormat="1" ht="24.9" hidden="1" customHeight="1" x14ac:dyDescent="0.2">
      <c r="B1122" s="691"/>
      <c r="C1122" s="322" t="str">
        <f>+'LISTA DE INSUMOS'!A93</f>
        <v>MAT051</v>
      </c>
      <c r="D1122" s="324" t="str">
        <f>+'LISTA DE INSUMOS'!B93</f>
        <v>Antisol blanco</v>
      </c>
      <c r="E1122" s="322" t="str">
        <f>+'LISTA DE INSUMOS'!C93</f>
        <v>Kg</v>
      </c>
      <c r="F1122" s="332">
        <v>0.4</v>
      </c>
      <c r="G1122" s="312">
        <f>'LISTA DE INSUMOS'!E93</f>
        <v>11510.734499999999</v>
      </c>
      <c r="H1122" s="349">
        <v>1.03</v>
      </c>
      <c r="I1122" s="312">
        <f>ROUND((F1122*G1122*H1122),0)</f>
        <v>4742</v>
      </c>
      <c r="J1122" s="313"/>
      <c r="K1122" s="323"/>
    </row>
    <row r="1123" spans="2:11" s="317" customFormat="1" ht="24.9" hidden="1" customHeight="1" x14ac:dyDescent="0.2">
      <c r="B1123" s="691"/>
      <c r="C1123" s="322" t="str">
        <f>+'LISTA DE INSUMOS'!A53</f>
        <v>MAT022</v>
      </c>
      <c r="D1123" s="324" t="str">
        <f>+'LISTA DE INSUMOS'!B53</f>
        <v>Alambre negro calibre 17</v>
      </c>
      <c r="E1123" s="322" t="str">
        <f>+'LISTA DE INSUMOS'!C53</f>
        <v>Kg</v>
      </c>
      <c r="F1123" s="332">
        <v>0.4</v>
      </c>
      <c r="G1123" s="312">
        <f>'LISTA DE INSUMOS'!E53</f>
        <v>7948.98</v>
      </c>
      <c r="H1123" s="349">
        <v>1</v>
      </c>
      <c r="I1123" s="312">
        <f>ROUND((F1123*G1123*H1123),0)</f>
        <v>3180</v>
      </c>
      <c r="J1123" s="313"/>
      <c r="K1123" s="323"/>
    </row>
    <row r="1124" spans="2:11" s="317" customFormat="1" ht="24.9" hidden="1" customHeight="1" x14ac:dyDescent="0.2">
      <c r="B1124" s="691"/>
      <c r="C1124" s="322" t="str">
        <f>+'LISTA DE INSUMOS'!A299</f>
        <v>MAT271</v>
      </c>
      <c r="D1124" s="324" t="str">
        <f>+'LISTA DE INSUMOS'!B299</f>
        <v>Afirmado</v>
      </c>
      <c r="E1124" s="322" t="str">
        <f>+'LISTA DE INSUMOS'!C299</f>
        <v>M3</v>
      </c>
      <c r="F1124" s="332">
        <f>2.7*1*0.1</f>
        <v>0.27</v>
      </c>
      <c r="G1124" s="312">
        <f>'LISTA DE INSUMOS'!E299</f>
        <v>55402.97659875</v>
      </c>
      <c r="H1124" s="349">
        <v>1.3</v>
      </c>
      <c r="I1124" s="312">
        <f>ROUND((F1124*G1124*H1124),0)</f>
        <v>19446</v>
      </c>
      <c r="J1124" s="313"/>
      <c r="K1124" s="323"/>
    </row>
    <row r="1125" spans="2:11" s="317" customFormat="1" ht="24.9" hidden="1" customHeight="1" thickBot="1" x14ac:dyDescent="0.25">
      <c r="B1125" s="691"/>
      <c r="C1125" s="322" t="str">
        <f>+'LISTA DE INSUMOS'!A67</f>
        <v>MAT034</v>
      </c>
      <c r="D1125" s="324" t="str">
        <f>+'LISTA DE INSUMOS'!B67</f>
        <v>ACPM</v>
      </c>
      <c r="E1125" s="322" t="str">
        <f>+'LISTA DE INSUMOS'!C67</f>
        <v>Gl</v>
      </c>
      <c r="F1125" s="332">
        <v>0.2</v>
      </c>
      <c r="G1125" s="312">
        <f>'LISTA DE INSUMOS'!E67</f>
        <v>9681.4499999999989</v>
      </c>
      <c r="H1125" s="349">
        <v>0</v>
      </c>
      <c r="I1125" s="312">
        <f>ROUND((F1125*G1125),0)</f>
        <v>1936</v>
      </c>
      <c r="J1125" s="313"/>
      <c r="K1125" s="323"/>
    </row>
    <row r="1126" spans="2:11" s="317" customFormat="1" ht="24.9" hidden="1" customHeight="1" thickTop="1" x14ac:dyDescent="0.2">
      <c r="B1126" s="729" t="s">
        <v>1310</v>
      </c>
      <c r="C1126" s="322" t="str">
        <f>+B587</f>
        <v>ITE98</v>
      </c>
      <c r="D1126" s="324" t="str">
        <f>+D587</f>
        <v>Acero Fy = 60.000 psi d&gt;1/4"</v>
      </c>
      <c r="E1126" s="322" t="str">
        <f>+E587</f>
        <v>Kg</v>
      </c>
      <c r="F1126" s="332">
        <v>18</v>
      </c>
      <c r="G1126" s="312">
        <f>G587</f>
        <v>7240</v>
      </c>
      <c r="H1126" s="349">
        <v>1</v>
      </c>
      <c r="I1126" s="312">
        <f>ROUND((F1126*G1126*H1126),0)</f>
        <v>130320</v>
      </c>
      <c r="J1126" s="313"/>
      <c r="K1126" s="323"/>
    </row>
    <row r="1127" spans="2:11" s="317" customFormat="1" ht="24.9" hidden="1" customHeight="1" thickBot="1" x14ac:dyDescent="0.25">
      <c r="B1127" s="725"/>
      <c r="C1127" s="322" t="str">
        <f>+B544</f>
        <v>ITE092</v>
      </c>
      <c r="D1127" s="324" t="str">
        <f>+D544</f>
        <v>Concreto de 20,7 Mpa (3000 psi) (producción)</v>
      </c>
      <c r="E1127" s="322" t="str">
        <f>+E544</f>
        <v>M3</v>
      </c>
      <c r="F1127" s="359">
        <v>0.4</v>
      </c>
      <c r="G1127" s="312">
        <f>G544</f>
        <v>596118</v>
      </c>
      <c r="H1127" s="349">
        <v>1.05</v>
      </c>
      <c r="I1127" s="312">
        <f>ROUND((F1127*G1127*H1127),0)</f>
        <v>250370</v>
      </c>
      <c r="J1127" s="313"/>
      <c r="K1127" s="323"/>
    </row>
    <row r="1128" spans="2:11" s="317" customFormat="1" ht="24.9" hidden="1" customHeight="1" thickTop="1" thickBot="1" x14ac:dyDescent="0.25">
      <c r="B1128" s="360" t="s">
        <v>1034</v>
      </c>
      <c r="C1128" s="322" t="str">
        <f>+'LISTA DE INSUMOS'!A9</f>
        <v>MOB006</v>
      </c>
      <c r="D1128" s="324" t="str">
        <f>+'LISTA DE INSUMOS'!B9</f>
        <v>Cuadrilla A 1 Of + 4 Ay (jornal + prestaciones)</v>
      </c>
      <c r="E1128" s="322" t="str">
        <f>+'LISTA DE INSUMOS'!C9</f>
        <v>Día</v>
      </c>
      <c r="F1128" s="332">
        <v>1</v>
      </c>
      <c r="G1128" s="312">
        <f>'LISTA DE INSUMOS'!E9</f>
        <v>491167</v>
      </c>
      <c r="H1128" s="349">
        <f>1/8</f>
        <v>0.125</v>
      </c>
      <c r="I1128" s="312">
        <f>ROUND((F1128*G1128*H1128),0)</f>
        <v>61396</v>
      </c>
      <c r="J1128" s="313"/>
      <c r="K1128" s="323"/>
    </row>
    <row r="1129" spans="2:11" s="317" customFormat="1" ht="24.9" hidden="1" customHeight="1" thickTop="1" thickBot="1" x14ac:dyDescent="0.25">
      <c r="B1129" s="255" t="s">
        <v>1033</v>
      </c>
      <c r="C1129" s="327" t="str">
        <f>+'LISTA DE INSUMOS'!A758</f>
        <v>EQU002</v>
      </c>
      <c r="D1129" s="328" t="str">
        <f>+'LISTA DE INSUMOS'!B758</f>
        <v>Herramienta menor (% mano obra)</v>
      </c>
      <c r="E1129" s="329" t="str">
        <f>+'LISTA DE INSUMOS'!C758</f>
        <v>%MO</v>
      </c>
      <c r="F1129" s="330">
        <v>0.1</v>
      </c>
      <c r="G1129" s="331">
        <f>I1128</f>
        <v>61396</v>
      </c>
      <c r="H1129" s="350">
        <v>0</v>
      </c>
      <c r="I1129" s="331">
        <f>ROUND((F1129*G1129),0)</f>
        <v>6140</v>
      </c>
      <c r="J1129" s="313"/>
      <c r="K1129" s="323"/>
    </row>
    <row r="1130" spans="2:11" ht="24.9" customHeight="1" x14ac:dyDescent="0.2">
      <c r="B1130" s="117" t="s">
        <v>1521</v>
      </c>
      <c r="C1130" s="117"/>
      <c r="D1130" s="112" t="s">
        <v>225</v>
      </c>
      <c r="E1130" s="117" t="s">
        <v>2585</v>
      </c>
      <c r="F1130" s="118"/>
      <c r="G1130" s="119">
        <f>ROUND(SUM(I1130:I1138),0)</f>
        <v>88486</v>
      </c>
      <c r="H1130" s="120"/>
      <c r="I1130" s="119"/>
      <c r="J1130" s="47"/>
      <c r="K1130" s="143"/>
    </row>
    <row r="1131" spans="2:11" ht="24.9" customHeight="1" x14ac:dyDescent="0.2">
      <c r="B1131" s="672" t="s">
        <v>1035</v>
      </c>
      <c r="C1131" s="108" t="str">
        <f>+'LISTA DE INSUMOS'!A46</f>
        <v>MAT017</v>
      </c>
      <c r="D1131" s="139" t="str">
        <f>+'LISTA DE INSUMOS'!B46</f>
        <v>Tabla para formaleta de 1" x 10" x 2,9 m</v>
      </c>
      <c r="E1131" s="108" t="str">
        <f>+'LISTA DE INSUMOS'!C46</f>
        <v>M</v>
      </c>
      <c r="F1131" s="140">
        <v>1</v>
      </c>
      <c r="G1131" s="141">
        <f>'LISTA DE INSUMOS'!E46</f>
        <v>8112.0359999999991</v>
      </c>
      <c r="H1131" s="108">
        <f>1/3</f>
        <v>0.33333333333333331</v>
      </c>
      <c r="I1131" s="141">
        <f>ROUND((F1131*G1131*H1131),0)</f>
        <v>2704</v>
      </c>
      <c r="J1131" s="47"/>
      <c r="K1131" s="143"/>
    </row>
    <row r="1132" spans="2:11" ht="24.9" customHeight="1" x14ac:dyDescent="0.2">
      <c r="B1132" s="672"/>
      <c r="C1132" s="108" t="str">
        <f>+'LISTA DE INSUMOS'!A49</f>
        <v>MAT018</v>
      </c>
      <c r="D1132" s="139" t="str">
        <f>+'LISTA DE INSUMOS'!B49</f>
        <v>Cuartón de sajo 2" x 4" x 2,9 m</v>
      </c>
      <c r="E1132" s="108" t="str">
        <f>+'LISTA DE INSUMOS'!C49</f>
        <v>M</v>
      </c>
      <c r="F1132" s="140">
        <v>0.5</v>
      </c>
      <c r="G1132" s="141">
        <f>'LISTA DE INSUMOS'!E49</f>
        <v>11944.810644542158</v>
      </c>
      <c r="H1132" s="108">
        <f>1/3</f>
        <v>0.33333333333333331</v>
      </c>
      <c r="I1132" s="141">
        <f>ROUND((F1132*G1132*H1132),0)</f>
        <v>1991</v>
      </c>
      <c r="J1132" s="47"/>
      <c r="K1132" s="143"/>
    </row>
    <row r="1133" spans="2:11" ht="24.9" customHeight="1" x14ac:dyDescent="0.2">
      <c r="B1133" s="672"/>
      <c r="C1133" s="108" t="str">
        <f>+'LISTA DE INSUMOS'!A52</f>
        <v>MAT021</v>
      </c>
      <c r="D1133" s="139" t="str">
        <f>+'LISTA DE INSUMOS'!B52</f>
        <v>Puntilla (promedio)</v>
      </c>
      <c r="E1133" s="108" t="str">
        <f>+'LISTA DE INSUMOS'!C52</f>
        <v>Lb</v>
      </c>
      <c r="F1133" s="140">
        <v>0.05</v>
      </c>
      <c r="G1133" s="141">
        <f>+'LISTA DE INSUMOS'!E52</f>
        <v>6690.6972299999998</v>
      </c>
      <c r="H1133" s="108">
        <v>0</v>
      </c>
      <c r="I1133" s="141">
        <f>ROUND((F1133*G1133),0)</f>
        <v>335</v>
      </c>
      <c r="J1133" s="47"/>
      <c r="K1133" s="143"/>
    </row>
    <row r="1134" spans="2:11" ht="24.9" customHeight="1" x14ac:dyDescent="0.2">
      <c r="B1134" s="672"/>
      <c r="C1134" s="108" t="str">
        <f>+'LISTA DE INSUMOS'!A93</f>
        <v>MAT051</v>
      </c>
      <c r="D1134" s="139" t="str">
        <f>+'LISTA DE INSUMOS'!B93</f>
        <v>Antisol blanco</v>
      </c>
      <c r="E1134" s="108" t="str">
        <f>+'LISTA DE INSUMOS'!C93</f>
        <v>Kg</v>
      </c>
      <c r="F1134" s="140">
        <v>0.2</v>
      </c>
      <c r="G1134" s="141">
        <f>+'LISTA DE INSUMOS'!E93</f>
        <v>11510.734499999999</v>
      </c>
      <c r="H1134" s="205">
        <v>1.03</v>
      </c>
      <c r="I1134" s="141">
        <f>ROUND((F1134*G1134*H1134),0)</f>
        <v>2371</v>
      </c>
      <c r="J1134" s="47"/>
      <c r="K1134" s="143"/>
    </row>
    <row r="1135" spans="2:11" ht="24.9" customHeight="1" thickBot="1" x14ac:dyDescent="0.25">
      <c r="B1135" s="673"/>
      <c r="C1135" s="108" t="str">
        <f>+'LISTA DE INSUMOS'!A67</f>
        <v>MAT034</v>
      </c>
      <c r="D1135" s="139" t="str">
        <f>+'LISTA DE INSUMOS'!B67</f>
        <v>ACPM</v>
      </c>
      <c r="E1135" s="108" t="str">
        <f>+'LISTA DE INSUMOS'!C67</f>
        <v>Gl</v>
      </c>
      <c r="F1135" s="140">
        <v>0.05</v>
      </c>
      <c r="G1135" s="141">
        <f>'LISTA DE INSUMOS'!E67</f>
        <v>9681.4499999999989</v>
      </c>
      <c r="H1135" s="205">
        <v>0</v>
      </c>
      <c r="I1135" s="141">
        <f>ROUND((F1135*G1135),0)</f>
        <v>484</v>
      </c>
      <c r="J1135" s="47"/>
      <c r="K1135" s="143"/>
    </row>
    <row r="1136" spans="2:11" ht="24.9" customHeight="1" thickTop="1" thickBot="1" x14ac:dyDescent="0.25">
      <c r="B1136" s="191" t="s">
        <v>1310</v>
      </c>
      <c r="C1136" s="108" t="str">
        <f>+B544</f>
        <v>ITE092</v>
      </c>
      <c r="D1136" s="139" t="str">
        <f>+D544</f>
        <v>Concreto de 20,7 Mpa (3000 psi) (producción)</v>
      </c>
      <c r="E1136" s="108" t="str">
        <f>+E544</f>
        <v>M3</v>
      </c>
      <c r="F1136" s="140">
        <v>0.1</v>
      </c>
      <c r="G1136" s="141">
        <f>G544</f>
        <v>596118</v>
      </c>
      <c r="H1136" s="108">
        <v>1.05</v>
      </c>
      <c r="I1136" s="141">
        <f>ROUND((F1136*G1136*H1136),0)</f>
        <v>62592</v>
      </c>
      <c r="J1136" s="47"/>
      <c r="K1136" s="143"/>
    </row>
    <row r="1137" spans="2:11" ht="24.9" customHeight="1" thickTop="1" thickBot="1" x14ac:dyDescent="0.25">
      <c r="B1137" s="158" t="s">
        <v>1034</v>
      </c>
      <c r="C1137" s="108" t="str">
        <f>+'LISTA DE INSUMOS'!A18</f>
        <v>MOB015</v>
      </c>
      <c r="D1137" s="139" t="str">
        <f>+'LISTA DE INSUMOS'!B18</f>
        <v>Cuadrilla E 1 Of + 1 Ay (jornal + prestaciones)</v>
      </c>
      <c r="E1137" s="108" t="str">
        <f>+'LISTA DE INSUMOS'!C18</f>
        <v>Día</v>
      </c>
      <c r="F1137" s="140">
        <v>1</v>
      </c>
      <c r="G1137" s="141">
        <f>'LISTA DE INSUMOS'!E18</f>
        <v>245584</v>
      </c>
      <c r="H1137" s="108">
        <f>1/15</f>
        <v>6.6666666666666666E-2</v>
      </c>
      <c r="I1137" s="141">
        <f>ROUND((F1137*G1137*H1137),0)</f>
        <v>16372</v>
      </c>
      <c r="J1137" s="47"/>
      <c r="K1137" s="143"/>
    </row>
    <row r="1138" spans="2:11" ht="24.9" customHeight="1" thickTop="1" thickBot="1" x14ac:dyDescent="0.25">
      <c r="B1138" s="150" t="s">
        <v>1033</v>
      </c>
      <c r="C1138" s="151" t="str">
        <f>+'LISTA DE INSUMOS'!A758</f>
        <v>EQU002</v>
      </c>
      <c r="D1138" s="146" t="str">
        <f>+'LISTA DE INSUMOS'!B758</f>
        <v>Herramienta menor (% mano obra)</v>
      </c>
      <c r="E1138" s="145" t="str">
        <f>+'LISTA DE INSUMOS'!C758</f>
        <v>%MO</v>
      </c>
      <c r="F1138" s="147">
        <v>0.1</v>
      </c>
      <c r="G1138" s="148">
        <f>I1137</f>
        <v>16372</v>
      </c>
      <c r="H1138" s="145">
        <v>0</v>
      </c>
      <c r="I1138" s="148">
        <f>ROUND((F1138*G1138),0)</f>
        <v>1637</v>
      </c>
      <c r="J1138" s="47"/>
      <c r="K1138" s="143"/>
    </row>
    <row r="1139" spans="2:11" s="317" customFormat="1" ht="41.25" hidden="1" customHeight="1" x14ac:dyDescent="0.2">
      <c r="B1139" s="319" t="s">
        <v>1434</v>
      </c>
      <c r="C1139" s="319"/>
      <c r="D1139" s="320" t="s">
        <v>433</v>
      </c>
      <c r="E1139" s="319" t="s">
        <v>1412</v>
      </c>
      <c r="F1139" s="332"/>
      <c r="G1139" s="312">
        <f>ROUND(SUM(I1139:I1147),0)</f>
        <v>677148</v>
      </c>
      <c r="H1139" s="322"/>
      <c r="I1139" s="312"/>
      <c r="J1139" s="313"/>
      <c r="K1139" s="323"/>
    </row>
    <row r="1140" spans="2:11" s="317" customFormat="1" ht="24.9" hidden="1" customHeight="1" x14ac:dyDescent="0.2">
      <c r="B1140" s="691" t="s">
        <v>1035</v>
      </c>
      <c r="C1140" s="322" t="str">
        <f>+'LISTA DE INSUMOS'!A50</f>
        <v>MAT019</v>
      </c>
      <c r="D1140" s="324" t="str">
        <f>+'LISTA DE INSUMOS'!B50</f>
        <v>Listón sajo de 5 x 3 cm x 2,5 m (varilla)</v>
      </c>
      <c r="E1140" s="322" t="str">
        <f>+'LISTA DE INSUMOS'!C50</f>
        <v>M</v>
      </c>
      <c r="F1140" s="325">
        <v>10</v>
      </c>
      <c r="G1140" s="312">
        <f>'LISTA DE INSUMOS'!E50</f>
        <v>7285.5458999999992</v>
      </c>
      <c r="H1140" s="322">
        <f>1/3</f>
        <v>0.33333333333333331</v>
      </c>
      <c r="I1140" s="312">
        <f>ROUND((F1140*G1140*H1140),0)</f>
        <v>24285</v>
      </c>
      <c r="J1140" s="313"/>
      <c r="K1140" s="323"/>
    </row>
    <row r="1141" spans="2:11" s="317" customFormat="1" ht="24.9" hidden="1" customHeight="1" x14ac:dyDescent="0.2">
      <c r="B1141" s="691"/>
      <c r="C1141" s="322" t="str">
        <f>+'LISTA DE INSUMOS'!A52</f>
        <v>MAT021</v>
      </c>
      <c r="D1141" s="324" t="str">
        <f>+'LISTA DE INSUMOS'!B52</f>
        <v>Puntilla (promedio)</v>
      </c>
      <c r="E1141" s="322" t="str">
        <f>+'LISTA DE INSUMOS'!C52</f>
        <v>Lb</v>
      </c>
      <c r="F1141" s="325">
        <v>2</v>
      </c>
      <c r="G1141" s="312">
        <f>'LISTA DE INSUMOS'!E52</f>
        <v>6690.6972299999998</v>
      </c>
      <c r="H1141" s="322">
        <v>0</v>
      </c>
      <c r="I1141" s="312">
        <f>ROUND((F1141*G1141),0)</f>
        <v>13381</v>
      </c>
      <c r="J1141" s="313"/>
      <c r="K1141" s="323"/>
    </row>
    <row r="1142" spans="2:11" s="317" customFormat="1" ht="24.9" hidden="1" customHeight="1" x14ac:dyDescent="0.2">
      <c r="B1142" s="691"/>
      <c r="C1142" s="322" t="str">
        <f>+'LISTA DE INSUMOS'!A46</f>
        <v>MAT017</v>
      </c>
      <c r="D1142" s="324" t="str">
        <f>+'LISTA DE INSUMOS'!B46</f>
        <v>Tabla para formaleta de 1" x 10" x 2,9 m</v>
      </c>
      <c r="E1142" s="322" t="str">
        <f>+'LISTA DE INSUMOS'!C46</f>
        <v>M</v>
      </c>
      <c r="F1142" s="325">
        <v>8</v>
      </c>
      <c r="G1142" s="312">
        <f>'LISTA DE INSUMOS'!E46</f>
        <v>8112.0359999999991</v>
      </c>
      <c r="H1142" s="322">
        <f>1/3</f>
        <v>0.33333333333333331</v>
      </c>
      <c r="I1142" s="312">
        <f>ROUND((F1142*G1142*H1142),0)</f>
        <v>21632</v>
      </c>
      <c r="J1142" s="313"/>
      <c r="K1142" s="323"/>
    </row>
    <row r="1143" spans="2:11" s="317" customFormat="1" ht="24.9" hidden="1" customHeight="1" thickBot="1" x14ac:dyDescent="0.25">
      <c r="B1143" s="692"/>
      <c r="C1143" s="322" t="str">
        <f>+'LISTA DE INSUMOS'!A55</f>
        <v>MAT024</v>
      </c>
      <c r="D1143" s="324" t="str">
        <f>+'LISTA DE INSUMOS'!B55</f>
        <v>Tubería de HG de 2" de 1,5 mm</v>
      </c>
      <c r="E1143" s="322" t="str">
        <f>+'LISTA DE INSUMOS'!C55</f>
        <v>M</v>
      </c>
      <c r="F1143" s="325">
        <v>4.2</v>
      </c>
      <c r="G1143" s="312">
        <f>'LISTA DE INSUMOS'!E55</f>
        <v>24104.904833954999</v>
      </c>
      <c r="H1143" s="322">
        <v>0</v>
      </c>
      <c r="I1143" s="312">
        <f>ROUND((F1143*G1143),0)</f>
        <v>101241</v>
      </c>
      <c r="J1143" s="313"/>
      <c r="K1143" s="323"/>
    </row>
    <row r="1144" spans="2:11" s="317" customFormat="1" ht="24.9" hidden="1" customHeight="1" thickTop="1" x14ac:dyDescent="0.2">
      <c r="B1144" s="714" t="s">
        <v>1310</v>
      </c>
      <c r="C1144" s="322" t="str">
        <f>+B544</f>
        <v>ITE092</v>
      </c>
      <c r="D1144" s="324" t="str">
        <f>+D544</f>
        <v>Concreto de 20,7 Mpa (3000 psi) (producción)</v>
      </c>
      <c r="E1144" s="322" t="str">
        <f>+E544</f>
        <v>M3</v>
      </c>
      <c r="F1144" s="325">
        <v>0.27</v>
      </c>
      <c r="G1144" s="312">
        <f>G544</f>
        <v>596118</v>
      </c>
      <c r="H1144" s="322">
        <v>1.05</v>
      </c>
      <c r="I1144" s="312">
        <f>ROUND((F1144*G1144*H1144),0)</f>
        <v>168999</v>
      </c>
      <c r="J1144" s="313"/>
      <c r="K1144" s="323"/>
    </row>
    <row r="1145" spans="2:11" s="317" customFormat="1" ht="24.9" hidden="1" customHeight="1" thickBot="1" x14ac:dyDescent="0.25">
      <c r="B1145" s="715"/>
      <c r="C1145" s="322" t="str">
        <f>+B587</f>
        <v>ITE98</v>
      </c>
      <c r="D1145" s="320" t="str">
        <f>+D587</f>
        <v>Acero Fy = 60.000 psi d&gt;1/4"</v>
      </c>
      <c r="E1145" s="322" t="str">
        <f>+E587</f>
        <v>Kg</v>
      </c>
      <c r="F1145" s="325">
        <v>10.7</v>
      </c>
      <c r="G1145" s="312">
        <f>G587</f>
        <v>7240</v>
      </c>
      <c r="H1145" s="322">
        <v>0</v>
      </c>
      <c r="I1145" s="312">
        <f>ROUND((F1145*G1145),0)</f>
        <v>77468</v>
      </c>
      <c r="J1145" s="313"/>
      <c r="K1145" s="323"/>
    </row>
    <row r="1146" spans="2:11" s="317" customFormat="1" ht="24.9" hidden="1" customHeight="1" thickTop="1" thickBot="1" x14ac:dyDescent="0.25">
      <c r="B1146" s="342" t="s">
        <v>1034</v>
      </c>
      <c r="C1146" s="322" t="str">
        <f>+'LISTA DE INSUMOS'!A9</f>
        <v>MOB006</v>
      </c>
      <c r="D1146" s="324" t="str">
        <f>+'LISTA DE INSUMOS'!B9</f>
        <v>Cuadrilla A 1 Of + 4 Ay (jornal + prestaciones)</v>
      </c>
      <c r="E1146" s="322" t="str">
        <f>+'LISTA DE INSUMOS'!C9</f>
        <v>Día</v>
      </c>
      <c r="F1146" s="325">
        <v>1</v>
      </c>
      <c r="G1146" s="312">
        <f>'LISTA DE INSUMOS'!E9</f>
        <v>491167</v>
      </c>
      <c r="H1146" s="322">
        <f>1/2</f>
        <v>0.5</v>
      </c>
      <c r="I1146" s="312">
        <f>ROUND((F1146*G1146*H1146),0)</f>
        <v>245584</v>
      </c>
      <c r="J1146" s="313"/>
      <c r="K1146" s="323"/>
    </row>
    <row r="1147" spans="2:11" s="317" customFormat="1" ht="24.9" hidden="1" customHeight="1" thickTop="1" thickBot="1" x14ac:dyDescent="0.25">
      <c r="B1147" s="255" t="s">
        <v>1033</v>
      </c>
      <c r="C1147" s="327" t="str">
        <f>+'LISTA DE INSUMOS'!A758</f>
        <v>EQU002</v>
      </c>
      <c r="D1147" s="328" t="str">
        <f>+'LISTA DE INSUMOS'!B758</f>
        <v>Herramienta menor (% mano obra)</v>
      </c>
      <c r="E1147" s="329" t="str">
        <f>+'LISTA DE INSUMOS'!C758</f>
        <v>%MO</v>
      </c>
      <c r="F1147" s="330">
        <v>0.1</v>
      </c>
      <c r="G1147" s="331">
        <f>I1146</f>
        <v>245584</v>
      </c>
      <c r="H1147" s="329">
        <v>0</v>
      </c>
      <c r="I1147" s="331">
        <f>ROUND((F1147*G1147),0)</f>
        <v>24558</v>
      </c>
      <c r="J1147" s="313"/>
      <c r="K1147" s="323"/>
    </row>
    <row r="1148" spans="2:11" ht="24.9" customHeight="1" x14ac:dyDescent="0.2">
      <c r="B1148" s="117" t="s">
        <v>1522</v>
      </c>
      <c r="C1148" s="117"/>
      <c r="D1148" s="112" t="s">
        <v>2243</v>
      </c>
      <c r="E1148" s="117" t="s">
        <v>2585</v>
      </c>
      <c r="F1148" s="149"/>
      <c r="G1148" s="119">
        <f>ROUND(SUM(I1148:I1157),0)</f>
        <v>198281</v>
      </c>
      <c r="H1148" s="120"/>
      <c r="I1148" s="119"/>
      <c r="J1148" s="47"/>
      <c r="K1148" s="143"/>
    </row>
    <row r="1149" spans="2:11" ht="24.9" customHeight="1" x14ac:dyDescent="0.2">
      <c r="B1149" s="672" t="s">
        <v>1035</v>
      </c>
      <c r="C1149" s="108" t="str">
        <f>+'LISTA DE INSUMOS'!A355</f>
        <v>MAT348</v>
      </c>
      <c r="D1149" s="139" t="str">
        <f>+'LISTA DE INSUMOS'!B355</f>
        <v>Steeldeck, C 22 0,94 x 5,60 m e = 0,75 mm</v>
      </c>
      <c r="E1149" s="108" t="str">
        <f>+'LISTA DE INSUMOS'!C355</f>
        <v>M2</v>
      </c>
      <c r="F1149" s="140">
        <v>1</v>
      </c>
      <c r="G1149" s="141">
        <f>'LISTA DE INSUMOS'!E355</f>
        <v>82001.042984519983</v>
      </c>
      <c r="H1149" s="205">
        <v>0</v>
      </c>
      <c r="I1149" s="141">
        <f>ROUND((F1149*G1149),0)</f>
        <v>82001</v>
      </c>
      <c r="J1149" s="47"/>
      <c r="K1149" s="143"/>
    </row>
    <row r="1150" spans="2:11" ht="24.9" customHeight="1" x14ac:dyDescent="0.2">
      <c r="B1150" s="672"/>
      <c r="C1150" s="108" t="str">
        <f>+'LISTA DE INSUMOS'!A93</f>
        <v>MAT051</v>
      </c>
      <c r="D1150" s="139" t="str">
        <f>+'LISTA DE INSUMOS'!B93</f>
        <v>Antisol blanco</v>
      </c>
      <c r="E1150" s="108" t="str">
        <f>+'LISTA DE INSUMOS'!C93</f>
        <v>Kg</v>
      </c>
      <c r="F1150" s="140">
        <v>0.2</v>
      </c>
      <c r="G1150" s="141">
        <f>+'LISTA DE INSUMOS'!E93</f>
        <v>11510.734499999999</v>
      </c>
      <c r="H1150" s="205">
        <v>1.03</v>
      </c>
      <c r="I1150" s="141">
        <f>ROUND((F1150*G1150*H1150),0)</f>
        <v>2371</v>
      </c>
      <c r="J1150" s="47"/>
      <c r="K1150" s="143"/>
    </row>
    <row r="1151" spans="2:11" ht="24.9" customHeight="1" thickBot="1" x14ac:dyDescent="0.25">
      <c r="B1151" s="673"/>
      <c r="C1151" s="108" t="str">
        <f>+'LISTA DE INSUMOS'!A361</f>
        <v>MAT354</v>
      </c>
      <c r="D1151" s="139" t="str">
        <f>+'LISTA DE INSUMOS'!B361</f>
        <v>Malla Electr 4x4mm 15x15cm 2.35x6m Diaco</v>
      </c>
      <c r="E1151" s="108" t="str">
        <f>+'LISTA DE INSUMOS'!C361</f>
        <v>kg</v>
      </c>
      <c r="F1151" s="140">
        <v>1</v>
      </c>
      <c r="G1151" s="141">
        <f>'LISTA DE INSUMOS'!E361</f>
        <v>8348.5787547624004</v>
      </c>
      <c r="H1151" s="205">
        <v>1.05</v>
      </c>
      <c r="I1151" s="141">
        <f>ROUND((F1151*G1151*H1151),0)</f>
        <v>8766</v>
      </c>
      <c r="J1151" s="47"/>
      <c r="K1151" s="143"/>
    </row>
    <row r="1152" spans="2:11" ht="24.9" customHeight="1" thickTop="1" thickBot="1" x14ac:dyDescent="0.25">
      <c r="B1152" s="191" t="s">
        <v>1310</v>
      </c>
      <c r="C1152" s="108" t="str">
        <f>+B544</f>
        <v>ITE092</v>
      </c>
      <c r="D1152" s="139" t="str">
        <f>+D544</f>
        <v>Concreto de 20,7 Mpa (3000 psi) (producción)</v>
      </c>
      <c r="E1152" s="108" t="str">
        <f>+E544</f>
        <v>M3</v>
      </c>
      <c r="F1152" s="140">
        <v>0.08</v>
      </c>
      <c r="G1152" s="141">
        <f>G544</f>
        <v>596118</v>
      </c>
      <c r="H1152" s="205">
        <v>1.05</v>
      </c>
      <c r="I1152" s="141">
        <f>ROUND((F1152*G1152*H1152),0)</f>
        <v>50074</v>
      </c>
      <c r="J1152" s="47"/>
      <c r="K1152" s="143"/>
    </row>
    <row r="1153" spans="2:11" ht="24.9" customHeight="1" thickTop="1" thickBot="1" x14ac:dyDescent="0.25">
      <c r="B1153" s="158" t="s">
        <v>1034</v>
      </c>
      <c r="C1153" s="108" t="str">
        <f>+'LISTA DE INSUMOS'!A9</f>
        <v>MOB006</v>
      </c>
      <c r="D1153" s="139" t="str">
        <f>+'LISTA DE INSUMOS'!B9</f>
        <v>Cuadrilla A 1 Of + 4 Ay (jornal + prestaciones)</v>
      </c>
      <c r="E1153" s="108" t="str">
        <f>+'LISTA DE INSUMOS'!C9</f>
        <v>Día</v>
      </c>
      <c r="F1153" s="140">
        <v>1</v>
      </c>
      <c r="G1153" s="141">
        <f>'LISTA DE INSUMOS'!E9</f>
        <v>491167</v>
      </c>
      <c r="H1153" s="219">
        <v>0.08</v>
      </c>
      <c r="I1153" s="141">
        <f>ROUND((F1153*G1153*H1153),0)</f>
        <v>39293</v>
      </c>
      <c r="J1153" s="47"/>
      <c r="K1153" s="143"/>
    </row>
    <row r="1154" spans="2:11" ht="24.9" customHeight="1" thickTop="1" x14ac:dyDescent="0.2">
      <c r="B1154" s="674" t="s">
        <v>1033</v>
      </c>
      <c r="C1154" s="108" t="str">
        <f>+'LISTA DE INSUMOS'!A758</f>
        <v>EQU002</v>
      </c>
      <c r="D1154" s="139" t="str">
        <f>+'LISTA DE INSUMOS'!B758</f>
        <v>Herramienta menor (% mano obra)</v>
      </c>
      <c r="E1154" s="108" t="str">
        <f>+'LISTA DE INSUMOS'!C758</f>
        <v>%MO</v>
      </c>
      <c r="F1154" s="140">
        <v>0.1</v>
      </c>
      <c r="G1154" s="141">
        <f>I1153</f>
        <v>39293</v>
      </c>
      <c r="H1154" s="205">
        <v>0</v>
      </c>
      <c r="I1154" s="141">
        <f>ROUND((F1154*G1154),0)</f>
        <v>3929</v>
      </c>
      <c r="J1154" s="47"/>
      <c r="K1154" s="143"/>
    </row>
    <row r="1155" spans="2:11" ht="24.9" customHeight="1" x14ac:dyDescent="0.2">
      <c r="B1155" s="679"/>
      <c r="C1155" s="108" t="str">
        <f>+'LISTA DE INSUMOS'!A775</f>
        <v>EQU018</v>
      </c>
      <c r="D1155" s="139" t="str">
        <f>+'LISTA DE INSUMOS'!B775</f>
        <v>Vibrador eléctrico o a gasolina</v>
      </c>
      <c r="E1155" s="108" t="str">
        <f>+'LISTA DE INSUMOS'!C775</f>
        <v>Día</v>
      </c>
      <c r="F1155" s="140">
        <v>1</v>
      </c>
      <c r="G1155" s="141">
        <f>'LISTA DE INSUMOS'!E775</f>
        <v>42234.2781968536</v>
      </c>
      <c r="H1155" s="205">
        <f>1/50</f>
        <v>0.02</v>
      </c>
      <c r="I1155" s="141">
        <f>ROUND((F1155*G1155*H1155),0)</f>
        <v>845</v>
      </c>
      <c r="J1155" s="47"/>
      <c r="K1155" s="143"/>
    </row>
    <row r="1156" spans="2:11" ht="24.9" customHeight="1" thickBot="1" x14ac:dyDescent="0.25">
      <c r="B1156" s="675"/>
      <c r="C1156" s="108" t="str">
        <f>+'LISTA DE INSUMOS'!A763</f>
        <v>EQU007</v>
      </c>
      <c r="D1156" s="139" t="str">
        <f>+'LISTA DE INSUMOS'!B763</f>
        <v>Taco metálico de 2 - &gt;3 m</v>
      </c>
      <c r="E1156" s="108" t="str">
        <f>+'LISTA DE INSUMOS'!C763</f>
        <v>Día</v>
      </c>
      <c r="F1156" s="160">
        <v>4</v>
      </c>
      <c r="G1156" s="141">
        <f>'LISTA DE INSUMOS'!E763</f>
        <v>281.17022786424002</v>
      </c>
      <c r="H1156" s="205">
        <v>2</v>
      </c>
      <c r="I1156" s="141">
        <f>ROUND((F1156*G1156*H1156),0)</f>
        <v>2249</v>
      </c>
      <c r="J1156" s="47"/>
      <c r="K1156" s="143"/>
    </row>
    <row r="1157" spans="2:11" ht="24.9" customHeight="1" thickTop="1" thickBot="1" x14ac:dyDescent="0.25">
      <c r="B1157" s="171" t="s">
        <v>421</v>
      </c>
      <c r="C1157" s="145" t="str">
        <f>+'LISTA DE INSUMOS'!A823</f>
        <v>ESY001</v>
      </c>
      <c r="D1157" s="146" t="str">
        <f>+'LISTA DE INSUMOS'!B823</f>
        <v>Ensayo resistencia concretos (un testigo)</v>
      </c>
      <c r="E1157" s="145" t="str">
        <f>+'LISTA DE INSUMOS'!C823</f>
        <v>Un</v>
      </c>
      <c r="F1157" s="172">
        <f>1/10*3</f>
        <v>0.30000000000000004</v>
      </c>
      <c r="G1157" s="173">
        <f>'LISTA DE INSUMOS'!E823</f>
        <v>29175.946249999997</v>
      </c>
      <c r="H1157" s="206">
        <v>0</v>
      </c>
      <c r="I1157" s="148">
        <f>ROUND((F1157*G1157),0)</f>
        <v>8753</v>
      </c>
      <c r="J1157" s="47"/>
      <c r="K1157" s="143"/>
    </row>
    <row r="1158" spans="2:11" ht="24.9" customHeight="1" x14ac:dyDescent="0.2">
      <c r="B1158" s="117" t="s">
        <v>1625</v>
      </c>
      <c r="C1158" s="193"/>
      <c r="D1158" s="221" t="s">
        <v>434</v>
      </c>
      <c r="E1158" s="193" t="s">
        <v>2585</v>
      </c>
      <c r="F1158" s="222"/>
      <c r="G1158" s="119">
        <f>ROUND(SUM(I1158:I1165),0)</f>
        <v>213860</v>
      </c>
      <c r="H1158" s="120"/>
      <c r="I1158" s="119"/>
      <c r="J1158" s="47"/>
      <c r="K1158" s="143"/>
    </row>
    <row r="1159" spans="2:11" ht="24.9" customHeight="1" thickBot="1" x14ac:dyDescent="0.25">
      <c r="B1159" s="227" t="s">
        <v>1325</v>
      </c>
      <c r="C1159" s="108" t="str">
        <f>+'LISTA DE INSUMOS'!A93</f>
        <v>MAT051</v>
      </c>
      <c r="D1159" s="139" t="str">
        <f>+'LISTA DE INSUMOS'!B93</f>
        <v>Antisol blanco</v>
      </c>
      <c r="E1159" s="108" t="str">
        <f>+'LISTA DE INSUMOS'!C93</f>
        <v>Kg</v>
      </c>
      <c r="F1159" s="140">
        <f>1/5</f>
        <v>0.2</v>
      </c>
      <c r="G1159" s="141">
        <f>+'LISTA DE INSUMOS'!E93</f>
        <v>11510.734499999999</v>
      </c>
      <c r="H1159" s="108">
        <v>1.03</v>
      </c>
      <c r="I1159" s="141">
        <f>ROUND((F1159*G1159*H1159),0)</f>
        <v>2371</v>
      </c>
      <c r="J1159" s="47"/>
      <c r="K1159" s="143"/>
    </row>
    <row r="1160" spans="2:11" ht="24.9" customHeight="1" thickTop="1" x14ac:dyDescent="0.2">
      <c r="B1160" s="685" t="s">
        <v>1310</v>
      </c>
      <c r="C1160" s="108" t="str">
        <f>+B544</f>
        <v>ITE092</v>
      </c>
      <c r="D1160" s="139" t="str">
        <f>+D544</f>
        <v>Concreto de 20,7 Mpa (3000 psi) (producción)</v>
      </c>
      <c r="E1160" s="108" t="str">
        <f>+E544</f>
        <v>M3</v>
      </c>
      <c r="F1160" s="140">
        <v>0.2</v>
      </c>
      <c r="G1160" s="141">
        <f>G544</f>
        <v>596118</v>
      </c>
      <c r="H1160" s="205">
        <v>1.05</v>
      </c>
      <c r="I1160" s="141">
        <f>ROUND((F1160*G1160*H1160),0)</f>
        <v>125185</v>
      </c>
      <c r="J1160" s="47"/>
      <c r="K1160" s="143"/>
    </row>
    <row r="1161" spans="2:11" ht="24.9" customHeight="1" thickBot="1" x14ac:dyDescent="0.25">
      <c r="B1161" s="707"/>
      <c r="C1161" s="108" t="str">
        <f>+B1407</f>
        <v>ITE184</v>
      </c>
      <c r="D1161" s="139" t="str">
        <f>+D1407</f>
        <v>Formaleta placa (básico)</v>
      </c>
      <c r="E1161" s="108" t="str">
        <f>+E1407</f>
        <v>M2</v>
      </c>
      <c r="F1161" s="140">
        <v>1</v>
      </c>
      <c r="G1161" s="141">
        <f>G1407</f>
        <v>176092</v>
      </c>
      <c r="H1161" s="205">
        <f>1/3</f>
        <v>0.33333333333333331</v>
      </c>
      <c r="I1161" s="141">
        <f>ROUND((F1161*G1161*H1161),0)</f>
        <v>58697</v>
      </c>
      <c r="J1161" s="47"/>
      <c r="K1161" s="143"/>
    </row>
    <row r="1162" spans="2:11" ht="24.9" customHeight="1" thickTop="1" thickBot="1" x14ac:dyDescent="0.25">
      <c r="B1162" s="158" t="s">
        <v>1034</v>
      </c>
      <c r="C1162" s="108" t="str">
        <f>+'LISTA DE INSUMOS'!A17</f>
        <v>MOB014</v>
      </c>
      <c r="D1162" s="139" t="str">
        <f>+'LISTA DE INSUMOS'!B17</f>
        <v>Cuadrilla D 2 Of + 4 Ay (jornal + prestaciones)</v>
      </c>
      <c r="E1162" s="108" t="str">
        <f>+'LISTA DE INSUMOS'!C17</f>
        <v>Día</v>
      </c>
      <c r="F1162" s="140">
        <v>1</v>
      </c>
      <c r="G1162" s="141">
        <f>'LISTA DE INSUMOS'!E17</f>
        <v>654890</v>
      </c>
      <c r="H1162" s="205">
        <f>1/40</f>
        <v>2.5000000000000001E-2</v>
      </c>
      <c r="I1162" s="141">
        <f>ROUND((F1162*G1162*H1162),0)</f>
        <v>16372</v>
      </c>
      <c r="J1162" s="47"/>
      <c r="K1162" s="143"/>
    </row>
    <row r="1163" spans="2:11" ht="24.9" customHeight="1" thickTop="1" x14ac:dyDescent="0.2">
      <c r="B1163" s="674" t="s">
        <v>1033</v>
      </c>
      <c r="C1163" s="108" t="str">
        <f>+'LISTA DE INSUMOS'!A758</f>
        <v>EQU002</v>
      </c>
      <c r="D1163" s="139" t="str">
        <f>+'LISTA DE INSUMOS'!B758</f>
        <v>Herramienta menor (% mano obra)</v>
      </c>
      <c r="E1163" s="108" t="str">
        <f>+'LISTA DE INSUMOS'!C758</f>
        <v>%MO</v>
      </c>
      <c r="F1163" s="140">
        <v>0.1</v>
      </c>
      <c r="G1163" s="141">
        <f>I1162</f>
        <v>16372</v>
      </c>
      <c r="H1163" s="205">
        <v>0</v>
      </c>
      <c r="I1163" s="141">
        <f>ROUND((F1163*G1163),0)</f>
        <v>1637</v>
      </c>
      <c r="J1163" s="47"/>
      <c r="K1163" s="143"/>
    </row>
    <row r="1164" spans="2:11" ht="24.9" customHeight="1" thickBot="1" x14ac:dyDescent="0.25">
      <c r="B1164" s="675"/>
      <c r="C1164" s="108" t="str">
        <f>+'LISTA DE INSUMOS'!A775</f>
        <v>EQU018</v>
      </c>
      <c r="D1164" s="139" t="str">
        <f>+'LISTA DE INSUMOS'!B775</f>
        <v>Vibrador eléctrico o a gasolina</v>
      </c>
      <c r="E1164" s="108" t="str">
        <f>+'LISTA DE INSUMOS'!C775</f>
        <v>Día</v>
      </c>
      <c r="F1164" s="160">
        <v>1</v>
      </c>
      <c r="G1164" s="141">
        <f>'LISTA DE INSUMOS'!E775</f>
        <v>42234.2781968536</v>
      </c>
      <c r="H1164" s="219">
        <f>1/50</f>
        <v>0.02</v>
      </c>
      <c r="I1164" s="141">
        <f>ROUND((F1164*G1164*H1164),0)</f>
        <v>845</v>
      </c>
      <c r="J1164" s="47"/>
      <c r="K1164" s="143"/>
    </row>
    <row r="1165" spans="2:11" ht="24.9" customHeight="1" thickTop="1" thickBot="1" x14ac:dyDescent="0.25">
      <c r="B1165" s="171" t="s">
        <v>421</v>
      </c>
      <c r="C1165" s="145" t="str">
        <f>+'LISTA DE INSUMOS'!A823</f>
        <v>ESY001</v>
      </c>
      <c r="D1165" s="146" t="str">
        <f>+'LISTA DE INSUMOS'!B823</f>
        <v>Ensayo resistencia concretos (un testigo)</v>
      </c>
      <c r="E1165" s="145" t="str">
        <f>+'LISTA DE INSUMOS'!C823</f>
        <v>Un</v>
      </c>
      <c r="F1165" s="172">
        <f>1/10*3</f>
        <v>0.30000000000000004</v>
      </c>
      <c r="G1165" s="173">
        <f>'LISTA DE INSUMOS'!E823</f>
        <v>29175.946249999997</v>
      </c>
      <c r="H1165" s="206">
        <v>0</v>
      </c>
      <c r="I1165" s="148">
        <f>ROUND((F1165*G1165),0)</f>
        <v>8753</v>
      </c>
      <c r="J1165" s="47"/>
      <c r="K1165" s="143"/>
    </row>
    <row r="1166" spans="2:11" ht="42.75" customHeight="1" x14ac:dyDescent="0.2">
      <c r="B1166" s="117" t="s">
        <v>1624</v>
      </c>
      <c r="C1166" s="117"/>
      <c r="D1166" s="112" t="s">
        <v>226</v>
      </c>
      <c r="E1166" s="117" t="s">
        <v>2585</v>
      </c>
      <c r="F1166" s="118"/>
      <c r="G1166" s="119">
        <f>ROUND(SUM(I1167:I1178),0)</f>
        <v>222505</v>
      </c>
      <c r="H1166" s="120"/>
      <c r="I1166" s="119"/>
      <c r="J1166" s="47"/>
      <c r="K1166" s="143"/>
    </row>
    <row r="1167" spans="2:11" ht="24.9" customHeight="1" x14ac:dyDescent="0.2">
      <c r="B1167" s="672" t="s">
        <v>1035</v>
      </c>
      <c r="C1167" s="108" t="str">
        <f>+'LISTA DE INSUMOS'!A93</f>
        <v>MAT051</v>
      </c>
      <c r="D1167" s="139" t="str">
        <f>+'LISTA DE INSUMOS'!B93</f>
        <v>Antisol blanco</v>
      </c>
      <c r="E1167" s="108" t="str">
        <f>+'LISTA DE INSUMOS'!C93</f>
        <v>Kg</v>
      </c>
      <c r="F1167" s="140">
        <f>1/5</f>
        <v>0.2</v>
      </c>
      <c r="G1167" s="141">
        <f>'LISTA DE INSUMOS'!E93</f>
        <v>11510.734499999999</v>
      </c>
      <c r="H1167" s="108">
        <v>1.03</v>
      </c>
      <c r="I1167" s="141">
        <f>ROUND((F1167*G1167*H1167),0)</f>
        <v>2371</v>
      </c>
      <c r="J1167" s="47"/>
      <c r="K1167" s="143"/>
    </row>
    <row r="1168" spans="2:11" ht="42.75" customHeight="1" x14ac:dyDescent="0.2">
      <c r="B1168" s="672"/>
      <c r="C1168" s="108" t="str">
        <f>+'LISTA DE INSUMOS'!A267</f>
        <v>MAT237</v>
      </c>
      <c r="D1168" s="139" t="str">
        <f>+'LISTA DE INSUMOS'!B267</f>
        <v>Manguera negra 1" rollo x 100 m</v>
      </c>
      <c r="E1168" s="108" t="str">
        <f>+'LISTA DE INSUMOS'!C267</f>
        <v>M</v>
      </c>
      <c r="F1168" s="176">
        <v>4</v>
      </c>
      <c r="G1168" s="141">
        <f>'LISTA DE INSUMOS'!E267</f>
        <v>1886.8304925624</v>
      </c>
      <c r="H1168" s="108">
        <v>0</v>
      </c>
      <c r="I1168" s="141">
        <f>ROUND((F1168*G1168),0)</f>
        <v>7547</v>
      </c>
      <c r="J1168" s="47"/>
      <c r="K1168" s="143"/>
    </row>
    <row r="1169" spans="2:11" ht="24.9" customHeight="1" x14ac:dyDescent="0.2">
      <c r="B1169" s="702" t="s">
        <v>1310</v>
      </c>
      <c r="C1169" s="108" t="str">
        <f>+B535</f>
        <v>ITE091</v>
      </c>
      <c r="D1169" s="167" t="str">
        <f>+D535</f>
        <v>Concreto de 27,6 Mpa (4000 psi) (producción)</v>
      </c>
      <c r="E1169" s="108" t="str">
        <f>+E535</f>
        <v>M3</v>
      </c>
      <c r="F1169" s="140">
        <v>0.2</v>
      </c>
      <c r="G1169" s="141">
        <f>+G535</f>
        <v>643985</v>
      </c>
      <c r="H1169" s="108">
        <v>1.05</v>
      </c>
      <c r="I1169" s="141">
        <f>ROUND((F1169*G1169*H1169),0)</f>
        <v>135237</v>
      </c>
      <c r="J1169" s="47"/>
      <c r="K1169" s="143"/>
    </row>
    <row r="1170" spans="2:11" ht="24.9" customHeight="1" x14ac:dyDescent="0.2">
      <c r="B1170" s="702"/>
      <c r="C1170" s="108" t="str">
        <f>+B4090</f>
        <v>ITE383</v>
      </c>
      <c r="D1170" s="167" t="str">
        <f>+D4090</f>
        <v>Sello de junta para pavimento</v>
      </c>
      <c r="E1170" s="108" t="str">
        <f>+E4090</f>
        <v>M</v>
      </c>
      <c r="F1170" s="140">
        <v>0.64</v>
      </c>
      <c r="G1170" s="141">
        <f>G4090</f>
        <v>1773</v>
      </c>
      <c r="H1170" s="108">
        <v>0</v>
      </c>
      <c r="I1170" s="141">
        <f>ROUND((F1170*G1170),0)</f>
        <v>1135</v>
      </c>
      <c r="J1170" s="47"/>
      <c r="K1170" s="143"/>
    </row>
    <row r="1171" spans="2:11" ht="24.9" customHeight="1" x14ac:dyDescent="0.2">
      <c r="B1171" s="702"/>
      <c r="C1171" s="108" t="str">
        <f>+B587</f>
        <v>ITE98</v>
      </c>
      <c r="D1171" s="167" t="str">
        <f>+'ANALISIS UNITARIOS'!D587</f>
        <v>Acero Fy = 60.000 psi d&gt;1/4"</v>
      </c>
      <c r="E1171" s="108" t="str">
        <f>+E587</f>
        <v>Kg</v>
      </c>
      <c r="F1171" s="140">
        <v>2.2999999999999998</v>
      </c>
      <c r="G1171" s="141">
        <f>G587</f>
        <v>7240</v>
      </c>
      <c r="H1171" s="108">
        <v>0</v>
      </c>
      <c r="I1171" s="141">
        <f>ROUND((F1171*G1171),0)</f>
        <v>16652</v>
      </c>
      <c r="J1171" s="47"/>
      <c r="K1171" s="143"/>
    </row>
    <row r="1172" spans="2:11" ht="24.9" customHeight="1" thickBot="1" x14ac:dyDescent="0.25">
      <c r="B1172" s="703"/>
      <c r="C1172" s="108" t="str">
        <f>+B452</f>
        <v>ITE073</v>
      </c>
      <c r="D1172" s="167" t="str">
        <f>+D452</f>
        <v>Corte de pavimento rígido con cortadora autopropulsada</v>
      </c>
      <c r="E1172" s="108" t="str">
        <f>+E452</f>
        <v>M</v>
      </c>
      <c r="F1172" s="140">
        <v>0.64</v>
      </c>
      <c r="G1172" s="141">
        <f>'ANALISIS UNITARIOS'!G452</f>
        <v>13164</v>
      </c>
      <c r="H1172" s="108">
        <v>0</v>
      </c>
      <c r="I1172" s="141">
        <f>ROUND((F1172*G1172),0)</f>
        <v>8425</v>
      </c>
      <c r="J1172" s="47"/>
      <c r="K1172" s="143"/>
    </row>
    <row r="1173" spans="2:11" ht="24.9" customHeight="1" thickTop="1" thickBot="1" x14ac:dyDescent="0.25">
      <c r="B1173" s="158" t="s">
        <v>1034</v>
      </c>
      <c r="C1173" s="125" t="str">
        <f>+'LISTA DE INSUMOS'!A16</f>
        <v>MOB013</v>
      </c>
      <c r="D1173" s="155" t="str">
        <f>+'LISTA DE INSUMOS'!B16</f>
        <v>Cuadrilla C 1 Of + 7 Ay (jornal + prestaciones)</v>
      </c>
      <c r="E1173" s="125" t="str">
        <f>+'LISTA DE INSUMOS'!C16</f>
        <v>Día</v>
      </c>
      <c r="F1173" s="140">
        <v>1</v>
      </c>
      <c r="G1173" s="141">
        <f>'LISTA DE INSUMOS'!E16</f>
        <v>736750</v>
      </c>
      <c r="H1173" s="168">
        <f>1/20</f>
        <v>0.05</v>
      </c>
      <c r="I1173" s="141">
        <f>ROUND((F1173*G1173*H1173),0)</f>
        <v>36838</v>
      </c>
      <c r="J1173" s="47"/>
      <c r="K1173" s="143"/>
    </row>
    <row r="1174" spans="2:11" ht="24.9" customHeight="1" thickTop="1" x14ac:dyDescent="0.2">
      <c r="B1174" s="674" t="s">
        <v>1033</v>
      </c>
      <c r="C1174" s="108" t="str">
        <f>+'LISTA DE INSUMOS'!A758</f>
        <v>EQU002</v>
      </c>
      <c r="D1174" s="139" t="str">
        <f>+'LISTA DE INSUMOS'!B758</f>
        <v>Herramienta menor (% mano obra)</v>
      </c>
      <c r="E1174" s="108" t="str">
        <f>+'LISTA DE INSUMOS'!C758</f>
        <v>%MO</v>
      </c>
      <c r="F1174" s="140">
        <v>0.1</v>
      </c>
      <c r="G1174" s="141">
        <f>SUM(I1173:I1173)</f>
        <v>36838</v>
      </c>
      <c r="H1174" s="108">
        <v>0</v>
      </c>
      <c r="I1174" s="141">
        <f>ROUND((F1174*G1174),0)</f>
        <v>3684</v>
      </c>
      <c r="J1174" s="47"/>
      <c r="K1174" s="143"/>
    </row>
    <row r="1175" spans="2:11" ht="24.9" customHeight="1" x14ac:dyDescent="0.2">
      <c r="B1175" s="679"/>
      <c r="C1175" s="108" t="str">
        <f>+'LISTA DE INSUMOS'!A775</f>
        <v>EQU018</v>
      </c>
      <c r="D1175" s="139" t="str">
        <f>+'LISTA DE INSUMOS'!B775</f>
        <v>Vibrador eléctrico o a gasolina</v>
      </c>
      <c r="E1175" s="108" t="str">
        <f>+'LISTA DE INSUMOS'!C775</f>
        <v>Día</v>
      </c>
      <c r="F1175" s="160">
        <v>1</v>
      </c>
      <c r="G1175" s="141">
        <f>'LISTA DE INSUMOS'!E775</f>
        <v>42234.2781968536</v>
      </c>
      <c r="H1175" s="168">
        <f>1/80</f>
        <v>1.2500000000000001E-2</v>
      </c>
      <c r="I1175" s="141">
        <f>ROUND((F1175*G1175*H1175),0)</f>
        <v>528</v>
      </c>
      <c r="J1175" s="47"/>
      <c r="K1175" s="143"/>
    </row>
    <row r="1176" spans="2:11" ht="24.9" customHeight="1" x14ac:dyDescent="0.2">
      <c r="B1176" s="679"/>
      <c r="C1176" s="108" t="str">
        <f>+'LISTA DE INSUMOS'!A783</f>
        <v>EQU026</v>
      </c>
      <c r="D1176" s="139" t="str">
        <f>+'LISTA DE INSUMOS'!B783</f>
        <v>Regla vibradora</v>
      </c>
      <c r="E1176" s="108" t="str">
        <f>+'LISTA DE INSUMOS'!C783</f>
        <v>Día</v>
      </c>
      <c r="F1176" s="140">
        <v>1</v>
      </c>
      <c r="G1176" s="141">
        <f>'LISTA DE INSUMOS'!E783</f>
        <v>46728.195513999992</v>
      </c>
      <c r="H1176" s="168">
        <f>1/80</f>
        <v>1.2500000000000001E-2</v>
      </c>
      <c r="I1176" s="141">
        <f>ROUND((F1176*G1176*H1176),0)</f>
        <v>584</v>
      </c>
      <c r="J1176" s="47"/>
      <c r="K1176" s="143"/>
    </row>
    <row r="1177" spans="2:11" ht="24.9" customHeight="1" thickBot="1" x14ac:dyDescent="0.25">
      <c r="B1177" s="675"/>
      <c r="C1177" s="108" t="str">
        <f>+'LISTA DE INSUMOS'!A784</f>
        <v>EQU027</v>
      </c>
      <c r="D1177" s="139" t="str">
        <f>+'LISTA DE INSUMOS'!B784</f>
        <v>Formaleta pavimento concreto 3 ml</v>
      </c>
      <c r="E1177" s="108" t="str">
        <f>+'LISTA DE INSUMOS'!C784</f>
        <v>Día</v>
      </c>
      <c r="F1177" s="160">
        <v>1</v>
      </c>
      <c r="G1177" s="141">
        <f>'LISTA DE INSUMOS'!E784</f>
        <v>3756.218687707199</v>
      </c>
      <c r="H1177" s="108">
        <f>1/5</f>
        <v>0.2</v>
      </c>
      <c r="I1177" s="141">
        <f>ROUND((F1177*G1177*H1177),0)</f>
        <v>751</v>
      </c>
      <c r="J1177" s="47"/>
      <c r="K1177" s="143"/>
    </row>
    <row r="1178" spans="2:11" ht="24.9" customHeight="1" thickTop="1" thickBot="1" x14ac:dyDescent="0.25">
      <c r="B1178" s="171" t="s">
        <v>421</v>
      </c>
      <c r="C1178" s="145" t="str">
        <f>+'LISTA DE INSUMOS'!A823</f>
        <v>ESY001</v>
      </c>
      <c r="D1178" s="146" t="str">
        <f>+'LISTA DE INSUMOS'!B823</f>
        <v>Ensayo resistencia concretos (un testigo)</v>
      </c>
      <c r="E1178" s="145" t="str">
        <f>+'LISTA DE INSUMOS'!C823</f>
        <v>Un</v>
      </c>
      <c r="F1178" s="172">
        <f>1/10*3</f>
        <v>0.30000000000000004</v>
      </c>
      <c r="G1178" s="173">
        <f>'LISTA DE INSUMOS'!E823</f>
        <v>29175.946249999997</v>
      </c>
      <c r="H1178" s="206">
        <v>0</v>
      </c>
      <c r="I1178" s="148">
        <f>ROUND((F1178*G1178),0)</f>
        <v>8753</v>
      </c>
      <c r="J1178" s="47"/>
      <c r="K1178" s="143"/>
    </row>
    <row r="1179" spans="2:11" ht="53.25" customHeight="1" x14ac:dyDescent="0.2">
      <c r="B1179" s="117" t="s">
        <v>1852</v>
      </c>
      <c r="C1179" s="117"/>
      <c r="D1179" s="112" t="s">
        <v>227</v>
      </c>
      <c r="E1179" s="117" t="s">
        <v>2585</v>
      </c>
      <c r="F1179" s="118"/>
      <c r="G1179" s="119">
        <f>ROUND(SUM(I1180:I1191),0)</f>
        <v>196850</v>
      </c>
      <c r="H1179" s="120"/>
      <c r="I1179" s="119"/>
      <c r="J1179" s="47"/>
      <c r="K1179" s="143"/>
    </row>
    <row r="1180" spans="2:11" ht="30" customHeight="1" x14ac:dyDescent="0.2">
      <c r="B1180" s="672" t="s">
        <v>1035</v>
      </c>
      <c r="C1180" s="108" t="str">
        <f>+'LISTA DE INSUMOS'!A93</f>
        <v>MAT051</v>
      </c>
      <c r="D1180" s="139" t="str">
        <f>+'LISTA DE INSUMOS'!B93</f>
        <v>Antisol blanco</v>
      </c>
      <c r="E1180" s="108" t="str">
        <f>+'LISTA DE INSUMOS'!C93</f>
        <v>Kg</v>
      </c>
      <c r="F1180" s="140">
        <f>1/5</f>
        <v>0.2</v>
      </c>
      <c r="G1180" s="141">
        <f>'LISTA DE INSUMOS'!E93</f>
        <v>11510.734499999999</v>
      </c>
      <c r="H1180" s="108">
        <v>1.03</v>
      </c>
      <c r="I1180" s="141">
        <f>ROUND((F1180*G1180*H1180),0)</f>
        <v>2371</v>
      </c>
      <c r="J1180" s="47"/>
      <c r="K1180" s="143"/>
    </row>
    <row r="1181" spans="2:11" ht="38.25" customHeight="1" x14ac:dyDescent="0.2">
      <c r="B1181" s="672"/>
      <c r="C1181" s="108" t="str">
        <f>+'LISTA DE INSUMOS'!A267</f>
        <v>MAT237</v>
      </c>
      <c r="D1181" s="139" t="str">
        <f>+'LISTA DE INSUMOS'!B267</f>
        <v>Manguera negra 1" rollo x 100 m</v>
      </c>
      <c r="E1181" s="108" t="str">
        <f>+'LISTA DE INSUMOS'!C267</f>
        <v>M</v>
      </c>
      <c r="F1181" s="176">
        <v>4</v>
      </c>
      <c r="G1181" s="141">
        <f>'LISTA DE INSUMOS'!E267</f>
        <v>1886.8304925624</v>
      </c>
      <c r="H1181" s="108">
        <v>0</v>
      </c>
      <c r="I1181" s="141">
        <f>ROUND((F1181*G1181),0)</f>
        <v>7547</v>
      </c>
      <c r="J1181" s="47"/>
      <c r="K1181" s="143"/>
    </row>
    <row r="1182" spans="2:11" ht="30" customHeight="1" thickBot="1" x14ac:dyDescent="0.25">
      <c r="B1182" s="673"/>
      <c r="C1182" s="108" t="str">
        <f>+B535</f>
        <v>ITE091</v>
      </c>
      <c r="D1182" s="139" t="str">
        <f>+D535</f>
        <v>Concreto de 27,6 Mpa (4000 psi) (producción)</v>
      </c>
      <c r="E1182" s="125" t="str">
        <f>+'LISTA DE INSUMOS'!C358</f>
        <v>M3</v>
      </c>
      <c r="F1182" s="152">
        <v>0.17499999999999999</v>
      </c>
      <c r="G1182" s="141">
        <f>+G535</f>
        <v>643985</v>
      </c>
      <c r="H1182" s="108">
        <v>1.05</v>
      </c>
      <c r="I1182" s="141">
        <f>ROUND((F1182*G1182*H1182),0)</f>
        <v>118332</v>
      </c>
      <c r="J1182" s="47"/>
      <c r="K1182" s="143"/>
    </row>
    <row r="1183" spans="2:11" ht="24.9" customHeight="1" thickTop="1" x14ac:dyDescent="0.2">
      <c r="B1183" s="726" t="s">
        <v>1310</v>
      </c>
      <c r="C1183" s="108" t="str">
        <f>+B4090</f>
        <v>ITE383</v>
      </c>
      <c r="D1183" s="167" t="str">
        <f>+D4090</f>
        <v>Sello de junta para pavimento</v>
      </c>
      <c r="E1183" s="108" t="str">
        <f>+E4090</f>
        <v>M</v>
      </c>
      <c r="F1183" s="152">
        <v>0.64</v>
      </c>
      <c r="G1183" s="141">
        <f>G4090</f>
        <v>1773</v>
      </c>
      <c r="H1183" s="108">
        <v>0</v>
      </c>
      <c r="I1183" s="141">
        <f>ROUND((F1183*G1183),0)</f>
        <v>1135</v>
      </c>
      <c r="J1183" s="47"/>
      <c r="K1183" s="143"/>
    </row>
    <row r="1184" spans="2:11" ht="24.9" customHeight="1" x14ac:dyDescent="0.2">
      <c r="B1184" s="727"/>
      <c r="C1184" s="108" t="str">
        <f>+B587</f>
        <v>ITE98</v>
      </c>
      <c r="D1184" s="167" t="str">
        <f>+D587</f>
        <v>Acero Fy = 60.000 psi d&gt;1/4"</v>
      </c>
      <c r="E1184" s="108" t="str">
        <f>+E587</f>
        <v>Kg</v>
      </c>
      <c r="F1184" s="140">
        <v>1.8</v>
      </c>
      <c r="G1184" s="141">
        <f>G587</f>
        <v>7240</v>
      </c>
      <c r="H1184" s="108">
        <v>0</v>
      </c>
      <c r="I1184" s="141">
        <f>ROUND((F1184*G1184),0)</f>
        <v>13032</v>
      </c>
      <c r="J1184" s="47"/>
      <c r="K1184" s="143"/>
    </row>
    <row r="1185" spans="2:11" ht="24.9" customHeight="1" thickBot="1" x14ac:dyDescent="0.25">
      <c r="B1185" s="728"/>
      <c r="C1185" s="108" t="str">
        <f>+B452</f>
        <v>ITE073</v>
      </c>
      <c r="D1185" s="167" t="str">
        <f>+D452</f>
        <v>Corte de pavimento rígido con cortadora autopropulsada</v>
      </c>
      <c r="E1185" s="108" t="str">
        <f>+E452</f>
        <v>M</v>
      </c>
      <c r="F1185" s="140">
        <v>0.64</v>
      </c>
      <c r="G1185" s="141">
        <f>G452</f>
        <v>13164</v>
      </c>
      <c r="H1185" s="108">
        <v>0</v>
      </c>
      <c r="I1185" s="141">
        <f>ROUND((F1185*G1185),0)</f>
        <v>8425</v>
      </c>
      <c r="J1185" s="47"/>
      <c r="K1185" s="143"/>
    </row>
    <row r="1186" spans="2:11" ht="24.9" customHeight="1" thickTop="1" thickBot="1" x14ac:dyDescent="0.25">
      <c r="B1186" s="158" t="s">
        <v>1034</v>
      </c>
      <c r="C1186" s="125" t="str">
        <f>+'LISTA DE INSUMOS'!A25</f>
        <v>MOB022</v>
      </c>
      <c r="D1186" s="155" t="str">
        <f>+'LISTA DE INSUMOS'!B25</f>
        <v>Cuadrilla L 2 Of + 8 Ay (jornal + prestaciones)</v>
      </c>
      <c r="E1186" s="125" t="str">
        <f>+'LISTA DE INSUMOS'!C25</f>
        <v>Día</v>
      </c>
      <c r="F1186" s="140">
        <v>1</v>
      </c>
      <c r="G1186" s="141">
        <f>'LISTA DE INSUMOS'!E25</f>
        <v>982334</v>
      </c>
      <c r="H1186" s="168">
        <f>1/30</f>
        <v>3.3333333333333333E-2</v>
      </c>
      <c r="I1186" s="141">
        <f>ROUND((F1186*G1186*H1186),0)</f>
        <v>32744</v>
      </c>
      <c r="J1186" s="47"/>
      <c r="K1186" s="143"/>
    </row>
    <row r="1187" spans="2:11" ht="24.9" customHeight="1" thickTop="1" x14ac:dyDescent="0.2">
      <c r="B1187" s="674" t="s">
        <v>1033</v>
      </c>
      <c r="C1187" s="108" t="str">
        <f>+'LISTA DE INSUMOS'!A758</f>
        <v>EQU002</v>
      </c>
      <c r="D1187" s="139" t="str">
        <f>+'LISTA DE INSUMOS'!B758</f>
        <v>Herramienta menor (% mano obra)</v>
      </c>
      <c r="E1187" s="108" t="str">
        <f>+'LISTA DE INSUMOS'!C758</f>
        <v>%MO</v>
      </c>
      <c r="F1187" s="140">
        <v>0.1</v>
      </c>
      <c r="G1187" s="141">
        <f>SUM(I1186:I1186)</f>
        <v>32744</v>
      </c>
      <c r="H1187" s="108">
        <v>0</v>
      </c>
      <c r="I1187" s="141">
        <f>ROUND((F1187*G1187),0)</f>
        <v>3274</v>
      </c>
      <c r="J1187" s="47"/>
      <c r="K1187" s="143"/>
    </row>
    <row r="1188" spans="2:11" ht="24.9" customHeight="1" x14ac:dyDescent="0.2">
      <c r="B1188" s="679"/>
      <c r="C1188" s="108" t="str">
        <f>+'LISTA DE INSUMOS'!A775</f>
        <v>EQU018</v>
      </c>
      <c r="D1188" s="139" t="str">
        <f>+'LISTA DE INSUMOS'!B775</f>
        <v>Vibrador eléctrico o a gasolina</v>
      </c>
      <c r="E1188" s="108" t="str">
        <f>+'LISTA DE INSUMOS'!C775</f>
        <v>Día</v>
      </c>
      <c r="F1188" s="160">
        <v>1</v>
      </c>
      <c r="G1188" s="141">
        <f>'LISTA DE INSUMOS'!E775</f>
        <v>42234.2781968536</v>
      </c>
      <c r="H1188" s="168">
        <f>1/100</f>
        <v>0.01</v>
      </c>
      <c r="I1188" s="141">
        <f>ROUND((F1188*G1188*H1188),0)</f>
        <v>422</v>
      </c>
      <c r="J1188" s="47"/>
      <c r="K1188" s="143"/>
    </row>
    <row r="1189" spans="2:11" ht="24.9" customHeight="1" x14ac:dyDescent="0.2">
      <c r="B1189" s="679"/>
      <c r="C1189" s="108" t="str">
        <f>+'LISTA DE INSUMOS'!A783</f>
        <v>EQU026</v>
      </c>
      <c r="D1189" s="139" t="str">
        <f>+'LISTA DE INSUMOS'!B783</f>
        <v>Regla vibradora</v>
      </c>
      <c r="E1189" s="108" t="str">
        <f>+'LISTA DE INSUMOS'!C783</f>
        <v>Día</v>
      </c>
      <c r="F1189" s="140">
        <v>1</v>
      </c>
      <c r="G1189" s="141">
        <f>'LISTA DE INSUMOS'!E783</f>
        <v>46728.195513999992</v>
      </c>
      <c r="H1189" s="142">
        <f>1/100</f>
        <v>0.01</v>
      </c>
      <c r="I1189" s="141">
        <f>ROUND((F1189*G1189*H1189),0)</f>
        <v>467</v>
      </c>
      <c r="J1189" s="47"/>
      <c r="K1189" s="143"/>
    </row>
    <row r="1190" spans="2:11" ht="24.9" customHeight="1" thickBot="1" x14ac:dyDescent="0.25">
      <c r="B1190" s="675"/>
      <c r="C1190" s="108" t="str">
        <f>+'LISTA DE INSUMOS'!A784</f>
        <v>EQU027</v>
      </c>
      <c r="D1190" s="139" t="str">
        <f>+'LISTA DE INSUMOS'!B784</f>
        <v>Formaleta pavimento concreto 3 ml</v>
      </c>
      <c r="E1190" s="108" t="str">
        <f>+'LISTA DE INSUMOS'!C784</f>
        <v>Día</v>
      </c>
      <c r="F1190" s="160">
        <v>1</v>
      </c>
      <c r="G1190" s="141">
        <f>'LISTA DE INSUMOS'!E784</f>
        <v>3756.218687707199</v>
      </c>
      <c r="H1190" s="108">
        <f>1/10.8</f>
        <v>9.2592592592592587E-2</v>
      </c>
      <c r="I1190" s="141">
        <f>ROUND((F1190*G1190*H1190),0)</f>
        <v>348</v>
      </c>
      <c r="J1190" s="47"/>
      <c r="K1190" s="143"/>
    </row>
    <row r="1191" spans="2:11" ht="24.9" customHeight="1" thickTop="1" thickBot="1" x14ac:dyDescent="0.25">
      <c r="B1191" s="171" t="s">
        <v>421</v>
      </c>
      <c r="C1191" s="145" t="str">
        <f>+'LISTA DE INSUMOS'!A823</f>
        <v>ESY001</v>
      </c>
      <c r="D1191" s="146" t="str">
        <f>+'LISTA DE INSUMOS'!B823</f>
        <v>Ensayo resistencia concretos (un testigo)</v>
      </c>
      <c r="E1191" s="145" t="str">
        <f>+'LISTA DE INSUMOS'!C823</f>
        <v>Un</v>
      </c>
      <c r="F1191" s="172">
        <f>1/10*3</f>
        <v>0.30000000000000004</v>
      </c>
      <c r="G1191" s="173">
        <f>'LISTA DE INSUMOS'!E823</f>
        <v>29175.946249999997</v>
      </c>
      <c r="H1191" s="206">
        <v>0</v>
      </c>
      <c r="I1191" s="148">
        <f>ROUND((F1191*G1191),0)</f>
        <v>8753</v>
      </c>
      <c r="J1191" s="47"/>
      <c r="K1191" s="143"/>
    </row>
    <row r="1192" spans="2:11" ht="39.75" customHeight="1" x14ac:dyDescent="0.2">
      <c r="B1192" s="117" t="s">
        <v>1853</v>
      </c>
      <c r="C1192" s="117"/>
      <c r="D1192" s="112" t="s">
        <v>228</v>
      </c>
      <c r="E1192" s="117" t="s">
        <v>2585</v>
      </c>
      <c r="F1192" s="118"/>
      <c r="G1192" s="119">
        <f>ROUND(SUM(I1193:I1204),0)</f>
        <v>160997</v>
      </c>
      <c r="H1192" s="120"/>
      <c r="I1192" s="119"/>
      <c r="J1192" s="47"/>
      <c r="K1192" s="143"/>
    </row>
    <row r="1193" spans="2:11" ht="24.9" customHeight="1" x14ac:dyDescent="0.2">
      <c r="B1193" s="672" t="s">
        <v>1035</v>
      </c>
      <c r="C1193" s="108" t="str">
        <f>+'LISTA DE INSUMOS'!A93</f>
        <v>MAT051</v>
      </c>
      <c r="D1193" s="139" t="str">
        <f>+'LISTA DE INSUMOS'!B93</f>
        <v>Antisol blanco</v>
      </c>
      <c r="E1193" s="108" t="str">
        <f>+'LISTA DE INSUMOS'!C93</f>
        <v>Kg</v>
      </c>
      <c r="F1193" s="140">
        <f>1/5</f>
        <v>0.2</v>
      </c>
      <c r="G1193" s="141">
        <f>'LISTA DE INSUMOS'!E93</f>
        <v>11510.734499999999</v>
      </c>
      <c r="H1193" s="108">
        <v>1.03</v>
      </c>
      <c r="I1193" s="141">
        <f>ROUND((F1193*G1193*H1193),0)</f>
        <v>2371</v>
      </c>
      <c r="J1193" s="47"/>
      <c r="K1193" s="143"/>
    </row>
    <row r="1194" spans="2:11" ht="36.75" customHeight="1" x14ac:dyDescent="0.2">
      <c r="B1194" s="672"/>
      <c r="C1194" s="108" t="str">
        <f>+'LISTA DE INSUMOS'!A267</f>
        <v>MAT237</v>
      </c>
      <c r="D1194" s="139" t="str">
        <f>+'LISTA DE INSUMOS'!B267</f>
        <v>Manguera negra 1" rollo x 100 m</v>
      </c>
      <c r="E1194" s="108" t="str">
        <f>+'LISTA DE INSUMOS'!C267</f>
        <v>M</v>
      </c>
      <c r="F1194" s="176">
        <v>4</v>
      </c>
      <c r="G1194" s="141">
        <f>'LISTA DE INSUMOS'!E267</f>
        <v>1886.8304925624</v>
      </c>
      <c r="H1194" s="108">
        <v>0</v>
      </c>
      <c r="I1194" s="141">
        <f>ROUND((F1194*G1194),0)</f>
        <v>7547</v>
      </c>
      <c r="J1194" s="47"/>
      <c r="K1194" s="143"/>
    </row>
    <row r="1195" spans="2:11" ht="24.9" customHeight="1" thickBot="1" x14ac:dyDescent="0.25">
      <c r="B1195" s="673"/>
      <c r="C1195" s="125" t="str">
        <f>+'LISTA DE INSUMOS'!A415</f>
        <v>MAT427</v>
      </c>
      <c r="D1195" s="155" t="str">
        <f>+'LISTA DE INSUMOS'!B415</f>
        <v>Concreto premezclado de 20,7 Mpa (3000 psi)</v>
      </c>
      <c r="E1195" s="125" t="str">
        <f>+'LISTA DE INSUMOS'!C415</f>
        <v>M3</v>
      </c>
      <c r="F1195" s="152">
        <v>0.17499999999999999</v>
      </c>
      <c r="G1195" s="141">
        <f>'LISTA DE INSUMOS'!E415</f>
        <v>586080.7573030541</v>
      </c>
      <c r="H1195" s="108">
        <v>1.05</v>
      </c>
      <c r="I1195" s="141">
        <f>ROUND((F1195*G1195*H1195),0)</f>
        <v>107692</v>
      </c>
      <c r="J1195" s="47"/>
      <c r="K1195" s="143"/>
    </row>
    <row r="1196" spans="2:11" ht="24.9" customHeight="1" thickTop="1" x14ac:dyDescent="0.2">
      <c r="B1196" s="726" t="s">
        <v>1310</v>
      </c>
      <c r="C1196" s="108" t="str">
        <f>+B4090</f>
        <v>ITE383</v>
      </c>
      <c r="D1196" s="167" t="str">
        <f>+D4090</f>
        <v>Sello de junta para pavimento</v>
      </c>
      <c r="E1196" s="108" t="str">
        <f>+E4090</f>
        <v>M</v>
      </c>
      <c r="F1196" s="152">
        <v>0.64</v>
      </c>
      <c r="G1196" s="141">
        <f>G4090</f>
        <v>1773</v>
      </c>
      <c r="H1196" s="108">
        <v>0</v>
      </c>
      <c r="I1196" s="141">
        <f>ROUND((F1196*G1196),0)</f>
        <v>1135</v>
      </c>
      <c r="J1196" s="47"/>
      <c r="K1196" s="143"/>
    </row>
    <row r="1197" spans="2:11" ht="24.9" customHeight="1" x14ac:dyDescent="0.2">
      <c r="B1197" s="727"/>
      <c r="C1197" s="108" t="str">
        <f>+B587</f>
        <v>ITE98</v>
      </c>
      <c r="D1197" s="167" t="str">
        <f>+D587</f>
        <v>Acero Fy = 60.000 psi d&gt;1/4"</v>
      </c>
      <c r="E1197" s="108" t="str">
        <f>+E587</f>
        <v>Kg</v>
      </c>
      <c r="F1197" s="140">
        <v>1.8</v>
      </c>
      <c r="G1197" s="141">
        <f>G587</f>
        <v>7240</v>
      </c>
      <c r="H1197" s="108">
        <v>0</v>
      </c>
      <c r="I1197" s="141">
        <f>ROUND((F1197*G1197),0)</f>
        <v>13032</v>
      </c>
      <c r="J1197" s="47"/>
      <c r="K1197" s="143"/>
    </row>
    <row r="1198" spans="2:11" ht="24.9" customHeight="1" thickBot="1" x14ac:dyDescent="0.25">
      <c r="B1198" s="728"/>
      <c r="C1198" s="108" t="str">
        <f>+B452</f>
        <v>ITE073</v>
      </c>
      <c r="D1198" s="167" t="str">
        <f>+D452</f>
        <v>Corte de pavimento rígido con cortadora autopropulsada</v>
      </c>
      <c r="E1198" s="108" t="str">
        <f>+E452</f>
        <v>M</v>
      </c>
      <c r="F1198" s="140">
        <v>0.64</v>
      </c>
      <c r="G1198" s="141">
        <f>G452</f>
        <v>13164</v>
      </c>
      <c r="H1198" s="108">
        <v>0</v>
      </c>
      <c r="I1198" s="141">
        <f>ROUND((F1198*G1198),0)</f>
        <v>8425</v>
      </c>
      <c r="J1198" s="47"/>
      <c r="K1198" s="143"/>
    </row>
    <row r="1199" spans="2:11" ht="24.9" customHeight="1" thickTop="1" thickBot="1" x14ac:dyDescent="0.25">
      <c r="B1199" s="158" t="s">
        <v>1034</v>
      </c>
      <c r="C1199" s="125" t="str">
        <f>+'LISTA DE INSUMOS'!A25</f>
        <v>MOB022</v>
      </c>
      <c r="D1199" s="155" t="str">
        <f>+'LISTA DE INSUMOS'!B25</f>
        <v>Cuadrilla L 2 Of + 8 Ay (jornal + prestaciones)</v>
      </c>
      <c r="E1199" s="125" t="str">
        <f>+'LISTA DE INSUMOS'!C25</f>
        <v>Día</v>
      </c>
      <c r="F1199" s="140">
        <v>1</v>
      </c>
      <c r="G1199" s="141">
        <f>'LISTA DE INSUMOS'!E25</f>
        <v>982334</v>
      </c>
      <c r="H1199" s="168">
        <f>1/100</f>
        <v>0.01</v>
      </c>
      <c r="I1199" s="141">
        <f>ROUND((F1199*G1199*H1199),0)</f>
        <v>9823</v>
      </c>
      <c r="J1199" s="47"/>
      <c r="K1199" s="143"/>
    </row>
    <row r="1200" spans="2:11" ht="24.9" customHeight="1" thickTop="1" x14ac:dyDescent="0.2">
      <c r="B1200" s="674" t="s">
        <v>1033</v>
      </c>
      <c r="C1200" s="108" t="str">
        <f>+'LISTA DE INSUMOS'!A758</f>
        <v>EQU002</v>
      </c>
      <c r="D1200" s="139" t="str">
        <f>+'LISTA DE INSUMOS'!B758</f>
        <v>Herramienta menor (% mano obra)</v>
      </c>
      <c r="E1200" s="108" t="str">
        <f>+'LISTA DE INSUMOS'!C758</f>
        <v>%MO</v>
      </c>
      <c r="F1200" s="140">
        <v>0.1</v>
      </c>
      <c r="G1200" s="141">
        <f>SUM(I1199:I1199)</f>
        <v>9823</v>
      </c>
      <c r="H1200" s="108">
        <v>0</v>
      </c>
      <c r="I1200" s="141">
        <f>ROUND((F1200*G1200),0)</f>
        <v>982</v>
      </c>
      <c r="J1200" s="47"/>
      <c r="K1200" s="143"/>
    </row>
    <row r="1201" spans="2:11" ht="24.9" customHeight="1" x14ac:dyDescent="0.2">
      <c r="B1201" s="679"/>
      <c r="C1201" s="108" t="str">
        <f>+'LISTA DE INSUMOS'!A775</f>
        <v>EQU018</v>
      </c>
      <c r="D1201" s="139" t="str">
        <f>+'LISTA DE INSUMOS'!B775</f>
        <v>Vibrador eléctrico o a gasolina</v>
      </c>
      <c r="E1201" s="108" t="str">
        <f>+'LISTA DE INSUMOS'!C775</f>
        <v>Día</v>
      </c>
      <c r="F1201" s="160">
        <v>1</v>
      </c>
      <c r="G1201" s="141">
        <f>'LISTA DE INSUMOS'!E775</f>
        <v>42234.2781968536</v>
      </c>
      <c r="H1201" s="168">
        <f>1/100</f>
        <v>0.01</v>
      </c>
      <c r="I1201" s="141">
        <f>ROUND((F1201*G1201*H1201),0)</f>
        <v>422</v>
      </c>
      <c r="J1201" s="47"/>
      <c r="K1201" s="143"/>
    </row>
    <row r="1202" spans="2:11" ht="24.9" customHeight="1" x14ac:dyDescent="0.2">
      <c r="B1202" s="679"/>
      <c r="C1202" s="108" t="str">
        <f>+'LISTA DE INSUMOS'!A783</f>
        <v>EQU026</v>
      </c>
      <c r="D1202" s="139" t="str">
        <f>+'LISTA DE INSUMOS'!B783</f>
        <v>Regla vibradora</v>
      </c>
      <c r="E1202" s="108" t="str">
        <f>+'LISTA DE INSUMOS'!C783</f>
        <v>Día</v>
      </c>
      <c r="F1202" s="140">
        <v>1</v>
      </c>
      <c r="G1202" s="141">
        <f>'LISTA DE INSUMOS'!E783</f>
        <v>46728.195513999992</v>
      </c>
      <c r="H1202" s="168">
        <f>1/100</f>
        <v>0.01</v>
      </c>
      <c r="I1202" s="141">
        <f>ROUND((F1202*G1202*H1202),0)</f>
        <v>467</v>
      </c>
      <c r="J1202" s="47"/>
      <c r="K1202" s="143"/>
    </row>
    <row r="1203" spans="2:11" ht="24.9" customHeight="1" thickBot="1" x14ac:dyDescent="0.25">
      <c r="B1203" s="675"/>
      <c r="C1203" s="108" t="str">
        <f>+'LISTA DE INSUMOS'!A784</f>
        <v>EQU027</v>
      </c>
      <c r="D1203" s="139" t="str">
        <f>+'LISTA DE INSUMOS'!B784</f>
        <v>Formaleta pavimento concreto 3 ml</v>
      </c>
      <c r="E1203" s="108" t="str">
        <f>+'LISTA DE INSUMOS'!C784</f>
        <v>Día</v>
      </c>
      <c r="F1203" s="160">
        <v>1</v>
      </c>
      <c r="G1203" s="141">
        <f>'LISTA DE INSUMOS'!E784</f>
        <v>3756.218687707199</v>
      </c>
      <c r="H1203" s="108">
        <f>1/10.8</f>
        <v>9.2592592592592587E-2</v>
      </c>
      <c r="I1203" s="141">
        <f>ROUND((F1203*G1203*H1203),0)</f>
        <v>348</v>
      </c>
      <c r="J1203" s="47"/>
      <c r="K1203" s="143"/>
    </row>
    <row r="1204" spans="2:11" ht="24.9" customHeight="1" thickTop="1" thickBot="1" x14ac:dyDescent="0.25">
      <c r="B1204" s="171" t="s">
        <v>421</v>
      </c>
      <c r="C1204" s="145" t="str">
        <f>+'LISTA DE INSUMOS'!A823</f>
        <v>ESY001</v>
      </c>
      <c r="D1204" s="146" t="str">
        <f>+'LISTA DE INSUMOS'!B823</f>
        <v>Ensayo resistencia concretos (un testigo)</v>
      </c>
      <c r="E1204" s="145" t="str">
        <f>+'LISTA DE INSUMOS'!C823</f>
        <v>Un</v>
      </c>
      <c r="F1204" s="172">
        <f>1/10*3</f>
        <v>0.30000000000000004</v>
      </c>
      <c r="G1204" s="173">
        <f>'LISTA DE INSUMOS'!E823</f>
        <v>29175.946249999997</v>
      </c>
      <c r="H1204" s="206">
        <v>0</v>
      </c>
      <c r="I1204" s="148">
        <f>ROUND((F1204*G1204),0)</f>
        <v>8753</v>
      </c>
      <c r="J1204" s="47"/>
      <c r="K1204" s="143"/>
    </row>
    <row r="1205" spans="2:11" s="317" customFormat="1" ht="24.9" hidden="1" customHeight="1" x14ac:dyDescent="0.2">
      <c r="B1205" s="319" t="s">
        <v>1883</v>
      </c>
      <c r="C1205" s="319"/>
      <c r="D1205" s="320" t="s">
        <v>229</v>
      </c>
      <c r="E1205" s="319" t="s">
        <v>1435</v>
      </c>
      <c r="F1205" s="321"/>
      <c r="G1205" s="312">
        <f>ROUND(SUM(I1205:I1210),0)</f>
        <v>949117</v>
      </c>
      <c r="H1205" s="322"/>
      <c r="I1205" s="312"/>
      <c r="J1205" s="313"/>
      <c r="K1205" s="323"/>
    </row>
    <row r="1206" spans="2:11" s="317" customFormat="1" ht="24.9" hidden="1" customHeight="1" x14ac:dyDescent="0.2">
      <c r="B1206" s="714" t="s">
        <v>1310</v>
      </c>
      <c r="C1206" s="322" t="str">
        <f>+B587</f>
        <v>ITE98</v>
      </c>
      <c r="D1206" s="320" t="str">
        <f>+D587</f>
        <v>Acero Fy = 60.000 psi d&gt;1/4"</v>
      </c>
      <c r="E1206" s="322" t="str">
        <f>+E587</f>
        <v>Kg</v>
      </c>
      <c r="F1206" s="325">
        <v>57</v>
      </c>
      <c r="G1206" s="312">
        <f>G587</f>
        <v>7240</v>
      </c>
      <c r="H1206" s="322">
        <v>0</v>
      </c>
      <c r="I1206" s="312">
        <f>ROUND((F1206*G1206),0)</f>
        <v>412680</v>
      </c>
      <c r="J1206" s="313"/>
      <c r="K1206" s="323"/>
    </row>
    <row r="1207" spans="2:11" s="317" customFormat="1" ht="24.9" hidden="1" customHeight="1" thickBot="1" x14ac:dyDescent="0.25">
      <c r="B1207" s="715"/>
      <c r="C1207" s="322" t="str">
        <f>+B553</f>
        <v>ITE093</v>
      </c>
      <c r="D1207" s="324" t="str">
        <f>+D553</f>
        <v>Concreto de 17,2 Mpa (2500 psi) (producción)</v>
      </c>
      <c r="E1207" s="322" t="str">
        <f>+E553</f>
        <v>M3</v>
      </c>
      <c r="F1207" s="325">
        <v>0.64</v>
      </c>
      <c r="G1207" s="312">
        <f>G553</f>
        <v>566526</v>
      </c>
      <c r="H1207" s="322">
        <v>1.05</v>
      </c>
      <c r="I1207" s="312">
        <f>ROUND((F1207*G1207*H1207),0)</f>
        <v>380705</v>
      </c>
      <c r="J1207" s="313"/>
      <c r="K1207" s="323"/>
    </row>
    <row r="1208" spans="2:11" s="317" customFormat="1" ht="24.9" hidden="1" customHeight="1" thickTop="1" thickBot="1" x14ac:dyDescent="0.25">
      <c r="B1208" s="342" t="s">
        <v>1034</v>
      </c>
      <c r="C1208" s="322" t="str">
        <f>+'LISTA DE INSUMOS'!A9</f>
        <v>MOB006</v>
      </c>
      <c r="D1208" s="324" t="str">
        <f>+'LISTA DE INSUMOS'!B9</f>
        <v>Cuadrilla A 1 Of + 4 Ay (jornal + prestaciones)</v>
      </c>
      <c r="E1208" s="322" t="str">
        <f>+'LISTA DE INSUMOS'!C9</f>
        <v>Día</v>
      </c>
      <c r="F1208" s="325">
        <v>1</v>
      </c>
      <c r="G1208" s="312">
        <f>'LISTA DE INSUMOS'!E9</f>
        <v>491167</v>
      </c>
      <c r="H1208" s="322">
        <f>1/4</f>
        <v>0.25</v>
      </c>
      <c r="I1208" s="312">
        <f>ROUND((F1208*G1208*H1208),0)</f>
        <v>122792</v>
      </c>
      <c r="J1208" s="313"/>
      <c r="K1208" s="323"/>
    </row>
    <row r="1209" spans="2:11" s="317" customFormat="1" ht="24.9" hidden="1" customHeight="1" thickTop="1" x14ac:dyDescent="0.2">
      <c r="B1209" s="693" t="s">
        <v>1033</v>
      </c>
      <c r="C1209" s="322" t="str">
        <f>+'LISTA DE INSUMOS'!A758</f>
        <v>EQU002</v>
      </c>
      <c r="D1209" s="324" t="str">
        <f>+'LISTA DE INSUMOS'!B758</f>
        <v>Herramienta menor (% mano obra)</v>
      </c>
      <c r="E1209" s="322" t="str">
        <f>+'LISTA DE INSUMOS'!C758</f>
        <v>%MO</v>
      </c>
      <c r="F1209" s="325">
        <v>0.1</v>
      </c>
      <c r="G1209" s="312">
        <f>I1208</f>
        <v>122792</v>
      </c>
      <c r="H1209" s="322">
        <v>0</v>
      </c>
      <c r="I1209" s="312">
        <f>ROUND((F1209*G1209),0)</f>
        <v>12279</v>
      </c>
      <c r="J1209" s="313"/>
      <c r="K1209" s="323"/>
    </row>
    <row r="1210" spans="2:11" s="317" customFormat="1" ht="24.9" hidden="1" customHeight="1" thickBot="1" x14ac:dyDescent="0.25">
      <c r="B1210" s="694"/>
      <c r="C1210" s="329" t="str">
        <f>+'LISTA DE INSUMOS'!A785</f>
        <v>EQU028</v>
      </c>
      <c r="D1210" s="328" t="str">
        <f>+'LISTA DE INSUMOS'!B785</f>
        <v>Formaleta cuerpo cámara inspección 1,20 m</v>
      </c>
      <c r="E1210" s="329" t="str">
        <f>+'LISTA DE INSUMOS'!C785</f>
        <v>Día</v>
      </c>
      <c r="F1210" s="330">
        <v>1</v>
      </c>
      <c r="G1210" s="331">
        <f>'LISTA DE INSUMOS'!E785</f>
        <v>20660.537873689998</v>
      </c>
      <c r="H1210" s="329">
        <v>0</v>
      </c>
      <c r="I1210" s="331">
        <f>ROUND((F1210*G1210),0)</f>
        <v>20661</v>
      </c>
      <c r="J1210" s="313"/>
      <c r="K1210" s="323"/>
    </row>
    <row r="1211" spans="2:11" s="317" customFormat="1" ht="30" hidden="1" customHeight="1" x14ac:dyDescent="0.2">
      <c r="B1211" s="319" t="s">
        <v>1689</v>
      </c>
      <c r="C1211" s="319"/>
      <c r="D1211" s="320" t="s">
        <v>230</v>
      </c>
      <c r="E1211" s="319" t="s">
        <v>2585</v>
      </c>
      <c r="F1211" s="321"/>
      <c r="G1211" s="312">
        <f>ROUND(SUM(I1211:I1218),0)</f>
        <v>88410</v>
      </c>
      <c r="H1211" s="322"/>
      <c r="I1211" s="312"/>
      <c r="J1211" s="313"/>
      <c r="K1211" s="323"/>
    </row>
    <row r="1212" spans="2:11" s="317" customFormat="1" ht="30" hidden="1" customHeight="1" x14ac:dyDescent="0.2">
      <c r="B1212" s="691" t="s">
        <v>1035</v>
      </c>
      <c r="C1212" s="322" t="str">
        <f>+'LISTA DE INSUMOS'!A46</f>
        <v>MAT017</v>
      </c>
      <c r="D1212" s="324" t="str">
        <f>+'LISTA DE INSUMOS'!B46</f>
        <v>Tabla para formaleta de 1" x 10" x 2,9 m</v>
      </c>
      <c r="E1212" s="322" t="str">
        <f>+'LISTA DE INSUMOS'!C46</f>
        <v>M</v>
      </c>
      <c r="F1212" s="325">
        <v>1.3</v>
      </c>
      <c r="G1212" s="312">
        <f>'LISTA DE INSUMOS'!E46</f>
        <v>8112.0359999999991</v>
      </c>
      <c r="H1212" s="349">
        <f>1/3</f>
        <v>0.33333333333333331</v>
      </c>
      <c r="I1212" s="312">
        <f>ROUND((F1212*G1212*H1212),0)</f>
        <v>3515</v>
      </c>
      <c r="J1212" s="313"/>
      <c r="K1212" s="323"/>
    </row>
    <row r="1213" spans="2:11" s="317" customFormat="1" ht="30" hidden="1" customHeight="1" x14ac:dyDescent="0.2">
      <c r="B1213" s="691"/>
      <c r="C1213" s="322" t="str">
        <f>+'LISTA DE INSUMOS'!A50</f>
        <v>MAT019</v>
      </c>
      <c r="D1213" s="324" t="str">
        <f>+'LISTA DE INSUMOS'!B50</f>
        <v>Listón sajo de 5 x 3 cm x 2,5 m (varilla)</v>
      </c>
      <c r="E1213" s="322" t="str">
        <f>+'LISTA DE INSUMOS'!C50</f>
        <v>M</v>
      </c>
      <c r="F1213" s="325">
        <v>2</v>
      </c>
      <c r="G1213" s="312">
        <f>'LISTA DE INSUMOS'!E50</f>
        <v>7285.5458999999992</v>
      </c>
      <c r="H1213" s="349">
        <f>1/3</f>
        <v>0.33333333333333331</v>
      </c>
      <c r="I1213" s="312">
        <f>ROUND((F1213*G1213*H1213),0)</f>
        <v>4857</v>
      </c>
      <c r="J1213" s="313"/>
      <c r="K1213" s="323"/>
    </row>
    <row r="1214" spans="2:11" s="317" customFormat="1" ht="24.9" hidden="1" customHeight="1" x14ac:dyDescent="0.2">
      <c r="B1214" s="691"/>
      <c r="C1214" s="322" t="str">
        <f>+'LISTA DE INSUMOS'!A93</f>
        <v>MAT051</v>
      </c>
      <c r="D1214" s="324" t="str">
        <f>+'LISTA DE INSUMOS'!B93</f>
        <v>Antisol blanco</v>
      </c>
      <c r="E1214" s="322" t="str">
        <f>+'LISTA DE INSUMOS'!C93</f>
        <v>Kg</v>
      </c>
      <c r="F1214" s="325">
        <v>0.2</v>
      </c>
      <c r="G1214" s="312">
        <f>'LISTA DE INSUMOS'!E93</f>
        <v>11510.734499999999</v>
      </c>
      <c r="H1214" s="322">
        <v>1.03</v>
      </c>
      <c r="I1214" s="312">
        <f>ROUND((F1214*G1214*H1214),0)</f>
        <v>2371</v>
      </c>
      <c r="J1214" s="313"/>
      <c r="K1214" s="323"/>
    </row>
    <row r="1215" spans="2:11" s="317" customFormat="1" ht="24.9" hidden="1" customHeight="1" thickBot="1" x14ac:dyDescent="0.25">
      <c r="B1215" s="692"/>
      <c r="C1215" s="322" t="str">
        <f>+'LISTA DE INSUMOS'!A52</f>
        <v>MAT021</v>
      </c>
      <c r="D1215" s="324" t="str">
        <f>+'LISTA DE INSUMOS'!B52</f>
        <v>Puntilla (promedio)</v>
      </c>
      <c r="E1215" s="322" t="str">
        <f>+'LISTA DE INSUMOS'!C52</f>
        <v>Lb</v>
      </c>
      <c r="F1215" s="325">
        <v>0.01</v>
      </c>
      <c r="G1215" s="312">
        <f>'LISTA DE INSUMOS'!E52</f>
        <v>6690.6972299999998</v>
      </c>
      <c r="H1215" s="349">
        <v>0</v>
      </c>
      <c r="I1215" s="312">
        <f>ROUND((F1215*G1215),0)</f>
        <v>67</v>
      </c>
      <c r="J1215" s="313"/>
      <c r="K1215" s="323"/>
    </row>
    <row r="1216" spans="2:11" s="317" customFormat="1" ht="24.9" hidden="1" customHeight="1" thickTop="1" thickBot="1" x14ac:dyDescent="0.25">
      <c r="B1216" s="347" t="s">
        <v>1310</v>
      </c>
      <c r="C1216" s="322" t="str">
        <f>+B544</f>
        <v>ITE092</v>
      </c>
      <c r="D1216" s="324" t="str">
        <f>+D544</f>
        <v>Concreto de 20,7 Mpa (3000 psi) (producción)</v>
      </c>
      <c r="E1216" s="322" t="str">
        <f>+E544</f>
        <v>M3</v>
      </c>
      <c r="F1216" s="325">
        <v>0.1</v>
      </c>
      <c r="G1216" s="312">
        <f>G544</f>
        <v>596118</v>
      </c>
      <c r="H1216" s="349">
        <v>1.05</v>
      </c>
      <c r="I1216" s="312">
        <f>ROUND((F1216*G1216*H1216),0)</f>
        <v>62592</v>
      </c>
      <c r="J1216" s="313"/>
      <c r="K1216" s="323"/>
    </row>
    <row r="1217" spans="2:11" s="317" customFormat="1" ht="24.9" hidden="1" customHeight="1" thickTop="1" thickBot="1" x14ac:dyDescent="0.25">
      <c r="B1217" s="342" t="s">
        <v>1034</v>
      </c>
      <c r="C1217" s="322" t="str">
        <f>+'LISTA DE INSUMOS'!A18</f>
        <v>MOB015</v>
      </c>
      <c r="D1217" s="324" t="str">
        <f>+'LISTA DE INSUMOS'!B18</f>
        <v>Cuadrilla E 1 Of + 1 Ay (jornal + prestaciones)</v>
      </c>
      <c r="E1217" s="322" t="str">
        <f>+'LISTA DE INSUMOS'!C18</f>
        <v>Día</v>
      </c>
      <c r="F1217" s="325">
        <v>1</v>
      </c>
      <c r="G1217" s="312">
        <f>'LISTA DE INSUMOS'!E18</f>
        <v>245584</v>
      </c>
      <c r="H1217" s="349">
        <f>1/18</f>
        <v>5.5555555555555552E-2</v>
      </c>
      <c r="I1217" s="312">
        <f>ROUND((F1217*G1217*H1217),0)</f>
        <v>13644</v>
      </c>
      <c r="J1217" s="313"/>
      <c r="K1217" s="323"/>
    </row>
    <row r="1218" spans="2:11" s="317" customFormat="1" ht="24.9" hidden="1" customHeight="1" thickTop="1" thickBot="1" x14ac:dyDescent="0.25">
      <c r="B1218" s="255" t="s">
        <v>1033</v>
      </c>
      <c r="C1218" s="327" t="str">
        <f>+'LISTA DE INSUMOS'!A758</f>
        <v>EQU002</v>
      </c>
      <c r="D1218" s="328" t="str">
        <f>+'LISTA DE INSUMOS'!B758</f>
        <v>Herramienta menor (% mano obra)</v>
      </c>
      <c r="E1218" s="329" t="str">
        <f>+'LISTA DE INSUMOS'!C758</f>
        <v>%MO</v>
      </c>
      <c r="F1218" s="330">
        <v>0.1</v>
      </c>
      <c r="G1218" s="331">
        <f>I1217</f>
        <v>13644</v>
      </c>
      <c r="H1218" s="350">
        <v>0</v>
      </c>
      <c r="I1218" s="331">
        <f>ROUND((F1218*G1218),0)</f>
        <v>1364</v>
      </c>
      <c r="J1218" s="313"/>
      <c r="K1218" s="323"/>
    </row>
    <row r="1219" spans="2:11" ht="24.9" customHeight="1" x14ac:dyDescent="0.2">
      <c r="B1219" s="117" t="s">
        <v>1847</v>
      </c>
      <c r="C1219" s="117"/>
      <c r="D1219" s="112" t="s">
        <v>231</v>
      </c>
      <c r="E1219" s="117" t="s">
        <v>1435</v>
      </c>
      <c r="F1219" s="118"/>
      <c r="G1219" s="119">
        <f>ROUND(SUM(I1219:I1227),0)</f>
        <v>136485</v>
      </c>
      <c r="H1219" s="120"/>
      <c r="I1219" s="119"/>
      <c r="J1219" s="47"/>
      <c r="K1219" s="143"/>
    </row>
    <row r="1220" spans="2:11" ht="24.9" customHeight="1" x14ac:dyDescent="0.2">
      <c r="B1220" s="672" t="s">
        <v>1035</v>
      </c>
      <c r="C1220" s="108" t="str">
        <f>+'LISTA DE INSUMOS'!A46</f>
        <v>MAT017</v>
      </c>
      <c r="D1220" s="139" t="str">
        <f>+'LISTA DE INSUMOS'!B46</f>
        <v>Tabla para formaleta de 1" x 10" x 2,9 m</v>
      </c>
      <c r="E1220" s="108" t="str">
        <f>+'LISTA DE INSUMOS'!C46</f>
        <v>M</v>
      </c>
      <c r="F1220" s="140">
        <v>3.2</v>
      </c>
      <c r="G1220" s="141">
        <f>'LISTA DE INSUMOS'!E46</f>
        <v>8112.0359999999991</v>
      </c>
      <c r="H1220" s="108">
        <f>1/3</f>
        <v>0.33333333333333331</v>
      </c>
      <c r="I1220" s="141">
        <f>ROUND((F1220*G1220*H1220),0)</f>
        <v>8653</v>
      </c>
      <c r="J1220" s="47"/>
      <c r="K1220" s="143"/>
    </row>
    <row r="1221" spans="2:11" ht="24.9" customHeight="1" x14ac:dyDescent="0.2">
      <c r="B1221" s="672"/>
      <c r="C1221" s="108" t="str">
        <f>+'LISTA DE INSUMOS'!A50</f>
        <v>MAT019</v>
      </c>
      <c r="D1221" s="139" t="str">
        <f>+'LISTA DE INSUMOS'!B50</f>
        <v>Listón sajo de 5 x 3 cm x 2,5 m (varilla)</v>
      </c>
      <c r="E1221" s="108" t="str">
        <f>+'LISTA DE INSUMOS'!C50</f>
        <v>M</v>
      </c>
      <c r="F1221" s="140">
        <v>3</v>
      </c>
      <c r="G1221" s="141">
        <f>'LISTA DE INSUMOS'!E50</f>
        <v>7285.5458999999992</v>
      </c>
      <c r="H1221" s="108">
        <f>1/3</f>
        <v>0.33333333333333331</v>
      </c>
      <c r="I1221" s="141">
        <f>ROUND((F1221*G1221*H1221),0)</f>
        <v>7286</v>
      </c>
      <c r="J1221" s="47"/>
      <c r="K1221" s="143"/>
    </row>
    <row r="1222" spans="2:11" ht="24.9" customHeight="1" x14ac:dyDescent="0.2">
      <c r="B1222" s="672"/>
      <c r="C1222" s="108" t="str">
        <f>+'LISTA DE INSUMOS'!A93</f>
        <v>MAT051</v>
      </c>
      <c r="D1222" s="139" t="str">
        <f>+'LISTA DE INSUMOS'!B93</f>
        <v>Antisol blanco</v>
      </c>
      <c r="E1222" s="108" t="str">
        <f>+'LISTA DE INSUMOS'!C93</f>
        <v>Kg</v>
      </c>
      <c r="F1222" s="140">
        <v>0.05</v>
      </c>
      <c r="G1222" s="141">
        <f>'LISTA DE INSUMOS'!E93</f>
        <v>11510.734499999999</v>
      </c>
      <c r="H1222" s="108">
        <v>1.03</v>
      </c>
      <c r="I1222" s="141">
        <f>ROUND((F1222*G1222*H1222),0)</f>
        <v>593</v>
      </c>
      <c r="J1222" s="47"/>
      <c r="K1222" s="143"/>
    </row>
    <row r="1223" spans="2:11" ht="24.9" customHeight="1" thickBot="1" x14ac:dyDescent="0.25">
      <c r="B1223" s="673"/>
      <c r="C1223" s="108" t="str">
        <f>+'LISTA DE INSUMOS'!A52</f>
        <v>MAT021</v>
      </c>
      <c r="D1223" s="139" t="str">
        <f>+'LISTA DE INSUMOS'!B52</f>
        <v>Puntilla (promedio)</v>
      </c>
      <c r="E1223" s="108" t="str">
        <f>+'LISTA DE INSUMOS'!C52</f>
        <v>Lb</v>
      </c>
      <c r="F1223" s="140">
        <v>0.05</v>
      </c>
      <c r="G1223" s="141">
        <f>'LISTA DE INSUMOS'!E52</f>
        <v>6690.6972299999998</v>
      </c>
      <c r="H1223" s="108">
        <v>0</v>
      </c>
      <c r="I1223" s="141">
        <f>ROUND((F1223*G1223),0)</f>
        <v>335</v>
      </c>
      <c r="J1223" s="47"/>
      <c r="K1223" s="143"/>
    </row>
    <row r="1224" spans="2:11" ht="30" customHeight="1" thickTop="1" x14ac:dyDescent="0.2">
      <c r="B1224" s="685" t="s">
        <v>1310</v>
      </c>
      <c r="C1224" s="108" t="str">
        <f>+B544</f>
        <v>ITE092</v>
      </c>
      <c r="D1224" s="139" t="str">
        <f>+D544</f>
        <v>Concreto de 20,7 Mpa (3000 psi) (producción)</v>
      </c>
      <c r="E1224" s="108" t="str">
        <f>+E544</f>
        <v>M3</v>
      </c>
      <c r="F1224" s="140">
        <v>0.03</v>
      </c>
      <c r="G1224" s="141">
        <f>G544</f>
        <v>596118</v>
      </c>
      <c r="H1224" s="108">
        <v>1.05</v>
      </c>
      <c r="I1224" s="141">
        <f>ROUND((F1224*G1224*H1224),0)</f>
        <v>18778</v>
      </c>
      <c r="J1224" s="47"/>
      <c r="K1224" s="143"/>
    </row>
    <row r="1225" spans="2:11" ht="30" customHeight="1" thickBot="1" x14ac:dyDescent="0.25">
      <c r="B1225" s="707"/>
      <c r="C1225" s="108" t="str">
        <f>B587</f>
        <v>ITE98</v>
      </c>
      <c r="D1225" s="167" t="str">
        <f>D587</f>
        <v>Acero Fy = 60.000 psi d&gt;1/4"</v>
      </c>
      <c r="E1225" s="108" t="str">
        <f>E587</f>
        <v>Kg</v>
      </c>
      <c r="F1225" s="140">
        <v>4.5999999999999996</v>
      </c>
      <c r="G1225" s="141">
        <f>G587</f>
        <v>7240</v>
      </c>
      <c r="H1225" s="108">
        <v>0</v>
      </c>
      <c r="I1225" s="141">
        <f>ROUND((F1225*G1225),0)</f>
        <v>33304</v>
      </c>
      <c r="J1225" s="47"/>
      <c r="K1225" s="143"/>
    </row>
    <row r="1226" spans="2:11" ht="30" customHeight="1" thickTop="1" thickBot="1" x14ac:dyDescent="0.25">
      <c r="B1226" s="158" t="s">
        <v>1034</v>
      </c>
      <c r="C1226" s="108" t="str">
        <f>+'LISTA DE INSUMOS'!A18</f>
        <v>MOB015</v>
      </c>
      <c r="D1226" s="139" t="str">
        <f>+'LISTA DE INSUMOS'!B18</f>
        <v>Cuadrilla E 1 Of + 1 Ay (jornal + prestaciones)</v>
      </c>
      <c r="E1226" s="108" t="str">
        <f>'LISTA DE INSUMOS'!C18</f>
        <v>Día</v>
      </c>
      <c r="F1226" s="140">
        <v>1</v>
      </c>
      <c r="G1226" s="141">
        <f>'LISTA DE INSUMOS'!E18</f>
        <v>245584</v>
      </c>
      <c r="H1226" s="108">
        <f>1/4</f>
        <v>0.25</v>
      </c>
      <c r="I1226" s="141">
        <f>ROUND((F1226*G1226*H1226),0)</f>
        <v>61396</v>
      </c>
      <c r="J1226" s="47"/>
      <c r="K1226" s="143"/>
    </row>
    <row r="1227" spans="2:11" ht="24.9" customHeight="1" thickTop="1" thickBot="1" x14ac:dyDescent="0.25">
      <c r="B1227" s="150" t="s">
        <v>1033</v>
      </c>
      <c r="C1227" s="151" t="str">
        <f>'LISTA DE INSUMOS'!A758</f>
        <v>EQU002</v>
      </c>
      <c r="D1227" s="146" t="str">
        <f>'LISTA DE INSUMOS'!B758</f>
        <v>Herramienta menor (% mano obra)</v>
      </c>
      <c r="E1227" s="145" t="str">
        <f>'LISTA DE INSUMOS'!C758</f>
        <v>%MO</v>
      </c>
      <c r="F1227" s="147">
        <v>0.1</v>
      </c>
      <c r="G1227" s="148">
        <f>I1226</f>
        <v>61396</v>
      </c>
      <c r="H1227" s="145">
        <v>0</v>
      </c>
      <c r="I1227" s="148">
        <f>ROUND((F1227*G1227),0)</f>
        <v>6140</v>
      </c>
      <c r="J1227" s="47"/>
      <c r="K1227" s="143"/>
    </row>
    <row r="1228" spans="2:11" ht="30" customHeight="1" x14ac:dyDescent="0.2">
      <c r="B1228" s="117" t="s">
        <v>1849</v>
      </c>
      <c r="C1228" s="117"/>
      <c r="D1228" s="112" t="s">
        <v>435</v>
      </c>
      <c r="E1228" s="117" t="s">
        <v>1412</v>
      </c>
      <c r="F1228" s="118"/>
      <c r="G1228" s="119">
        <f>ROUND(SUM(I1228:I1237),0)</f>
        <v>82789</v>
      </c>
      <c r="H1228" s="120"/>
      <c r="I1228" s="119"/>
      <c r="J1228" s="47"/>
      <c r="K1228" s="143"/>
    </row>
    <row r="1229" spans="2:11" ht="24.9" customHeight="1" x14ac:dyDescent="0.2">
      <c r="B1229" s="672" t="s">
        <v>1035</v>
      </c>
      <c r="C1229" s="108" t="str">
        <f>'LISTA DE INSUMOS'!A46</f>
        <v>MAT017</v>
      </c>
      <c r="D1229" s="139" t="str">
        <f>'LISTA DE INSUMOS'!B46</f>
        <v>Tabla para formaleta de 1" x 10" x 2,9 m</v>
      </c>
      <c r="E1229" s="108" t="str">
        <f>'LISTA DE INSUMOS'!C46</f>
        <v>M</v>
      </c>
      <c r="F1229" s="140">
        <v>2</v>
      </c>
      <c r="G1229" s="141">
        <f>'LISTA DE INSUMOS'!E46</f>
        <v>8112.0359999999991</v>
      </c>
      <c r="H1229" s="108">
        <f>1/3</f>
        <v>0.33333333333333331</v>
      </c>
      <c r="I1229" s="141">
        <f>ROUND((F1229*G1229*H1229),0)</f>
        <v>5408</v>
      </c>
      <c r="J1229" s="47"/>
      <c r="K1229" s="143"/>
    </row>
    <row r="1230" spans="2:11" ht="24.9" customHeight="1" x14ac:dyDescent="0.2">
      <c r="B1230" s="672"/>
      <c r="C1230" s="108" t="str">
        <f>'LISTA DE INSUMOS'!A52</f>
        <v>MAT021</v>
      </c>
      <c r="D1230" s="139" t="str">
        <f>'LISTA DE INSUMOS'!B52</f>
        <v>Puntilla (promedio)</v>
      </c>
      <c r="E1230" s="108" t="str">
        <f>'LISTA DE INSUMOS'!C52</f>
        <v>Lb</v>
      </c>
      <c r="F1230" s="140">
        <v>0.1</v>
      </c>
      <c r="G1230" s="141">
        <f>'LISTA DE INSUMOS'!E52</f>
        <v>6690.6972299999998</v>
      </c>
      <c r="H1230" s="108">
        <v>0</v>
      </c>
      <c r="I1230" s="141">
        <f>ROUND((F1230*G1230),0)</f>
        <v>669</v>
      </c>
      <c r="J1230" s="47"/>
      <c r="K1230" s="143"/>
    </row>
    <row r="1231" spans="2:11" ht="24.9" customHeight="1" x14ac:dyDescent="0.2">
      <c r="B1231" s="672"/>
      <c r="C1231" s="108" t="str">
        <f>'LISTA DE INSUMOS'!A67</f>
        <v>MAT034</v>
      </c>
      <c r="D1231" s="139" t="str">
        <f>'LISTA DE INSUMOS'!B67</f>
        <v>ACPM</v>
      </c>
      <c r="E1231" s="108" t="str">
        <f>'LISTA DE INSUMOS'!C67</f>
        <v>Gl</v>
      </c>
      <c r="F1231" s="140">
        <v>0.05</v>
      </c>
      <c r="G1231" s="141">
        <f>'LISTA DE INSUMOS'!E67</f>
        <v>9681.4499999999989</v>
      </c>
      <c r="H1231" s="205">
        <v>0</v>
      </c>
      <c r="I1231" s="141">
        <f>ROUND((F1231*G1231),0)</f>
        <v>484</v>
      </c>
      <c r="J1231" s="47"/>
      <c r="K1231" s="143"/>
    </row>
    <row r="1232" spans="2:11" ht="24.9" customHeight="1" x14ac:dyDescent="0.2">
      <c r="B1232" s="672"/>
      <c r="C1232" s="108" t="str">
        <f>'LISTA DE INSUMOS'!A93</f>
        <v>MAT051</v>
      </c>
      <c r="D1232" s="139" t="str">
        <f>'LISTA DE INSUMOS'!B93</f>
        <v>Antisol blanco</v>
      </c>
      <c r="E1232" s="108" t="str">
        <f>'LISTA DE INSUMOS'!C93</f>
        <v>Kg</v>
      </c>
      <c r="F1232" s="140">
        <v>0.1</v>
      </c>
      <c r="G1232" s="141">
        <f>'LISTA DE INSUMOS'!E93</f>
        <v>11510.734499999999</v>
      </c>
      <c r="H1232" s="108">
        <v>1.03</v>
      </c>
      <c r="I1232" s="141">
        <f>ROUND((F1232*G1232*H1232),0)</f>
        <v>1186</v>
      </c>
      <c r="J1232" s="47"/>
      <c r="K1232" s="143"/>
    </row>
    <row r="1233" spans="2:11" ht="24.9" customHeight="1" thickBot="1" x14ac:dyDescent="0.25">
      <c r="B1233" s="673"/>
      <c r="C1233" s="108" t="str">
        <f>'LISTA DE INSUMOS'!A132</f>
        <v>MAT091</v>
      </c>
      <c r="D1233" s="139" t="str">
        <f>'LISTA DE INSUMOS'!B132</f>
        <v>Varillón de sajo</v>
      </c>
      <c r="E1233" s="108" t="str">
        <f>'LISTA DE INSUMOS'!C132</f>
        <v>M</v>
      </c>
      <c r="F1233" s="140">
        <v>2</v>
      </c>
      <c r="G1233" s="141">
        <f>'LISTA DE INSUMOS'!E132</f>
        <v>2979.6450687603597</v>
      </c>
      <c r="H1233" s="108">
        <f>1/3</f>
        <v>0.33333333333333331</v>
      </c>
      <c r="I1233" s="141">
        <f>ROUND((F1233*G1233*H1233),0)</f>
        <v>1986</v>
      </c>
      <c r="J1233" s="47"/>
      <c r="K1233" s="143"/>
    </row>
    <row r="1234" spans="2:11" ht="24.9" customHeight="1" thickTop="1" x14ac:dyDescent="0.2">
      <c r="B1234" s="685" t="s">
        <v>1310</v>
      </c>
      <c r="C1234" s="108" t="str">
        <f>+B273</f>
        <v>ITE046</v>
      </c>
      <c r="D1234" s="139" t="str">
        <f>+D273</f>
        <v>Lleno compactado con afirmado manual, no incluye transporte</v>
      </c>
      <c r="E1234" s="108" t="str">
        <f>E273</f>
        <v>M3</v>
      </c>
      <c r="F1234" s="140">
        <v>0.1</v>
      </c>
      <c r="G1234" s="141">
        <f>G273</f>
        <v>116815</v>
      </c>
      <c r="H1234" s="108">
        <v>0</v>
      </c>
      <c r="I1234" s="141">
        <f>ROUND((F1234*G1234),0)</f>
        <v>11682</v>
      </c>
      <c r="J1234" s="47"/>
      <c r="K1234" s="143"/>
    </row>
    <row r="1235" spans="2:11" ht="24.9" customHeight="1" thickBot="1" x14ac:dyDescent="0.25">
      <c r="B1235" s="707"/>
      <c r="C1235" s="108" t="str">
        <f>+B544</f>
        <v>ITE092</v>
      </c>
      <c r="D1235" s="139" t="str">
        <f>+D544</f>
        <v>Concreto de 20,7 Mpa (3000 psi) (producción)</v>
      </c>
      <c r="E1235" s="108" t="str">
        <f>E544</f>
        <v>M3</v>
      </c>
      <c r="F1235" s="140">
        <v>7.0000000000000007E-2</v>
      </c>
      <c r="G1235" s="141">
        <f>G544</f>
        <v>596118</v>
      </c>
      <c r="H1235" s="108">
        <v>1.05</v>
      </c>
      <c r="I1235" s="141">
        <f>ROUND((F1235*G1235*H1235),0)</f>
        <v>43815</v>
      </c>
      <c r="J1235" s="47"/>
      <c r="K1235" s="143"/>
    </row>
    <row r="1236" spans="2:11" ht="24.9" customHeight="1" thickTop="1" thickBot="1" x14ac:dyDescent="0.25">
      <c r="B1236" s="158" t="s">
        <v>1034</v>
      </c>
      <c r="C1236" s="108" t="str">
        <f>+'LISTA DE INSUMOS'!A18</f>
        <v>MOB015</v>
      </c>
      <c r="D1236" s="139" t="str">
        <f>+'LISTA DE INSUMOS'!B18</f>
        <v>Cuadrilla E 1 Of + 1 Ay (jornal + prestaciones)</v>
      </c>
      <c r="E1236" s="108" t="str">
        <f>'LISTA DE INSUMOS'!C18</f>
        <v>Día</v>
      </c>
      <c r="F1236" s="140">
        <v>1</v>
      </c>
      <c r="G1236" s="141">
        <f>'LISTA DE INSUMOS'!E18</f>
        <v>245584</v>
      </c>
      <c r="H1236" s="108">
        <v>6.5000000000000002E-2</v>
      </c>
      <c r="I1236" s="141">
        <f>ROUND((F1236*G1236*H1236),0)</f>
        <v>15963</v>
      </c>
      <c r="J1236" s="47"/>
      <c r="K1236" s="143"/>
    </row>
    <row r="1237" spans="2:11" ht="24.9" customHeight="1" thickTop="1" thickBot="1" x14ac:dyDescent="0.25">
      <c r="B1237" s="150" t="s">
        <v>1033</v>
      </c>
      <c r="C1237" s="151" t="str">
        <f>'LISTA DE INSUMOS'!A758</f>
        <v>EQU002</v>
      </c>
      <c r="D1237" s="146" t="str">
        <f>'LISTA DE INSUMOS'!B758</f>
        <v>Herramienta menor (% mano obra)</v>
      </c>
      <c r="E1237" s="145" t="str">
        <f>'LISTA DE INSUMOS'!C758</f>
        <v>%MO</v>
      </c>
      <c r="F1237" s="147">
        <v>0.1</v>
      </c>
      <c r="G1237" s="148">
        <f>I1236</f>
        <v>15963</v>
      </c>
      <c r="H1237" s="145">
        <v>0</v>
      </c>
      <c r="I1237" s="148">
        <f>ROUND((F1237*G1237),0)</f>
        <v>1596</v>
      </c>
      <c r="J1237" s="47"/>
      <c r="K1237" s="143"/>
    </row>
    <row r="1238" spans="2:11" ht="43.5" customHeight="1" x14ac:dyDescent="0.2">
      <c r="B1238" s="117" t="s">
        <v>1851</v>
      </c>
      <c r="C1238" s="117"/>
      <c r="D1238" s="112" t="s">
        <v>2661</v>
      </c>
      <c r="E1238" s="117" t="s">
        <v>1412</v>
      </c>
      <c r="F1238" s="118"/>
      <c r="G1238" s="119">
        <f>ROUND(SUM(I1238:I1242),0)</f>
        <v>28439</v>
      </c>
      <c r="H1238" s="120"/>
      <c r="I1238" s="119"/>
      <c r="J1238" s="47"/>
      <c r="K1238" s="143"/>
    </row>
    <row r="1239" spans="2:11" ht="24.9" customHeight="1" thickBot="1" x14ac:dyDescent="0.25">
      <c r="B1239" s="227" t="s">
        <v>1325</v>
      </c>
      <c r="C1239" s="108" t="str">
        <f>'LISTA DE INSUMOS'!A93</f>
        <v>MAT051</v>
      </c>
      <c r="D1239" s="139" t="str">
        <f>'LISTA DE INSUMOS'!B93</f>
        <v>Antisol blanco</v>
      </c>
      <c r="E1239" s="108" t="str">
        <f>'LISTA DE INSUMOS'!C93</f>
        <v>Kg</v>
      </c>
      <c r="F1239" s="140">
        <v>0.1</v>
      </c>
      <c r="G1239" s="141">
        <f>'LISTA DE INSUMOS'!E93</f>
        <v>11510.734499999999</v>
      </c>
      <c r="H1239" s="108">
        <v>1.03</v>
      </c>
      <c r="I1239" s="141">
        <f>ROUND((F1239*G1239*H1239),0)</f>
        <v>1186</v>
      </c>
      <c r="J1239" s="47"/>
      <c r="K1239" s="143"/>
    </row>
    <row r="1240" spans="2:11" ht="24.9" customHeight="1" thickTop="1" thickBot="1" x14ac:dyDescent="0.25">
      <c r="B1240" s="191" t="s">
        <v>1310</v>
      </c>
      <c r="C1240" s="108" t="str">
        <f>+B544</f>
        <v>ITE092</v>
      </c>
      <c r="D1240" s="139" t="str">
        <f>+D544</f>
        <v>Concreto de 20,7 Mpa (3000 psi) (producción)</v>
      </c>
      <c r="E1240" s="108" t="str">
        <f>E544</f>
        <v>M3</v>
      </c>
      <c r="F1240" s="140">
        <v>0.02</v>
      </c>
      <c r="G1240" s="141">
        <f>+G544</f>
        <v>596118</v>
      </c>
      <c r="H1240" s="108">
        <v>1.05</v>
      </c>
      <c r="I1240" s="141">
        <f>ROUND((F1240*G1240*H1240),0)</f>
        <v>12518</v>
      </c>
      <c r="J1240" s="47"/>
      <c r="K1240" s="143"/>
    </row>
    <row r="1241" spans="2:11" ht="24.9" customHeight="1" thickTop="1" thickBot="1" x14ac:dyDescent="0.25">
      <c r="B1241" s="158" t="s">
        <v>1034</v>
      </c>
      <c r="C1241" s="108" t="str">
        <f>+'LISTA DE INSUMOS'!A18</f>
        <v>MOB015</v>
      </c>
      <c r="D1241" s="139" t="str">
        <f>+'LISTA DE INSUMOS'!B18</f>
        <v>Cuadrilla E 1 Of + 1 Ay (jornal + prestaciones)</v>
      </c>
      <c r="E1241" s="108" t="str">
        <f>'LISTA DE INSUMOS'!C18</f>
        <v>Día</v>
      </c>
      <c r="F1241" s="140">
        <v>1</v>
      </c>
      <c r="G1241" s="141">
        <f>'LISTA DE INSUMOS'!E18</f>
        <v>245584</v>
      </c>
      <c r="H1241" s="142">
        <v>0.05</v>
      </c>
      <c r="I1241" s="141">
        <f>ROUND((F1241*G1241*H1241),0)</f>
        <v>12279</v>
      </c>
      <c r="J1241" s="47"/>
      <c r="K1241" s="143"/>
    </row>
    <row r="1242" spans="2:11" ht="24.9" customHeight="1" thickTop="1" thickBot="1" x14ac:dyDescent="0.25">
      <c r="B1242" s="150" t="s">
        <v>1033</v>
      </c>
      <c r="C1242" s="151" t="str">
        <f>'LISTA DE INSUMOS'!A758</f>
        <v>EQU002</v>
      </c>
      <c r="D1242" s="146" t="str">
        <f>'LISTA DE INSUMOS'!B758</f>
        <v>Herramienta menor (% mano obra)</v>
      </c>
      <c r="E1242" s="145" t="str">
        <f>'LISTA DE INSUMOS'!C758</f>
        <v>%MO</v>
      </c>
      <c r="F1242" s="147">
        <v>0.2</v>
      </c>
      <c r="G1242" s="148">
        <f>I1241</f>
        <v>12279</v>
      </c>
      <c r="H1242" s="145">
        <v>0</v>
      </c>
      <c r="I1242" s="148">
        <f>ROUND((F1242*G1242),0)</f>
        <v>2456</v>
      </c>
      <c r="J1242" s="47"/>
      <c r="K1242" s="143"/>
    </row>
    <row r="1243" spans="2:11" s="317" customFormat="1" ht="50.25" hidden="1" customHeight="1" x14ac:dyDescent="0.2">
      <c r="B1243" s="319" t="s">
        <v>1854</v>
      </c>
      <c r="C1243" s="319"/>
      <c r="D1243" s="320" t="s">
        <v>232</v>
      </c>
      <c r="E1243" s="319" t="s">
        <v>1435</v>
      </c>
      <c r="F1243" s="321"/>
      <c r="G1243" s="312">
        <f>ROUND(SUM(I1243:I1251),0)</f>
        <v>431315</v>
      </c>
      <c r="H1243" s="322"/>
      <c r="I1243" s="312"/>
      <c r="J1243" s="313"/>
      <c r="K1243" s="323"/>
    </row>
    <row r="1244" spans="2:11" s="317" customFormat="1" ht="24.9" hidden="1" customHeight="1" x14ac:dyDescent="0.2">
      <c r="B1244" s="691" t="s">
        <v>1035</v>
      </c>
      <c r="C1244" s="322" t="str">
        <f>'LISTA DE INSUMOS'!A46</f>
        <v>MAT017</v>
      </c>
      <c r="D1244" s="324" t="str">
        <f>'LISTA DE INSUMOS'!B46</f>
        <v>Tabla para formaleta de 1" x 10" x 2,9 m</v>
      </c>
      <c r="E1244" s="322" t="str">
        <f>'LISTA DE INSUMOS'!C46</f>
        <v>M</v>
      </c>
      <c r="F1244" s="325">
        <v>6.5</v>
      </c>
      <c r="G1244" s="312">
        <f>'LISTA DE INSUMOS'!E46</f>
        <v>8112.0359999999991</v>
      </c>
      <c r="H1244" s="322">
        <f>1/3</f>
        <v>0.33333333333333331</v>
      </c>
      <c r="I1244" s="312">
        <f>ROUND((F1244*G1244*H1244),0)</f>
        <v>17576</v>
      </c>
      <c r="J1244" s="313"/>
      <c r="K1244" s="323"/>
    </row>
    <row r="1245" spans="2:11" s="317" customFormat="1" ht="24.9" hidden="1" customHeight="1" x14ac:dyDescent="0.2">
      <c r="B1245" s="691"/>
      <c r="C1245" s="322" t="str">
        <f>'LISTA DE INSUMOS'!A50</f>
        <v>MAT019</v>
      </c>
      <c r="D1245" s="324" t="str">
        <f>'LISTA DE INSUMOS'!B50</f>
        <v>Listón sajo de 5 x 3 cm x 2,5 m (varilla)</v>
      </c>
      <c r="E1245" s="322" t="str">
        <f>'LISTA DE INSUMOS'!C50</f>
        <v>M</v>
      </c>
      <c r="F1245" s="325">
        <v>8</v>
      </c>
      <c r="G1245" s="312">
        <f>'LISTA DE INSUMOS'!E50</f>
        <v>7285.5458999999992</v>
      </c>
      <c r="H1245" s="322">
        <f>1/3</f>
        <v>0.33333333333333331</v>
      </c>
      <c r="I1245" s="312">
        <f>ROUND((F1245*G1245*H1245),0)</f>
        <v>19428</v>
      </c>
      <c r="J1245" s="313"/>
      <c r="K1245" s="323"/>
    </row>
    <row r="1246" spans="2:11" s="317" customFormat="1" ht="24.9" hidden="1" customHeight="1" x14ac:dyDescent="0.2">
      <c r="B1246" s="691"/>
      <c r="C1246" s="322" t="str">
        <f>'LISTA DE INSUMOS'!A93</f>
        <v>MAT051</v>
      </c>
      <c r="D1246" s="324" t="str">
        <f>'LISTA DE INSUMOS'!B93</f>
        <v>Antisol blanco</v>
      </c>
      <c r="E1246" s="322" t="str">
        <f>'LISTA DE INSUMOS'!C93</f>
        <v>Kg</v>
      </c>
      <c r="F1246" s="325">
        <v>0.05</v>
      </c>
      <c r="G1246" s="312">
        <f>'LISTA DE INSUMOS'!E93</f>
        <v>11510.734499999999</v>
      </c>
      <c r="H1246" s="322">
        <v>1.03</v>
      </c>
      <c r="I1246" s="312">
        <f>ROUND((F1246*G1246*H1246),0)</f>
        <v>593</v>
      </c>
      <c r="J1246" s="313"/>
      <c r="K1246" s="323"/>
    </row>
    <row r="1247" spans="2:11" s="317" customFormat="1" ht="24.9" hidden="1" customHeight="1" thickBot="1" x14ac:dyDescent="0.25">
      <c r="B1247" s="692"/>
      <c r="C1247" s="322" t="str">
        <f>'LISTA DE INSUMOS'!A52</f>
        <v>MAT021</v>
      </c>
      <c r="D1247" s="324" t="str">
        <f>'LISTA DE INSUMOS'!B52</f>
        <v>Puntilla (promedio)</v>
      </c>
      <c r="E1247" s="322" t="str">
        <f>'LISTA DE INSUMOS'!C52</f>
        <v>Lb</v>
      </c>
      <c r="F1247" s="325">
        <v>0.12</v>
      </c>
      <c r="G1247" s="312">
        <f>'LISTA DE INSUMOS'!E52</f>
        <v>6690.6972299999998</v>
      </c>
      <c r="H1247" s="322">
        <v>0</v>
      </c>
      <c r="I1247" s="312">
        <f>ROUND((F1247*G1247),0)</f>
        <v>803</v>
      </c>
      <c r="J1247" s="313"/>
      <c r="K1247" s="323"/>
    </row>
    <row r="1248" spans="2:11" s="317" customFormat="1" ht="24.9" hidden="1" customHeight="1" thickTop="1" x14ac:dyDescent="0.2">
      <c r="B1248" s="714" t="s">
        <v>1310</v>
      </c>
      <c r="C1248" s="322" t="str">
        <f>+B544</f>
        <v>ITE092</v>
      </c>
      <c r="D1248" s="324" t="str">
        <f>+D544</f>
        <v>Concreto de 20,7 Mpa (3000 psi) (producción)</v>
      </c>
      <c r="E1248" s="322" t="str">
        <f>E544</f>
        <v>M3</v>
      </c>
      <c r="F1248" s="325">
        <f>0.4*0.4</f>
        <v>0.16000000000000003</v>
      </c>
      <c r="G1248" s="312">
        <f>G544</f>
        <v>596118</v>
      </c>
      <c r="H1248" s="322">
        <v>1.05</v>
      </c>
      <c r="I1248" s="312">
        <f>ROUND((F1248*G1248*H1248),0)</f>
        <v>100148</v>
      </c>
      <c r="J1248" s="313"/>
      <c r="K1248" s="323"/>
    </row>
    <row r="1249" spans="2:11" s="317" customFormat="1" ht="24.9" hidden="1" customHeight="1" thickBot="1" x14ac:dyDescent="0.25">
      <c r="B1249" s="715"/>
      <c r="C1249" s="322" t="str">
        <f>B587</f>
        <v>ITE98</v>
      </c>
      <c r="D1249" s="320" t="str">
        <f>D587</f>
        <v>Acero Fy = 60.000 psi d&gt;1/4"</v>
      </c>
      <c r="E1249" s="322" t="str">
        <f>E587</f>
        <v>Kg</v>
      </c>
      <c r="F1249" s="325">
        <v>28</v>
      </c>
      <c r="G1249" s="312">
        <f>G587</f>
        <v>7240</v>
      </c>
      <c r="H1249" s="322">
        <v>0</v>
      </c>
      <c r="I1249" s="312">
        <f>ROUND((F1249*G1249),0)</f>
        <v>202720</v>
      </c>
      <c r="J1249" s="313"/>
      <c r="K1249" s="323"/>
    </row>
    <row r="1250" spans="2:11" s="317" customFormat="1" ht="24.9" hidden="1" customHeight="1" thickTop="1" thickBot="1" x14ac:dyDescent="0.25">
      <c r="B1250" s="342" t="s">
        <v>1034</v>
      </c>
      <c r="C1250" s="322" t="str">
        <f>+'LISTA DE INSUMOS'!A20</f>
        <v>MOB017</v>
      </c>
      <c r="D1250" s="324" t="str">
        <f>+'LISTA DE INSUMOS'!B20</f>
        <v>Cuadrilla G 1 Of + 2 Ay (jornal + prestaciones)</v>
      </c>
      <c r="E1250" s="322" t="str">
        <f>'LISTA DE INSUMOS'!C20</f>
        <v>Día</v>
      </c>
      <c r="F1250" s="325">
        <v>1</v>
      </c>
      <c r="G1250" s="312">
        <f>'LISTA DE INSUMOS'!E20</f>
        <v>327445</v>
      </c>
      <c r="H1250" s="322">
        <f>1/4</f>
        <v>0.25</v>
      </c>
      <c r="I1250" s="312">
        <f>ROUND((F1250*G1250*H1250),0)</f>
        <v>81861</v>
      </c>
      <c r="J1250" s="313"/>
      <c r="K1250" s="323"/>
    </row>
    <row r="1251" spans="2:11" s="317" customFormat="1" ht="24.9" hidden="1" customHeight="1" thickTop="1" thickBot="1" x14ac:dyDescent="0.25">
      <c r="B1251" s="255" t="s">
        <v>1033</v>
      </c>
      <c r="C1251" s="327" t="str">
        <f>'LISTA DE INSUMOS'!A758</f>
        <v>EQU002</v>
      </c>
      <c r="D1251" s="328" t="str">
        <f>'LISTA DE INSUMOS'!B758</f>
        <v>Herramienta menor (% mano obra)</v>
      </c>
      <c r="E1251" s="329" t="str">
        <f>'LISTA DE INSUMOS'!C758</f>
        <v>%MO</v>
      </c>
      <c r="F1251" s="330">
        <v>0.1</v>
      </c>
      <c r="G1251" s="331">
        <f>I1250</f>
        <v>81861</v>
      </c>
      <c r="H1251" s="329">
        <v>0</v>
      </c>
      <c r="I1251" s="331">
        <f>ROUND((F1251*G1251),0)</f>
        <v>8186</v>
      </c>
      <c r="J1251" s="313"/>
      <c r="K1251" s="323"/>
    </row>
    <row r="1252" spans="2:11" s="317" customFormat="1" ht="24.9" hidden="1" customHeight="1" x14ac:dyDescent="0.2">
      <c r="B1252" s="319" t="s">
        <v>1801</v>
      </c>
      <c r="C1252" s="319"/>
      <c r="D1252" s="320" t="s">
        <v>233</v>
      </c>
      <c r="E1252" s="319" t="s">
        <v>2585</v>
      </c>
      <c r="F1252" s="332"/>
      <c r="G1252" s="312">
        <f>ROUND(SUM(I1252:I1262),0)</f>
        <v>175165</v>
      </c>
      <c r="H1252" s="322"/>
      <c r="I1252" s="312"/>
      <c r="J1252" s="313"/>
      <c r="K1252" s="323"/>
    </row>
    <row r="1253" spans="2:11" s="317" customFormat="1" ht="24.9" hidden="1" customHeight="1" x14ac:dyDescent="0.2">
      <c r="B1253" s="691" t="s">
        <v>1035</v>
      </c>
      <c r="C1253" s="322" t="str">
        <f>'LISTA DE INSUMOS'!A361</f>
        <v>MAT354</v>
      </c>
      <c r="D1253" s="324" t="str">
        <f>'LISTA DE INSUMOS'!B361</f>
        <v>Malla Electr 4x4mm 15x15cm 2.35x6m Diaco</v>
      </c>
      <c r="E1253" s="322" t="str">
        <f>'LISTA DE INSUMOS'!C361</f>
        <v>kg</v>
      </c>
      <c r="F1253" s="325">
        <f>0.64+0.6</f>
        <v>1.24</v>
      </c>
      <c r="G1253" s="312">
        <f>'LISTA DE INSUMOS'!E361</f>
        <v>8348.5787547624004</v>
      </c>
      <c r="H1253" s="322">
        <v>1.05</v>
      </c>
      <c r="I1253" s="312">
        <f>ROUND((F1253*G1253*H1253),0)</f>
        <v>10870</v>
      </c>
      <c r="J1253" s="313"/>
      <c r="K1253" s="323"/>
    </row>
    <row r="1254" spans="2:11" s="317" customFormat="1" ht="24.9" hidden="1" customHeight="1" x14ac:dyDescent="0.2">
      <c r="B1254" s="691"/>
      <c r="C1254" s="322" t="str">
        <f>'LISTA DE INSUMOS'!A46</f>
        <v>MAT017</v>
      </c>
      <c r="D1254" s="324" t="str">
        <f>'LISTA DE INSUMOS'!B46</f>
        <v>Tabla para formaleta de 1" x 10" x 2,9 m</v>
      </c>
      <c r="E1254" s="322" t="str">
        <f>'LISTA DE INSUMOS'!C46</f>
        <v>M</v>
      </c>
      <c r="F1254" s="325">
        <v>2</v>
      </c>
      <c r="G1254" s="312">
        <f>'LISTA DE INSUMOS'!E46</f>
        <v>8112.0359999999991</v>
      </c>
      <c r="H1254" s="322">
        <f>1/3</f>
        <v>0.33333333333333331</v>
      </c>
      <c r="I1254" s="312">
        <f>ROUND((F1254*G1254*H1254),0)</f>
        <v>5408</v>
      </c>
      <c r="J1254" s="313"/>
      <c r="K1254" s="323"/>
    </row>
    <row r="1255" spans="2:11" s="317" customFormat="1" ht="24.9" hidden="1" customHeight="1" x14ac:dyDescent="0.2">
      <c r="B1255" s="691"/>
      <c r="C1255" s="322" t="str">
        <f>'LISTA DE INSUMOS'!A52</f>
        <v>MAT021</v>
      </c>
      <c r="D1255" s="324" t="str">
        <f>'LISTA DE INSUMOS'!B52</f>
        <v>Puntilla (promedio)</v>
      </c>
      <c r="E1255" s="322" t="str">
        <f>'LISTA DE INSUMOS'!C52</f>
        <v>Lb</v>
      </c>
      <c r="F1255" s="325">
        <v>0.25</v>
      </c>
      <c r="G1255" s="312">
        <f>'LISTA DE INSUMOS'!E52</f>
        <v>6690.6972299999998</v>
      </c>
      <c r="H1255" s="322">
        <v>0</v>
      </c>
      <c r="I1255" s="312">
        <f>ROUND((F1255*G1255),0)</f>
        <v>1673</v>
      </c>
      <c r="J1255" s="313"/>
      <c r="K1255" s="323"/>
    </row>
    <row r="1256" spans="2:11" s="317" customFormat="1" ht="24.9" hidden="1" customHeight="1" x14ac:dyDescent="0.2">
      <c r="B1256" s="691"/>
      <c r="C1256" s="322" t="str">
        <f>'LISTA DE INSUMOS'!A93</f>
        <v>MAT051</v>
      </c>
      <c r="D1256" s="324" t="str">
        <f>'LISTA DE INSUMOS'!B93</f>
        <v>Antisol blanco</v>
      </c>
      <c r="E1256" s="322" t="str">
        <f>'LISTA DE INSUMOS'!C93</f>
        <v>Kg</v>
      </c>
      <c r="F1256" s="325">
        <f>1/5</f>
        <v>0.2</v>
      </c>
      <c r="G1256" s="312">
        <f>'LISTA DE INSUMOS'!E93</f>
        <v>11510.734499999999</v>
      </c>
      <c r="H1256" s="322">
        <v>1.03</v>
      </c>
      <c r="I1256" s="312">
        <f>ROUND((F1256*G1256*H1256),0)</f>
        <v>2371</v>
      </c>
      <c r="J1256" s="313"/>
      <c r="K1256" s="323"/>
    </row>
    <row r="1257" spans="2:11" s="317" customFormat="1" ht="24.9" hidden="1" customHeight="1" x14ac:dyDescent="0.2">
      <c r="B1257" s="691"/>
      <c r="C1257" s="322" t="str">
        <f>'LISTA DE INSUMOS'!A67</f>
        <v>MAT034</v>
      </c>
      <c r="D1257" s="324" t="str">
        <f>'LISTA DE INSUMOS'!B67</f>
        <v>ACPM</v>
      </c>
      <c r="E1257" s="322" t="str">
        <f>'LISTA DE INSUMOS'!C67</f>
        <v>Gl</v>
      </c>
      <c r="F1257" s="325">
        <v>0.05</v>
      </c>
      <c r="G1257" s="312">
        <f>'LISTA DE INSUMOS'!E67</f>
        <v>9681.4499999999989</v>
      </c>
      <c r="H1257" s="349">
        <v>0</v>
      </c>
      <c r="I1257" s="312">
        <f>ROUND((F1257*G1257),0)</f>
        <v>484</v>
      </c>
      <c r="J1257" s="313"/>
      <c r="K1257" s="323"/>
    </row>
    <row r="1258" spans="2:11" s="317" customFormat="1" ht="24.9" hidden="1" customHeight="1" thickBot="1" x14ac:dyDescent="0.25">
      <c r="B1258" s="692"/>
      <c r="C1258" s="322" t="str">
        <f>'LISTA DE INSUMOS'!A132</f>
        <v>MAT091</v>
      </c>
      <c r="D1258" s="324" t="str">
        <f>'LISTA DE INSUMOS'!B132</f>
        <v>Varillón de sajo</v>
      </c>
      <c r="E1258" s="322" t="str">
        <f>'LISTA DE INSUMOS'!C132</f>
        <v>M</v>
      </c>
      <c r="F1258" s="325">
        <v>1.8</v>
      </c>
      <c r="G1258" s="312">
        <f>'LISTA DE INSUMOS'!E132</f>
        <v>2979.6450687603597</v>
      </c>
      <c r="H1258" s="322">
        <f>1/3</f>
        <v>0.33333333333333331</v>
      </c>
      <c r="I1258" s="312">
        <f>ROUND((F1258*G1258*H1258),0)</f>
        <v>1788</v>
      </c>
      <c r="J1258" s="313"/>
      <c r="K1258" s="323"/>
    </row>
    <row r="1259" spans="2:11" s="317" customFormat="1" ht="24.9" hidden="1" customHeight="1" thickTop="1" thickBot="1" x14ac:dyDescent="0.25">
      <c r="B1259" s="342" t="s">
        <v>1310</v>
      </c>
      <c r="C1259" s="322" t="str">
        <f>B544</f>
        <v>ITE092</v>
      </c>
      <c r="D1259" s="324" t="str">
        <f>+D544</f>
        <v>Concreto de 20,7 Mpa (3000 psi) (producción)</v>
      </c>
      <c r="E1259" s="322" t="str">
        <f>E544</f>
        <v>M3</v>
      </c>
      <c r="F1259" s="325">
        <f>1.24*0.1</f>
        <v>0.124</v>
      </c>
      <c r="G1259" s="312">
        <f>G544</f>
        <v>596118</v>
      </c>
      <c r="H1259" s="322">
        <v>1.05</v>
      </c>
      <c r="I1259" s="312">
        <f>ROUND((F1259*G1259*H1259),0)</f>
        <v>77615</v>
      </c>
      <c r="J1259" s="313"/>
      <c r="K1259" s="323"/>
    </row>
    <row r="1260" spans="2:11" s="317" customFormat="1" ht="24.9" hidden="1" customHeight="1" thickTop="1" thickBot="1" x14ac:dyDescent="0.25">
      <c r="B1260" s="342" t="s">
        <v>1034</v>
      </c>
      <c r="C1260" s="322" t="str">
        <f>+'LISTA DE INSUMOS'!A20</f>
        <v>MOB017</v>
      </c>
      <c r="D1260" s="324" t="str">
        <f>+'LISTA DE INSUMOS'!B20</f>
        <v>Cuadrilla G 1 Of + 2 Ay (jornal + prestaciones)</v>
      </c>
      <c r="E1260" s="322" t="str">
        <f>'LISTA DE INSUMOS'!C20</f>
        <v>Día</v>
      </c>
      <c r="F1260" s="325">
        <v>1</v>
      </c>
      <c r="G1260" s="312">
        <f>'LISTA DE INSUMOS'!E20</f>
        <v>327445</v>
      </c>
      <c r="H1260" s="322">
        <f>1/5</f>
        <v>0.2</v>
      </c>
      <c r="I1260" s="312">
        <f>ROUND((F1260*G1260*H1260),0)</f>
        <v>65489</v>
      </c>
      <c r="J1260" s="313"/>
      <c r="K1260" s="323"/>
    </row>
    <row r="1261" spans="2:11" s="317" customFormat="1" ht="24.9" hidden="1" customHeight="1" thickTop="1" thickBot="1" x14ac:dyDescent="0.25">
      <c r="B1261" s="342" t="s">
        <v>1033</v>
      </c>
      <c r="C1261" s="322" t="str">
        <f>'LISTA DE INSUMOS'!A758</f>
        <v>EQU002</v>
      </c>
      <c r="D1261" s="324" t="str">
        <f>'LISTA DE INSUMOS'!B758</f>
        <v>Herramienta menor (% mano obra)</v>
      </c>
      <c r="E1261" s="322" t="str">
        <f>'LISTA DE INSUMOS'!C758</f>
        <v>%MO</v>
      </c>
      <c r="F1261" s="332">
        <v>0.1</v>
      </c>
      <c r="G1261" s="312">
        <f>I1260</f>
        <v>65489</v>
      </c>
      <c r="H1261" s="322">
        <v>0</v>
      </c>
      <c r="I1261" s="312">
        <f>ROUND((F1261*G1261),0)</f>
        <v>6549</v>
      </c>
      <c r="J1261" s="313"/>
      <c r="K1261" s="323"/>
    </row>
    <row r="1262" spans="2:11" s="317" customFormat="1" ht="24.9" hidden="1" customHeight="1" thickTop="1" thickBot="1" x14ac:dyDescent="0.25">
      <c r="B1262" s="343" t="s">
        <v>421</v>
      </c>
      <c r="C1262" s="329" t="str">
        <f>'LISTA DE INSUMOS'!A823</f>
        <v>ESY001</v>
      </c>
      <c r="D1262" s="328" t="str">
        <f>'LISTA DE INSUMOS'!B823</f>
        <v>Ensayo resistencia concretos (un testigo)</v>
      </c>
      <c r="E1262" s="329" t="str">
        <f>'LISTA DE INSUMOS'!C823</f>
        <v>Un</v>
      </c>
      <c r="F1262" s="344">
        <f>5/50</f>
        <v>0.1</v>
      </c>
      <c r="G1262" s="345">
        <f>'LISTA DE INSUMOS'!E823</f>
        <v>29175.946249999997</v>
      </c>
      <c r="H1262" s="350">
        <v>0</v>
      </c>
      <c r="I1262" s="331">
        <f>ROUND((F1262*G1262),0)</f>
        <v>2918</v>
      </c>
      <c r="J1262" s="313"/>
      <c r="K1262" s="323"/>
    </row>
    <row r="1263" spans="2:11" s="317" customFormat="1" ht="24.9" hidden="1" customHeight="1" x14ac:dyDescent="0.2">
      <c r="B1263" s="319" t="s">
        <v>1803</v>
      </c>
      <c r="C1263" s="319"/>
      <c r="D1263" s="320" t="s">
        <v>234</v>
      </c>
      <c r="E1263" s="319" t="s">
        <v>1412</v>
      </c>
      <c r="F1263" s="332"/>
      <c r="G1263" s="312">
        <f>ROUND(SUM(I1263:I1274),0)</f>
        <v>103526</v>
      </c>
      <c r="H1263" s="322"/>
      <c r="I1263" s="312"/>
      <c r="J1263" s="313"/>
      <c r="K1263" s="323"/>
    </row>
    <row r="1264" spans="2:11" s="317" customFormat="1" ht="24.9" hidden="1" customHeight="1" x14ac:dyDescent="0.2">
      <c r="B1264" s="691" t="s">
        <v>1035</v>
      </c>
      <c r="C1264" s="322" t="str">
        <f>'LISTA DE INSUMOS'!A46</f>
        <v>MAT017</v>
      </c>
      <c r="D1264" s="324" t="str">
        <f>'LISTA DE INSUMOS'!B46</f>
        <v>Tabla para formaleta de 1" x 10" x 2,9 m</v>
      </c>
      <c r="E1264" s="322" t="str">
        <f>'LISTA DE INSUMOS'!C46</f>
        <v>M</v>
      </c>
      <c r="F1264" s="325">
        <v>2</v>
      </c>
      <c r="G1264" s="312">
        <f>'LISTA DE INSUMOS'!E46</f>
        <v>8112.0359999999991</v>
      </c>
      <c r="H1264" s="349">
        <f>1/3</f>
        <v>0.33333333333333331</v>
      </c>
      <c r="I1264" s="312">
        <f>ROUND((F1264*G1264*H1264),0)</f>
        <v>5408</v>
      </c>
      <c r="J1264" s="313"/>
      <c r="K1264" s="323"/>
    </row>
    <row r="1265" spans="2:11" s="317" customFormat="1" ht="24.9" hidden="1" customHeight="1" x14ac:dyDescent="0.2">
      <c r="B1265" s="691"/>
      <c r="C1265" s="322" t="str">
        <f>'LISTA DE INSUMOS'!A52</f>
        <v>MAT021</v>
      </c>
      <c r="D1265" s="324" t="str">
        <f>'LISTA DE INSUMOS'!B52</f>
        <v>Puntilla (promedio)</v>
      </c>
      <c r="E1265" s="322" t="str">
        <f>'LISTA DE INSUMOS'!C52</f>
        <v>Lb</v>
      </c>
      <c r="F1265" s="325">
        <v>0.1</v>
      </c>
      <c r="G1265" s="312">
        <f>'LISTA DE INSUMOS'!E52</f>
        <v>6690.6972299999998</v>
      </c>
      <c r="H1265" s="349">
        <v>0</v>
      </c>
      <c r="I1265" s="312">
        <f>ROUND((F1265*G1265),0)</f>
        <v>669</v>
      </c>
      <c r="J1265" s="313"/>
      <c r="K1265" s="323"/>
    </row>
    <row r="1266" spans="2:11" s="317" customFormat="1" ht="24.9" hidden="1" customHeight="1" x14ac:dyDescent="0.2">
      <c r="B1266" s="691"/>
      <c r="C1266" s="322" t="str">
        <f>'LISTA DE INSUMOS'!A67</f>
        <v>MAT034</v>
      </c>
      <c r="D1266" s="324" t="str">
        <f>'LISTA DE INSUMOS'!B67</f>
        <v>ACPM</v>
      </c>
      <c r="E1266" s="322" t="str">
        <f>'LISTA DE INSUMOS'!C67</f>
        <v>Gl</v>
      </c>
      <c r="F1266" s="325">
        <v>0.05</v>
      </c>
      <c r="G1266" s="312">
        <f>'LISTA DE INSUMOS'!E67</f>
        <v>9681.4499999999989</v>
      </c>
      <c r="H1266" s="349">
        <v>0</v>
      </c>
      <c r="I1266" s="312">
        <f>ROUND((F1266*G1266),0)</f>
        <v>484</v>
      </c>
      <c r="J1266" s="313"/>
      <c r="K1266" s="323"/>
    </row>
    <row r="1267" spans="2:11" s="317" customFormat="1" ht="24.9" hidden="1" customHeight="1" x14ac:dyDescent="0.2">
      <c r="B1267" s="691"/>
      <c r="C1267" s="322" t="str">
        <f>'LISTA DE INSUMOS'!A93</f>
        <v>MAT051</v>
      </c>
      <c r="D1267" s="324" t="str">
        <f>'LISTA DE INSUMOS'!B93</f>
        <v>Antisol blanco</v>
      </c>
      <c r="E1267" s="322" t="str">
        <f>'LISTA DE INSUMOS'!C93</f>
        <v>Kg</v>
      </c>
      <c r="F1267" s="325">
        <v>0.1</v>
      </c>
      <c r="G1267" s="312">
        <f>'LISTA DE INSUMOS'!E93</f>
        <v>11510.734499999999</v>
      </c>
      <c r="H1267" s="322">
        <v>1.03</v>
      </c>
      <c r="I1267" s="312">
        <f>ROUND((F1267*G1267*H1267),0)</f>
        <v>1186</v>
      </c>
      <c r="J1267" s="313"/>
      <c r="K1267" s="323"/>
    </row>
    <row r="1268" spans="2:11" s="317" customFormat="1" ht="24.9" hidden="1" customHeight="1" thickBot="1" x14ac:dyDescent="0.25">
      <c r="B1268" s="692"/>
      <c r="C1268" s="322" t="str">
        <f>'LISTA DE INSUMOS'!A132</f>
        <v>MAT091</v>
      </c>
      <c r="D1268" s="324" t="str">
        <f>'LISTA DE INSUMOS'!B132</f>
        <v>Varillón de sajo</v>
      </c>
      <c r="E1268" s="322" t="str">
        <f>'LISTA DE INSUMOS'!C132</f>
        <v>M</v>
      </c>
      <c r="F1268" s="325">
        <v>2</v>
      </c>
      <c r="G1268" s="312">
        <f>'LISTA DE INSUMOS'!E132</f>
        <v>2979.6450687603597</v>
      </c>
      <c r="H1268" s="349">
        <f>1/3</f>
        <v>0.33333333333333331</v>
      </c>
      <c r="I1268" s="312">
        <f>ROUND((F1268*G1268*H1268),0)</f>
        <v>1986</v>
      </c>
      <c r="J1268" s="313"/>
      <c r="K1268" s="323"/>
    </row>
    <row r="1269" spans="2:11" s="317" customFormat="1" ht="24.9" hidden="1" customHeight="1" thickTop="1" x14ac:dyDescent="0.2">
      <c r="B1269" s="724" t="s">
        <v>1310</v>
      </c>
      <c r="C1269" s="322" t="str">
        <f>+B544</f>
        <v>ITE092</v>
      </c>
      <c r="D1269" s="324" t="str">
        <f>+D544</f>
        <v>Concreto de 20,7 Mpa (3000 psi) (producción)</v>
      </c>
      <c r="E1269" s="322" t="str">
        <f>E544</f>
        <v>M3</v>
      </c>
      <c r="F1269" s="325">
        <f>0.1*0.2</f>
        <v>2.0000000000000004E-2</v>
      </c>
      <c r="G1269" s="312">
        <f>G544</f>
        <v>596118</v>
      </c>
      <c r="H1269" s="349">
        <v>1.05</v>
      </c>
      <c r="I1269" s="312">
        <f>ROUND((F1269*G1269*H1269),0)</f>
        <v>12518</v>
      </c>
      <c r="J1269" s="313"/>
      <c r="K1269" s="323"/>
    </row>
    <row r="1270" spans="2:11" s="317" customFormat="1" ht="24.9" hidden="1" customHeight="1" thickBot="1" x14ac:dyDescent="0.25">
      <c r="B1270" s="725"/>
      <c r="C1270" s="322" t="str">
        <f>+B587</f>
        <v>ITE98</v>
      </c>
      <c r="D1270" s="320" t="str">
        <f>+D587</f>
        <v>Acero Fy = 60.000 psi d&gt;1/4"</v>
      </c>
      <c r="E1270" s="322" t="str">
        <f>E587</f>
        <v>Kg</v>
      </c>
      <c r="F1270" s="325">
        <f>4+2.3</f>
        <v>6.3</v>
      </c>
      <c r="G1270" s="312">
        <f>G587</f>
        <v>7240</v>
      </c>
      <c r="H1270" s="349">
        <v>0</v>
      </c>
      <c r="I1270" s="312">
        <f>ROUND((F1270*G1270),0)</f>
        <v>45612</v>
      </c>
      <c r="J1270" s="313"/>
      <c r="K1270" s="323"/>
    </row>
    <row r="1271" spans="2:11" s="317" customFormat="1" ht="24.9" hidden="1" customHeight="1" thickTop="1" thickBot="1" x14ac:dyDescent="0.25">
      <c r="B1271" s="342" t="s">
        <v>1034</v>
      </c>
      <c r="C1271" s="322" t="str">
        <f>+'LISTA DE INSUMOS'!A20</f>
        <v>MOB017</v>
      </c>
      <c r="D1271" s="324" t="str">
        <f>+'LISTA DE INSUMOS'!B20</f>
        <v>Cuadrilla G 1 Of + 2 Ay (jornal + prestaciones)</v>
      </c>
      <c r="E1271" s="322" t="str">
        <f>'LISTA DE INSUMOS'!C20</f>
        <v>Día</v>
      </c>
      <c r="F1271" s="325">
        <v>1</v>
      </c>
      <c r="G1271" s="312">
        <f>'LISTA DE INSUMOS'!E20</f>
        <v>327445</v>
      </c>
      <c r="H1271" s="349">
        <f>1/12</f>
        <v>8.3333333333333329E-2</v>
      </c>
      <c r="I1271" s="312">
        <f>ROUND((F1271*G1271*H1271),0)</f>
        <v>27287</v>
      </c>
      <c r="J1271" s="313"/>
      <c r="K1271" s="323"/>
    </row>
    <row r="1272" spans="2:11" s="317" customFormat="1" ht="24.9" hidden="1" customHeight="1" thickTop="1" x14ac:dyDescent="0.2">
      <c r="B1272" s="693" t="s">
        <v>1033</v>
      </c>
      <c r="C1272" s="322" t="str">
        <f>'LISTA DE INSUMOS'!A758</f>
        <v>EQU002</v>
      </c>
      <c r="D1272" s="324" t="str">
        <f>'LISTA DE INSUMOS'!B758</f>
        <v>Herramienta menor (% mano obra)</v>
      </c>
      <c r="E1272" s="322" t="str">
        <f>'LISTA DE INSUMOS'!C758</f>
        <v>%MO</v>
      </c>
      <c r="F1272" s="325">
        <v>0.1</v>
      </c>
      <c r="G1272" s="312">
        <f>I1271</f>
        <v>27287</v>
      </c>
      <c r="H1272" s="349">
        <v>0</v>
      </c>
      <c r="I1272" s="312">
        <f>ROUND((F1272*G1272),0)</f>
        <v>2729</v>
      </c>
      <c r="J1272" s="313"/>
      <c r="K1272" s="323"/>
    </row>
    <row r="1273" spans="2:11" s="317" customFormat="1" ht="38.25" hidden="1" customHeight="1" thickBot="1" x14ac:dyDescent="0.25">
      <c r="B1273" s="668"/>
      <c r="C1273" s="322" t="str">
        <f>'LISTA DE INSUMOS'!A762</f>
        <v>EQU006</v>
      </c>
      <c r="D1273" s="324" t="str">
        <f>'LISTA DE INSUMOS'!B762</f>
        <v>Andamio (% mano obra)</v>
      </c>
      <c r="E1273" s="322" t="str">
        <f>'LISTA DE INSUMOS'!C762</f>
        <v>%MO</v>
      </c>
      <c r="F1273" s="332">
        <v>0.1</v>
      </c>
      <c r="G1273" s="312">
        <f>I1271</f>
        <v>27287</v>
      </c>
      <c r="H1273" s="349">
        <v>0</v>
      </c>
      <c r="I1273" s="312">
        <f>ROUND((F1273*G1273),0)</f>
        <v>2729</v>
      </c>
      <c r="J1273" s="313"/>
      <c r="K1273" s="323"/>
    </row>
    <row r="1274" spans="2:11" s="317" customFormat="1" ht="24.9" hidden="1" customHeight="1" thickTop="1" thickBot="1" x14ac:dyDescent="0.25">
      <c r="B1274" s="343" t="s">
        <v>421</v>
      </c>
      <c r="C1274" s="329" t="str">
        <f>'LISTA DE INSUMOS'!A823</f>
        <v>ESY001</v>
      </c>
      <c r="D1274" s="328" t="str">
        <f>'LISTA DE INSUMOS'!B823</f>
        <v>Ensayo resistencia concretos (un testigo)</v>
      </c>
      <c r="E1274" s="329" t="str">
        <f>'LISTA DE INSUMOS'!C823</f>
        <v>Un</v>
      </c>
      <c r="F1274" s="344">
        <f>5/50</f>
        <v>0.1</v>
      </c>
      <c r="G1274" s="345">
        <f>'LISTA DE INSUMOS'!E823</f>
        <v>29175.946249999997</v>
      </c>
      <c r="H1274" s="350">
        <v>0</v>
      </c>
      <c r="I1274" s="331">
        <f>ROUND((F1274*G1274),0)</f>
        <v>2918</v>
      </c>
      <c r="J1274" s="313"/>
      <c r="K1274" s="323"/>
    </row>
    <row r="1275" spans="2:11" s="317" customFormat="1" ht="24.9" hidden="1" customHeight="1" x14ac:dyDescent="0.2">
      <c r="B1275" s="319" t="s">
        <v>1802</v>
      </c>
      <c r="C1275" s="319"/>
      <c r="D1275" s="320" t="s">
        <v>235</v>
      </c>
      <c r="E1275" s="319" t="s">
        <v>1412</v>
      </c>
      <c r="F1275" s="321"/>
      <c r="G1275" s="312">
        <f>ROUND(SUM(I1275:I1286),0)</f>
        <v>96860</v>
      </c>
      <c r="H1275" s="322"/>
      <c r="I1275" s="312"/>
      <c r="J1275" s="313"/>
      <c r="K1275" s="323"/>
    </row>
    <row r="1276" spans="2:11" s="317" customFormat="1" ht="24.9" hidden="1" customHeight="1" x14ac:dyDescent="0.2">
      <c r="B1276" s="691" t="s">
        <v>1035</v>
      </c>
      <c r="C1276" s="322" t="str">
        <f>'LISTA DE INSUMOS'!A46</f>
        <v>MAT017</v>
      </c>
      <c r="D1276" s="324" t="str">
        <f>'LISTA DE INSUMOS'!B46</f>
        <v>Tabla para formaleta de 1" x 10" x 2,9 m</v>
      </c>
      <c r="E1276" s="322" t="str">
        <f>'LISTA DE INSUMOS'!C46</f>
        <v>M</v>
      </c>
      <c r="F1276" s="325">
        <v>2</v>
      </c>
      <c r="G1276" s="312">
        <f>'LISTA DE INSUMOS'!E46</f>
        <v>8112.0359999999991</v>
      </c>
      <c r="H1276" s="349">
        <f>1/3</f>
        <v>0.33333333333333331</v>
      </c>
      <c r="I1276" s="312">
        <f>ROUND((F1276*G1276*H1276),0)</f>
        <v>5408</v>
      </c>
      <c r="J1276" s="313"/>
      <c r="K1276" s="323"/>
    </row>
    <row r="1277" spans="2:11" s="317" customFormat="1" ht="24.9" hidden="1" customHeight="1" x14ac:dyDescent="0.2">
      <c r="B1277" s="691"/>
      <c r="C1277" s="322" t="str">
        <f>'LISTA DE INSUMOS'!A52</f>
        <v>MAT021</v>
      </c>
      <c r="D1277" s="324" t="str">
        <f>'LISTA DE INSUMOS'!B52</f>
        <v>Puntilla (promedio)</v>
      </c>
      <c r="E1277" s="322" t="str">
        <f>'LISTA DE INSUMOS'!C52</f>
        <v>Lb</v>
      </c>
      <c r="F1277" s="325">
        <v>0.1</v>
      </c>
      <c r="G1277" s="312">
        <f>'LISTA DE INSUMOS'!E52</f>
        <v>6690.6972299999998</v>
      </c>
      <c r="H1277" s="349">
        <v>0</v>
      </c>
      <c r="I1277" s="312">
        <f>ROUND((F1277*G1277),0)</f>
        <v>669</v>
      </c>
      <c r="J1277" s="313"/>
      <c r="K1277" s="323"/>
    </row>
    <row r="1278" spans="2:11" s="317" customFormat="1" ht="24.9" hidden="1" customHeight="1" x14ac:dyDescent="0.2">
      <c r="B1278" s="691"/>
      <c r="C1278" s="322" t="str">
        <f>'LISTA DE INSUMOS'!A67</f>
        <v>MAT034</v>
      </c>
      <c r="D1278" s="324" t="str">
        <f>'LISTA DE INSUMOS'!B67</f>
        <v>ACPM</v>
      </c>
      <c r="E1278" s="322" t="str">
        <f>'LISTA DE INSUMOS'!C67</f>
        <v>Gl</v>
      </c>
      <c r="F1278" s="325">
        <v>0.05</v>
      </c>
      <c r="G1278" s="312">
        <f>'LISTA DE INSUMOS'!E67</f>
        <v>9681.4499999999989</v>
      </c>
      <c r="H1278" s="349">
        <v>0</v>
      </c>
      <c r="I1278" s="312">
        <f>ROUND((F1278*G1278),0)</f>
        <v>484</v>
      </c>
      <c r="J1278" s="313"/>
      <c r="K1278" s="323"/>
    </row>
    <row r="1279" spans="2:11" s="317" customFormat="1" ht="24.9" hidden="1" customHeight="1" x14ac:dyDescent="0.2">
      <c r="B1279" s="691"/>
      <c r="C1279" s="322" t="str">
        <f>'LISTA DE INSUMOS'!A93</f>
        <v>MAT051</v>
      </c>
      <c r="D1279" s="324" t="str">
        <f>'LISTA DE INSUMOS'!B93</f>
        <v>Antisol blanco</v>
      </c>
      <c r="E1279" s="322" t="str">
        <f>'LISTA DE INSUMOS'!C93</f>
        <v>Kg</v>
      </c>
      <c r="F1279" s="325">
        <v>0.1</v>
      </c>
      <c r="G1279" s="312">
        <f>'LISTA DE INSUMOS'!E93</f>
        <v>11510.734499999999</v>
      </c>
      <c r="H1279" s="322">
        <v>1.03</v>
      </c>
      <c r="I1279" s="312">
        <f>ROUND((F1279*G1279*H1279),0)</f>
        <v>1186</v>
      </c>
      <c r="J1279" s="313"/>
      <c r="K1279" s="323"/>
    </row>
    <row r="1280" spans="2:11" s="317" customFormat="1" ht="24.9" hidden="1" customHeight="1" thickBot="1" x14ac:dyDescent="0.25">
      <c r="B1280" s="692"/>
      <c r="C1280" s="322" t="str">
        <f>'LISTA DE INSUMOS'!A132</f>
        <v>MAT091</v>
      </c>
      <c r="D1280" s="324" t="str">
        <f>'LISTA DE INSUMOS'!B132</f>
        <v>Varillón de sajo</v>
      </c>
      <c r="E1280" s="322" t="str">
        <f>'LISTA DE INSUMOS'!C132</f>
        <v>M</v>
      </c>
      <c r="F1280" s="325">
        <v>2</v>
      </c>
      <c r="G1280" s="312">
        <f>'LISTA DE INSUMOS'!E132</f>
        <v>2979.6450687603597</v>
      </c>
      <c r="H1280" s="349">
        <f>1/3</f>
        <v>0.33333333333333331</v>
      </c>
      <c r="I1280" s="312">
        <f>ROUND((F1280*G1280*H1280),0)</f>
        <v>1986</v>
      </c>
      <c r="J1280" s="313"/>
      <c r="K1280" s="323"/>
    </row>
    <row r="1281" spans="2:11" s="317" customFormat="1" ht="24.9" hidden="1" customHeight="1" thickTop="1" x14ac:dyDescent="0.2">
      <c r="B1281" s="724" t="s">
        <v>1310</v>
      </c>
      <c r="C1281" s="322" t="str">
        <f>B544</f>
        <v>ITE092</v>
      </c>
      <c r="D1281" s="324" t="str">
        <f>D544</f>
        <v>Concreto de 20,7 Mpa (3000 psi) (producción)</v>
      </c>
      <c r="E1281" s="322" t="str">
        <f>E544</f>
        <v>M3</v>
      </c>
      <c r="F1281" s="351">
        <f>0.1*0.15</f>
        <v>1.4999999999999999E-2</v>
      </c>
      <c r="G1281" s="312">
        <f>G544</f>
        <v>596118</v>
      </c>
      <c r="H1281" s="349">
        <v>1.05</v>
      </c>
      <c r="I1281" s="312">
        <f>ROUND((F1281*G1281*H1281),0)</f>
        <v>9389</v>
      </c>
      <c r="J1281" s="313"/>
      <c r="K1281" s="323"/>
    </row>
    <row r="1282" spans="2:11" s="317" customFormat="1" ht="24.9" hidden="1" customHeight="1" thickBot="1" x14ac:dyDescent="0.25">
      <c r="B1282" s="725"/>
      <c r="C1282" s="322" t="str">
        <f>+B587</f>
        <v>ITE98</v>
      </c>
      <c r="D1282" s="320" t="str">
        <f>+D587</f>
        <v>Acero Fy = 60.000 psi d&gt;1/4"</v>
      </c>
      <c r="E1282" s="322" t="str">
        <f>E587</f>
        <v>Kg</v>
      </c>
      <c r="F1282" s="325">
        <f>4+2</f>
        <v>6</v>
      </c>
      <c r="G1282" s="312">
        <f>G587</f>
        <v>7240</v>
      </c>
      <c r="H1282" s="349">
        <v>0</v>
      </c>
      <c r="I1282" s="312">
        <f>ROUND((F1282*G1282),0)</f>
        <v>43440</v>
      </c>
      <c r="J1282" s="313"/>
      <c r="K1282" s="323"/>
    </row>
    <row r="1283" spans="2:11" s="317" customFormat="1" ht="24.9" hidden="1" customHeight="1" thickTop="1" thickBot="1" x14ac:dyDescent="0.25">
      <c r="B1283" s="342" t="s">
        <v>1034</v>
      </c>
      <c r="C1283" s="322" t="str">
        <f>+'LISTA DE INSUMOS'!A20</f>
        <v>MOB017</v>
      </c>
      <c r="D1283" s="324" t="str">
        <f>+'LISTA DE INSUMOS'!B20</f>
        <v>Cuadrilla G 1 Of + 2 Ay (jornal + prestaciones)</v>
      </c>
      <c r="E1283" s="322" t="str">
        <f>'LISTA DE INSUMOS'!C20</f>
        <v>Día</v>
      </c>
      <c r="F1283" s="325">
        <v>1</v>
      </c>
      <c r="G1283" s="312">
        <f>'LISTA DE INSUMOS'!E20</f>
        <v>327445</v>
      </c>
      <c r="H1283" s="349">
        <f>1/12</f>
        <v>8.3333333333333329E-2</v>
      </c>
      <c r="I1283" s="312">
        <f>ROUND((F1283*G1283*H1283),0)</f>
        <v>27287</v>
      </c>
      <c r="J1283" s="313"/>
      <c r="K1283" s="323"/>
    </row>
    <row r="1284" spans="2:11" s="317" customFormat="1" ht="24.9" hidden="1" customHeight="1" thickTop="1" x14ac:dyDescent="0.2">
      <c r="B1284" s="693" t="s">
        <v>1033</v>
      </c>
      <c r="C1284" s="322" t="str">
        <f>'LISTA DE INSUMOS'!A758</f>
        <v>EQU002</v>
      </c>
      <c r="D1284" s="324" t="str">
        <f>'LISTA DE INSUMOS'!B758</f>
        <v>Herramienta menor (% mano obra)</v>
      </c>
      <c r="E1284" s="322" t="str">
        <f>'LISTA DE INSUMOS'!C758</f>
        <v>%MO</v>
      </c>
      <c r="F1284" s="325">
        <v>0.1</v>
      </c>
      <c r="G1284" s="312">
        <f>I1283</f>
        <v>27287</v>
      </c>
      <c r="H1284" s="349">
        <v>0</v>
      </c>
      <c r="I1284" s="312">
        <f>ROUND((F1284*G1284),0)</f>
        <v>2729</v>
      </c>
      <c r="J1284" s="313"/>
      <c r="K1284" s="323"/>
    </row>
    <row r="1285" spans="2:11" s="317" customFormat="1" ht="24.9" hidden="1" customHeight="1" thickBot="1" x14ac:dyDescent="0.25">
      <c r="B1285" s="668"/>
      <c r="C1285" s="322" t="str">
        <f>'LISTA DE INSUMOS'!A762</f>
        <v>EQU006</v>
      </c>
      <c r="D1285" s="324" t="str">
        <f>'LISTA DE INSUMOS'!B762</f>
        <v>Andamio (% mano obra)</v>
      </c>
      <c r="E1285" s="322" t="str">
        <f>'LISTA DE INSUMOS'!C762</f>
        <v>%MO</v>
      </c>
      <c r="F1285" s="332">
        <v>0.05</v>
      </c>
      <c r="G1285" s="312">
        <f>I1283</f>
        <v>27287</v>
      </c>
      <c r="H1285" s="349">
        <v>0</v>
      </c>
      <c r="I1285" s="312">
        <f>ROUND((F1285*G1285),0)</f>
        <v>1364</v>
      </c>
      <c r="J1285" s="313"/>
      <c r="K1285" s="323"/>
    </row>
    <row r="1286" spans="2:11" s="317" customFormat="1" ht="24.9" hidden="1" customHeight="1" thickTop="1" thickBot="1" x14ac:dyDescent="0.25">
      <c r="B1286" s="343" t="s">
        <v>421</v>
      </c>
      <c r="C1286" s="329" t="str">
        <f>'LISTA DE INSUMOS'!A823</f>
        <v>ESY001</v>
      </c>
      <c r="D1286" s="328" t="str">
        <f>'LISTA DE INSUMOS'!B823</f>
        <v>Ensayo resistencia concretos (un testigo)</v>
      </c>
      <c r="E1286" s="329" t="str">
        <f>'LISTA DE INSUMOS'!C823</f>
        <v>Un</v>
      </c>
      <c r="F1286" s="344">
        <f>5/50</f>
        <v>0.1</v>
      </c>
      <c r="G1286" s="345">
        <f>'LISTA DE INSUMOS'!E823</f>
        <v>29175.946249999997</v>
      </c>
      <c r="H1286" s="350">
        <v>0</v>
      </c>
      <c r="I1286" s="331">
        <f>ROUND((F1286*G1286),0)</f>
        <v>2918</v>
      </c>
      <c r="J1286" s="313"/>
      <c r="K1286" s="323"/>
    </row>
    <row r="1287" spans="2:11" s="317" customFormat="1" ht="24.9" hidden="1" customHeight="1" x14ac:dyDescent="0.2">
      <c r="B1287" s="319" t="s">
        <v>478</v>
      </c>
      <c r="C1287" s="319"/>
      <c r="D1287" s="320" t="s">
        <v>236</v>
      </c>
      <c r="E1287" s="319" t="s">
        <v>1412</v>
      </c>
      <c r="F1287" s="321"/>
      <c r="G1287" s="312">
        <f>ROUND(SUM(I1287:I1298),0)</f>
        <v>362801</v>
      </c>
      <c r="H1287" s="322"/>
      <c r="I1287" s="312"/>
      <c r="J1287" s="313"/>
      <c r="K1287" s="323"/>
    </row>
    <row r="1288" spans="2:11" s="317" customFormat="1" ht="24.9" hidden="1" customHeight="1" x14ac:dyDescent="0.2">
      <c r="B1288" s="691" t="s">
        <v>1035</v>
      </c>
      <c r="C1288" s="322" t="str">
        <f>'LISTA DE INSUMOS'!A46</f>
        <v>MAT017</v>
      </c>
      <c r="D1288" s="324" t="str">
        <f>'LISTA DE INSUMOS'!B46</f>
        <v>Tabla para formaleta de 1" x 10" x 2,9 m</v>
      </c>
      <c r="E1288" s="322" t="str">
        <f>'LISTA DE INSUMOS'!C46</f>
        <v>M</v>
      </c>
      <c r="F1288" s="325">
        <v>2</v>
      </c>
      <c r="G1288" s="312">
        <f>'LISTA DE INSUMOS'!E46</f>
        <v>8112.0359999999991</v>
      </c>
      <c r="H1288" s="349">
        <f>1/3</f>
        <v>0.33333333333333331</v>
      </c>
      <c r="I1288" s="312">
        <f>ROUND((F1288*G1288*H1288),0)</f>
        <v>5408</v>
      </c>
      <c r="J1288" s="313"/>
      <c r="K1288" s="323"/>
    </row>
    <row r="1289" spans="2:11" s="317" customFormat="1" ht="24.9" hidden="1" customHeight="1" x14ac:dyDescent="0.2">
      <c r="B1289" s="691"/>
      <c r="C1289" s="322" t="str">
        <f>'LISTA DE INSUMOS'!A52</f>
        <v>MAT021</v>
      </c>
      <c r="D1289" s="324" t="str">
        <f>'LISTA DE INSUMOS'!B52</f>
        <v>Puntilla (promedio)</v>
      </c>
      <c r="E1289" s="322" t="str">
        <f>'LISTA DE INSUMOS'!C52</f>
        <v>Lb</v>
      </c>
      <c r="F1289" s="325">
        <v>0.1</v>
      </c>
      <c r="G1289" s="312">
        <f>'LISTA DE INSUMOS'!E52</f>
        <v>6690.6972299999998</v>
      </c>
      <c r="H1289" s="349">
        <v>0</v>
      </c>
      <c r="I1289" s="312">
        <f>ROUND((F1289*G1289),0)</f>
        <v>669</v>
      </c>
      <c r="J1289" s="313"/>
      <c r="K1289" s="323"/>
    </row>
    <row r="1290" spans="2:11" s="317" customFormat="1" ht="24.9" hidden="1" customHeight="1" x14ac:dyDescent="0.2">
      <c r="B1290" s="691"/>
      <c r="C1290" s="322" t="str">
        <f>'LISTA DE INSUMOS'!A67</f>
        <v>MAT034</v>
      </c>
      <c r="D1290" s="324" t="str">
        <f>'LISTA DE INSUMOS'!B67</f>
        <v>ACPM</v>
      </c>
      <c r="E1290" s="322" t="str">
        <f>'LISTA DE INSUMOS'!C67</f>
        <v>Gl</v>
      </c>
      <c r="F1290" s="325">
        <v>0.05</v>
      </c>
      <c r="G1290" s="312">
        <f>'LISTA DE INSUMOS'!E67</f>
        <v>9681.4499999999989</v>
      </c>
      <c r="H1290" s="349">
        <v>0</v>
      </c>
      <c r="I1290" s="312">
        <f>ROUND((F1290*G1290),0)</f>
        <v>484</v>
      </c>
      <c r="J1290" s="313"/>
      <c r="K1290" s="323"/>
    </row>
    <row r="1291" spans="2:11" s="317" customFormat="1" ht="24.9" hidden="1" customHeight="1" x14ac:dyDescent="0.2">
      <c r="B1291" s="691"/>
      <c r="C1291" s="322" t="str">
        <f>'LISTA DE INSUMOS'!A93</f>
        <v>MAT051</v>
      </c>
      <c r="D1291" s="324" t="str">
        <f>'LISTA DE INSUMOS'!B93</f>
        <v>Antisol blanco</v>
      </c>
      <c r="E1291" s="322" t="str">
        <f>'LISTA DE INSUMOS'!C93</f>
        <v>Kg</v>
      </c>
      <c r="F1291" s="325">
        <v>0.1</v>
      </c>
      <c r="G1291" s="312">
        <f>+'LISTA DE INSUMOS'!E93</f>
        <v>11510.734499999999</v>
      </c>
      <c r="H1291" s="322">
        <v>1.03</v>
      </c>
      <c r="I1291" s="312">
        <f>ROUND((F1291*G1291*H1291),0)</f>
        <v>1186</v>
      </c>
      <c r="J1291" s="313"/>
      <c r="K1291" s="323"/>
    </row>
    <row r="1292" spans="2:11" s="317" customFormat="1" ht="31.5" hidden="1" customHeight="1" thickBot="1" x14ac:dyDescent="0.25">
      <c r="B1292" s="692"/>
      <c r="C1292" s="322" t="str">
        <f>'LISTA DE INSUMOS'!A132</f>
        <v>MAT091</v>
      </c>
      <c r="D1292" s="324" t="str">
        <f>'LISTA DE INSUMOS'!B132</f>
        <v>Varillón de sajo</v>
      </c>
      <c r="E1292" s="322" t="str">
        <f>'LISTA DE INSUMOS'!C132</f>
        <v>M</v>
      </c>
      <c r="F1292" s="325">
        <v>2</v>
      </c>
      <c r="G1292" s="312">
        <f>'LISTA DE INSUMOS'!E132</f>
        <v>2979.6450687603597</v>
      </c>
      <c r="H1292" s="349">
        <f>1/3</f>
        <v>0.33333333333333331</v>
      </c>
      <c r="I1292" s="312">
        <f>ROUND((F1292*G1292*H1292),0)</f>
        <v>1986</v>
      </c>
      <c r="J1292" s="313"/>
      <c r="K1292" s="323"/>
    </row>
    <row r="1293" spans="2:11" s="317" customFormat="1" ht="24.9" hidden="1" customHeight="1" thickTop="1" x14ac:dyDescent="0.2">
      <c r="B1293" s="724" t="s">
        <v>1310</v>
      </c>
      <c r="C1293" s="322" t="str">
        <f>+B544</f>
        <v>ITE092</v>
      </c>
      <c r="D1293" s="324" t="str">
        <f>+D544</f>
        <v>Concreto de 20,7 Mpa (3000 psi) (producción)</v>
      </c>
      <c r="E1293" s="322" t="str">
        <f>E544</f>
        <v>M3</v>
      </c>
      <c r="F1293" s="325">
        <f>0.1*0.2</f>
        <v>2.0000000000000004E-2</v>
      </c>
      <c r="G1293" s="312">
        <f>G544</f>
        <v>596118</v>
      </c>
      <c r="H1293" s="349">
        <v>1.05</v>
      </c>
      <c r="I1293" s="312">
        <f>ROUND((F1293*G1293*H1293),0)</f>
        <v>12518</v>
      </c>
      <c r="J1293" s="313"/>
      <c r="K1293" s="323"/>
    </row>
    <row r="1294" spans="2:11" s="317" customFormat="1" ht="24.9" hidden="1" customHeight="1" thickBot="1" x14ac:dyDescent="0.25">
      <c r="B1294" s="725"/>
      <c r="C1294" s="322" t="str">
        <f>+B587</f>
        <v>ITE98</v>
      </c>
      <c r="D1294" s="320" t="str">
        <f>+D587</f>
        <v>Acero Fy = 60.000 psi d&gt;1/4"</v>
      </c>
      <c r="E1294" s="322" t="str">
        <f>E587</f>
        <v>Kg</v>
      </c>
      <c r="F1294" s="325">
        <v>42.3</v>
      </c>
      <c r="G1294" s="312">
        <f>G587</f>
        <v>7240</v>
      </c>
      <c r="H1294" s="349">
        <v>0</v>
      </c>
      <c r="I1294" s="312">
        <f>ROUND((F1294*G1294),0)</f>
        <v>306252</v>
      </c>
      <c r="J1294" s="313"/>
      <c r="K1294" s="323"/>
    </row>
    <row r="1295" spans="2:11" s="317" customFormat="1" ht="24.9" hidden="1" customHeight="1" thickTop="1" thickBot="1" x14ac:dyDescent="0.25">
      <c r="B1295" s="342" t="s">
        <v>1034</v>
      </c>
      <c r="C1295" s="322" t="str">
        <f>+'LISTA DE INSUMOS'!A20</f>
        <v>MOB017</v>
      </c>
      <c r="D1295" s="324" t="str">
        <f>+'LISTA DE INSUMOS'!B20</f>
        <v>Cuadrilla G 1 Of + 2 Ay (jornal + prestaciones)</v>
      </c>
      <c r="E1295" s="322" t="str">
        <f>+'LISTA DE INSUMOS'!C20</f>
        <v>Día</v>
      </c>
      <c r="F1295" s="325">
        <v>1</v>
      </c>
      <c r="G1295" s="312">
        <f>'LISTA DE INSUMOS'!E20</f>
        <v>327445</v>
      </c>
      <c r="H1295" s="349">
        <f>1/12</f>
        <v>8.3333333333333329E-2</v>
      </c>
      <c r="I1295" s="312">
        <f>ROUND((F1295*G1295*H1295),0)</f>
        <v>27287</v>
      </c>
      <c r="J1295" s="313"/>
      <c r="K1295" s="323"/>
    </row>
    <row r="1296" spans="2:11" s="317" customFormat="1" ht="24.9" hidden="1" customHeight="1" thickTop="1" x14ac:dyDescent="0.2">
      <c r="B1296" s="693" t="s">
        <v>1033</v>
      </c>
      <c r="C1296" s="322" t="str">
        <f>+'LISTA DE INSUMOS'!A758</f>
        <v>EQU002</v>
      </c>
      <c r="D1296" s="324" t="str">
        <f>+'LISTA DE INSUMOS'!B758</f>
        <v>Herramienta menor (% mano obra)</v>
      </c>
      <c r="E1296" s="322" t="str">
        <f>+'LISTA DE INSUMOS'!C758</f>
        <v>%MO</v>
      </c>
      <c r="F1296" s="325">
        <v>0.1</v>
      </c>
      <c r="G1296" s="312">
        <f>I1295</f>
        <v>27287</v>
      </c>
      <c r="H1296" s="349">
        <v>0</v>
      </c>
      <c r="I1296" s="312">
        <f>ROUND((F1296*G1296),0)</f>
        <v>2729</v>
      </c>
      <c r="J1296" s="313"/>
      <c r="K1296" s="323"/>
    </row>
    <row r="1297" spans="2:11" s="317" customFormat="1" ht="24.9" hidden="1" customHeight="1" thickBot="1" x14ac:dyDescent="0.25">
      <c r="B1297" s="668"/>
      <c r="C1297" s="322" t="str">
        <f>+'LISTA DE INSUMOS'!A762</f>
        <v>EQU006</v>
      </c>
      <c r="D1297" s="324" t="str">
        <f>+'LISTA DE INSUMOS'!B762</f>
        <v>Andamio (% mano obra)</v>
      </c>
      <c r="E1297" s="322" t="str">
        <f>+'LISTA DE INSUMOS'!C762</f>
        <v>%MO</v>
      </c>
      <c r="F1297" s="332">
        <v>0.05</v>
      </c>
      <c r="G1297" s="312">
        <f>I1295</f>
        <v>27287</v>
      </c>
      <c r="H1297" s="349">
        <v>0</v>
      </c>
      <c r="I1297" s="312">
        <f>ROUND((F1297*G1297),0)</f>
        <v>1364</v>
      </c>
      <c r="J1297" s="313"/>
      <c r="K1297" s="323"/>
    </row>
    <row r="1298" spans="2:11" s="317" customFormat="1" ht="24.9" hidden="1" customHeight="1" thickTop="1" thickBot="1" x14ac:dyDescent="0.25">
      <c r="B1298" s="343" t="s">
        <v>421</v>
      </c>
      <c r="C1298" s="329" t="str">
        <f>+'LISTA DE INSUMOS'!A823</f>
        <v>ESY001</v>
      </c>
      <c r="D1298" s="328" t="str">
        <f>+'LISTA DE INSUMOS'!B823</f>
        <v>Ensayo resistencia concretos (un testigo)</v>
      </c>
      <c r="E1298" s="329" t="str">
        <f>+'LISTA DE INSUMOS'!C823</f>
        <v>Un</v>
      </c>
      <c r="F1298" s="344">
        <f>5/50</f>
        <v>0.1</v>
      </c>
      <c r="G1298" s="345">
        <f>'LISTA DE INSUMOS'!E823</f>
        <v>29175.946249999997</v>
      </c>
      <c r="H1298" s="350">
        <v>0</v>
      </c>
      <c r="I1298" s="331">
        <f>ROUND((F1298*G1298),0)</f>
        <v>2918</v>
      </c>
      <c r="J1298" s="313"/>
      <c r="K1298" s="323"/>
    </row>
    <row r="1299" spans="2:11" ht="24.9" customHeight="1" x14ac:dyDescent="0.2">
      <c r="B1299" s="117" t="s">
        <v>2054</v>
      </c>
      <c r="C1299" s="120"/>
      <c r="D1299" s="112" t="s">
        <v>238</v>
      </c>
      <c r="E1299" s="117" t="s">
        <v>2586</v>
      </c>
      <c r="F1299" s="118"/>
      <c r="G1299" s="119">
        <f>ROUND(SUM(I1299:I1314),0)</f>
        <v>1709719</v>
      </c>
      <c r="H1299" s="120"/>
      <c r="I1299" s="119"/>
      <c r="J1299" s="47"/>
      <c r="K1299" s="143"/>
    </row>
    <row r="1300" spans="2:11" ht="24.9" customHeight="1" x14ac:dyDescent="0.2">
      <c r="B1300" s="672" t="s">
        <v>1035</v>
      </c>
      <c r="C1300" s="108" t="str">
        <f>+'LISTA DE INSUMOS'!A46</f>
        <v>MAT017</v>
      </c>
      <c r="D1300" s="139" t="str">
        <f>+'LISTA DE INSUMOS'!B46</f>
        <v>Tabla para formaleta de 1" x 10" x 2,9 m</v>
      </c>
      <c r="E1300" s="108" t="str">
        <f>+'LISTA DE INSUMOS'!C46</f>
        <v>M</v>
      </c>
      <c r="F1300" s="140">
        <v>36</v>
      </c>
      <c r="G1300" s="141">
        <f>'LISTA DE INSUMOS'!E46</f>
        <v>8112.0359999999991</v>
      </c>
      <c r="H1300" s="205">
        <f>1/3</f>
        <v>0.33333333333333331</v>
      </c>
      <c r="I1300" s="141">
        <f>ROUND((F1300*G1300*H1300),0)</f>
        <v>97344</v>
      </c>
      <c r="J1300" s="47"/>
      <c r="K1300" s="143"/>
    </row>
    <row r="1301" spans="2:11" ht="24.9" customHeight="1" x14ac:dyDescent="0.2">
      <c r="B1301" s="672"/>
      <c r="C1301" s="108" t="str">
        <f>+'LISTA DE INSUMOS'!A174</f>
        <v>MAT128</v>
      </c>
      <c r="D1301" s="139" t="str">
        <f>+'LISTA DE INSUMOS'!B174</f>
        <v xml:space="preserve">Tablilla fina para piso </v>
      </c>
      <c r="E1301" s="108" t="str">
        <f>+'LISTA DE INSUMOS'!C174</f>
        <v>M2</v>
      </c>
      <c r="F1301" s="140">
        <v>9</v>
      </c>
      <c r="G1301" s="141">
        <f>'LISTA DE INSUMOS'!E174</f>
        <v>46715.039015567992</v>
      </c>
      <c r="H1301" s="205">
        <f>1/3</f>
        <v>0.33333333333333331</v>
      </c>
      <c r="I1301" s="141">
        <f>ROUND((F1301*G1301*H1301),0)</f>
        <v>140145</v>
      </c>
      <c r="J1301" s="47"/>
      <c r="K1301" s="143"/>
    </row>
    <row r="1302" spans="2:11" ht="24.9" customHeight="1" x14ac:dyDescent="0.2">
      <c r="B1302" s="672"/>
      <c r="C1302" s="108" t="str">
        <f>+'LISTA DE INSUMOS'!A49</f>
        <v>MAT018</v>
      </c>
      <c r="D1302" s="139" t="str">
        <f>+'LISTA DE INSUMOS'!B49</f>
        <v>Cuartón de sajo 2" x 4" x 2,9 m</v>
      </c>
      <c r="E1302" s="108" t="str">
        <f>+'LISTA DE INSUMOS'!C49</f>
        <v>M</v>
      </c>
      <c r="F1302" s="140">
        <v>12</v>
      </c>
      <c r="G1302" s="141">
        <f>+'LISTA DE INSUMOS'!E49</f>
        <v>11944.810644542158</v>
      </c>
      <c r="H1302" s="205">
        <f>1/3</f>
        <v>0.33333333333333331</v>
      </c>
      <c r="I1302" s="141">
        <f>ROUND((F1302*G1302*H1302),0)</f>
        <v>47779</v>
      </c>
      <c r="J1302" s="47"/>
      <c r="K1302" s="143"/>
    </row>
    <row r="1303" spans="2:11" ht="24.9" customHeight="1" x14ac:dyDescent="0.2">
      <c r="B1303" s="672"/>
      <c r="C1303" s="108" t="str">
        <f>+'LISTA DE INSUMOS'!A50</f>
        <v>MAT019</v>
      </c>
      <c r="D1303" s="139" t="str">
        <f>+'LISTA DE INSUMOS'!B50</f>
        <v>Listón sajo de 5 x 3 cm x 2,5 m (varilla)</v>
      </c>
      <c r="E1303" s="108" t="str">
        <f>+'LISTA DE INSUMOS'!C50</f>
        <v>M</v>
      </c>
      <c r="F1303" s="140">
        <v>25</v>
      </c>
      <c r="G1303" s="141">
        <f>+'LISTA DE INSUMOS'!E50</f>
        <v>7285.5458999999992</v>
      </c>
      <c r="H1303" s="205">
        <f>1/3</f>
        <v>0.33333333333333331</v>
      </c>
      <c r="I1303" s="141">
        <f>ROUND((F1303*G1303*H1303),0)</f>
        <v>60713</v>
      </c>
      <c r="J1303" s="47"/>
      <c r="K1303" s="143"/>
    </row>
    <row r="1304" spans="2:11" ht="24.9" customHeight="1" x14ac:dyDescent="0.2">
      <c r="B1304" s="672"/>
      <c r="C1304" s="108" t="str">
        <f>+'LISTA DE INSUMOS'!A51</f>
        <v>MAT020</v>
      </c>
      <c r="D1304" s="139" t="str">
        <f>+'LISTA DE INSUMOS'!B51</f>
        <v>Guadua basa longitud promedio = 5 m</v>
      </c>
      <c r="E1304" s="108" t="str">
        <f>+'LISTA DE INSUMOS'!C51</f>
        <v>Un</v>
      </c>
      <c r="F1304" s="140">
        <v>8</v>
      </c>
      <c r="G1304" s="141">
        <f>+'LISTA DE INSUMOS'!E51</f>
        <v>8662.3499999999985</v>
      </c>
      <c r="H1304" s="205">
        <f>1/3</f>
        <v>0.33333333333333331</v>
      </c>
      <c r="I1304" s="141">
        <f>ROUND((F1304*G1304*H1304),0)</f>
        <v>23100</v>
      </c>
      <c r="J1304" s="47"/>
      <c r="K1304" s="143"/>
    </row>
    <row r="1305" spans="2:11" ht="24.9" customHeight="1" x14ac:dyDescent="0.2">
      <c r="B1305" s="672"/>
      <c r="C1305" s="108" t="str">
        <f>+'LISTA DE INSUMOS'!A52</f>
        <v>MAT021</v>
      </c>
      <c r="D1305" s="139" t="str">
        <f>+'LISTA DE INSUMOS'!B52</f>
        <v>Puntilla (promedio)</v>
      </c>
      <c r="E1305" s="108" t="str">
        <f>+'LISTA DE INSUMOS'!C52</f>
        <v>Lb</v>
      </c>
      <c r="F1305" s="140">
        <v>4</v>
      </c>
      <c r="G1305" s="141">
        <f>'LISTA DE INSUMOS'!E52</f>
        <v>6690.6972299999998</v>
      </c>
      <c r="H1305" s="205">
        <v>0</v>
      </c>
      <c r="I1305" s="141">
        <f>ROUND((F1305*G1305),0)</f>
        <v>26763</v>
      </c>
      <c r="J1305" s="47"/>
      <c r="K1305" s="143"/>
    </row>
    <row r="1306" spans="2:11" ht="24.9" customHeight="1" x14ac:dyDescent="0.2">
      <c r="B1306" s="672"/>
      <c r="C1306" s="108" t="str">
        <f>+'LISTA DE INSUMOS'!A53</f>
        <v>MAT022</v>
      </c>
      <c r="D1306" s="139" t="str">
        <f>+'LISTA DE INSUMOS'!B53</f>
        <v>Alambre negro calibre 17</v>
      </c>
      <c r="E1306" s="108" t="str">
        <f>+'LISTA DE INSUMOS'!C53</f>
        <v>Kg</v>
      </c>
      <c r="F1306" s="140">
        <v>1.5</v>
      </c>
      <c r="G1306" s="141">
        <f>'LISTA DE INSUMOS'!E53</f>
        <v>7948.98</v>
      </c>
      <c r="H1306" s="205">
        <v>0</v>
      </c>
      <c r="I1306" s="141">
        <f>ROUND((F1306*G1306),0)</f>
        <v>11923</v>
      </c>
      <c r="J1306" s="47"/>
      <c r="K1306" s="143"/>
    </row>
    <row r="1307" spans="2:11" ht="24.9" customHeight="1" x14ac:dyDescent="0.2">
      <c r="B1307" s="672"/>
      <c r="C1307" s="108" t="str">
        <f>+'LISTA DE INSUMOS'!A67</f>
        <v>MAT034</v>
      </c>
      <c r="D1307" s="139" t="str">
        <f>+'LISTA DE INSUMOS'!B67</f>
        <v>ACPM</v>
      </c>
      <c r="E1307" s="108" t="str">
        <f>+'LISTA DE INSUMOS'!C67</f>
        <v>Gl</v>
      </c>
      <c r="F1307" s="140">
        <v>0.6</v>
      </c>
      <c r="G1307" s="141">
        <f>+'LISTA DE INSUMOS'!E67</f>
        <v>9681.4499999999989</v>
      </c>
      <c r="H1307" s="205">
        <v>0</v>
      </c>
      <c r="I1307" s="141">
        <f>ROUND((F1307*G1307),0)</f>
        <v>5809</v>
      </c>
      <c r="J1307" s="47"/>
      <c r="K1307" s="143"/>
    </row>
    <row r="1308" spans="2:11" ht="24.9" customHeight="1" thickBot="1" x14ac:dyDescent="0.25">
      <c r="B1308" s="673"/>
      <c r="C1308" s="108" t="str">
        <f>+'LISTA DE INSUMOS'!A93</f>
        <v>MAT051</v>
      </c>
      <c r="D1308" s="139" t="str">
        <f>+'LISTA DE INSUMOS'!B93</f>
        <v>Antisol blanco</v>
      </c>
      <c r="E1308" s="108" t="str">
        <f>+'LISTA DE INSUMOS'!C93</f>
        <v>Kg</v>
      </c>
      <c r="F1308" s="140">
        <v>2.5</v>
      </c>
      <c r="G1308" s="141">
        <f>'LISTA DE INSUMOS'!E93</f>
        <v>11510.734499999999</v>
      </c>
      <c r="H1308" s="205">
        <v>1.03</v>
      </c>
      <c r="I1308" s="141">
        <f>ROUND((F1308*G1308*H1308),0)</f>
        <v>29640</v>
      </c>
      <c r="J1308" s="47"/>
      <c r="K1308" s="143"/>
    </row>
    <row r="1309" spans="2:11" ht="24.9" customHeight="1" thickTop="1" thickBot="1" x14ac:dyDescent="0.25">
      <c r="B1309" s="191" t="s">
        <v>1310</v>
      </c>
      <c r="C1309" s="108" t="str">
        <f>+B544</f>
        <v>ITE092</v>
      </c>
      <c r="D1309" s="139" t="str">
        <f>+D544</f>
        <v>Concreto de 20,7 Mpa (3000 psi) (producción)</v>
      </c>
      <c r="E1309" s="108" t="str">
        <f>+E544</f>
        <v>M3</v>
      </c>
      <c r="F1309" s="140">
        <v>1</v>
      </c>
      <c r="G1309" s="141">
        <f>G544</f>
        <v>596118</v>
      </c>
      <c r="H1309" s="205">
        <v>1.05</v>
      </c>
      <c r="I1309" s="141">
        <f>ROUND((F1309*G1309*H1309),0)</f>
        <v>625924</v>
      </c>
      <c r="J1309" s="47"/>
      <c r="K1309" s="143"/>
    </row>
    <row r="1310" spans="2:11" ht="24.9" customHeight="1" thickTop="1" thickBot="1" x14ac:dyDescent="0.25">
      <c r="B1310" s="158" t="s">
        <v>1034</v>
      </c>
      <c r="C1310" s="108" t="str">
        <f>+'LISTA DE INSUMOS'!A17</f>
        <v>MOB014</v>
      </c>
      <c r="D1310" s="139" t="str">
        <f>+'LISTA DE INSUMOS'!B17</f>
        <v>Cuadrilla D 2 Of + 4 Ay (jornal + prestaciones)</v>
      </c>
      <c r="E1310" s="108" t="str">
        <f>+'LISTA DE INSUMOS'!C17</f>
        <v>Día</v>
      </c>
      <c r="F1310" s="140">
        <v>1</v>
      </c>
      <c r="G1310" s="141">
        <f>'LISTA DE INSUMOS'!E17</f>
        <v>654890</v>
      </c>
      <c r="H1310" s="205">
        <f>1/1.2</f>
        <v>0.83333333333333337</v>
      </c>
      <c r="I1310" s="141">
        <f>ROUND((F1310*G1310*H1310),0)</f>
        <v>545742</v>
      </c>
      <c r="J1310" s="47"/>
      <c r="K1310" s="143"/>
    </row>
    <row r="1311" spans="2:11" ht="24.9" customHeight="1" thickTop="1" x14ac:dyDescent="0.2">
      <c r="B1311" s="674" t="s">
        <v>1033</v>
      </c>
      <c r="C1311" s="108" t="str">
        <f>+'LISTA DE INSUMOS'!A758</f>
        <v>EQU002</v>
      </c>
      <c r="D1311" s="139" t="str">
        <f>+'LISTA DE INSUMOS'!B758</f>
        <v>Herramienta menor (% mano obra)</v>
      </c>
      <c r="E1311" s="108" t="str">
        <f>+'LISTA DE INSUMOS'!C758</f>
        <v>%MO</v>
      </c>
      <c r="F1311" s="140">
        <v>0.1</v>
      </c>
      <c r="G1311" s="141">
        <f>I1310</f>
        <v>545742</v>
      </c>
      <c r="H1311" s="205">
        <v>0</v>
      </c>
      <c r="I1311" s="141">
        <f>ROUND((F1311*G1311),0)</f>
        <v>54574</v>
      </c>
      <c r="J1311" s="47"/>
      <c r="K1311" s="143"/>
    </row>
    <row r="1312" spans="2:11" ht="24.9" customHeight="1" x14ac:dyDescent="0.2">
      <c r="B1312" s="679"/>
      <c r="C1312" s="108" t="str">
        <f>+'LISTA DE INSUMOS'!A762</f>
        <v>EQU006</v>
      </c>
      <c r="D1312" s="139" t="str">
        <f>+'LISTA DE INSUMOS'!B762</f>
        <v>Andamio (% mano obra)</v>
      </c>
      <c r="E1312" s="108" t="str">
        <f>+'LISTA DE INSUMOS'!C762</f>
        <v>%MO</v>
      </c>
      <c r="F1312" s="140">
        <v>0.05</v>
      </c>
      <c r="G1312" s="141">
        <f>I1310</f>
        <v>545742</v>
      </c>
      <c r="H1312" s="205">
        <v>0</v>
      </c>
      <c r="I1312" s="141">
        <f>ROUND((F1312*G1312),0)</f>
        <v>27287</v>
      </c>
      <c r="J1312" s="47"/>
      <c r="K1312" s="143"/>
    </row>
    <row r="1313" spans="2:11" ht="24.9" customHeight="1" thickBot="1" x14ac:dyDescent="0.25">
      <c r="B1313" s="675"/>
      <c r="C1313" s="108" t="str">
        <f>+'LISTA DE INSUMOS'!A775</f>
        <v>EQU018</v>
      </c>
      <c r="D1313" s="139" t="str">
        <f>+'LISTA DE INSUMOS'!B775</f>
        <v>Vibrador eléctrico o a gasolina</v>
      </c>
      <c r="E1313" s="108" t="str">
        <f>+'LISTA DE INSUMOS'!C775</f>
        <v>Día</v>
      </c>
      <c r="F1313" s="160">
        <v>1</v>
      </c>
      <c r="G1313" s="141">
        <f>'LISTA DE INSUMOS'!E775</f>
        <v>42234.2781968536</v>
      </c>
      <c r="H1313" s="205">
        <f>1/10</f>
        <v>0.1</v>
      </c>
      <c r="I1313" s="141">
        <f>ROUND((F1313*G1313*H1313),0)</f>
        <v>4223</v>
      </c>
      <c r="J1313" s="47"/>
      <c r="K1313" s="143"/>
    </row>
    <row r="1314" spans="2:11" ht="24.9" customHeight="1" thickTop="1" thickBot="1" x14ac:dyDescent="0.25">
      <c r="B1314" s="171" t="s">
        <v>421</v>
      </c>
      <c r="C1314" s="145" t="str">
        <f>+'LISTA DE INSUMOS'!A823</f>
        <v>ESY001</v>
      </c>
      <c r="D1314" s="146" t="str">
        <f>+'LISTA DE INSUMOS'!B823</f>
        <v>Ensayo resistencia concretos (un testigo)</v>
      </c>
      <c r="E1314" s="145" t="str">
        <f>+'LISTA DE INSUMOS'!C823</f>
        <v>Un</v>
      </c>
      <c r="F1314" s="172">
        <f>1/10*3</f>
        <v>0.30000000000000004</v>
      </c>
      <c r="G1314" s="173">
        <f>'LISTA DE INSUMOS'!E823</f>
        <v>29175.946249999997</v>
      </c>
      <c r="H1314" s="206">
        <v>0</v>
      </c>
      <c r="I1314" s="148">
        <f>ROUND((F1314*G1314),0)</f>
        <v>8753</v>
      </c>
      <c r="J1314" s="47"/>
      <c r="K1314" s="143"/>
    </row>
    <row r="1315" spans="2:11" ht="33" customHeight="1" x14ac:dyDescent="0.2">
      <c r="B1315" s="117" t="s">
        <v>2049</v>
      </c>
      <c r="C1315" s="120"/>
      <c r="D1315" s="112" t="s">
        <v>239</v>
      </c>
      <c r="E1315" s="117" t="s">
        <v>2586</v>
      </c>
      <c r="F1315" s="118"/>
      <c r="G1315" s="119">
        <f>ROUND(SUM(I1315:I1330),0)</f>
        <v>1767914</v>
      </c>
      <c r="H1315" s="120"/>
      <c r="I1315" s="119"/>
      <c r="J1315" s="47"/>
      <c r="K1315" s="143"/>
    </row>
    <row r="1316" spans="2:11" ht="24.9" customHeight="1" x14ac:dyDescent="0.2">
      <c r="B1316" s="672" t="s">
        <v>1035</v>
      </c>
      <c r="C1316" s="108" t="str">
        <f>+'LISTA DE INSUMOS'!A46</f>
        <v>MAT017</v>
      </c>
      <c r="D1316" s="139" t="str">
        <f>+'LISTA DE INSUMOS'!B46</f>
        <v>Tabla para formaleta de 1" x 10" x 2,9 m</v>
      </c>
      <c r="E1316" s="108" t="str">
        <f>+'LISTA DE INSUMOS'!C46</f>
        <v>M</v>
      </c>
      <c r="F1316" s="140">
        <v>25</v>
      </c>
      <c r="G1316" s="141">
        <f>'LISTA DE INSUMOS'!E46</f>
        <v>8112.0359999999991</v>
      </c>
      <c r="H1316" s="205">
        <f>1/3</f>
        <v>0.33333333333333331</v>
      </c>
      <c r="I1316" s="141">
        <f>ROUND((F1316*G1316*H1316),0)</f>
        <v>67600</v>
      </c>
      <c r="J1316" s="47"/>
      <c r="K1316" s="143"/>
    </row>
    <row r="1317" spans="2:11" ht="30" customHeight="1" x14ac:dyDescent="0.2">
      <c r="B1317" s="672"/>
      <c r="C1317" s="108" t="str">
        <f>+'LISTA DE INSUMOS'!A174</f>
        <v>MAT128</v>
      </c>
      <c r="D1317" s="139" t="str">
        <f>+'LISTA DE INSUMOS'!B174</f>
        <v xml:space="preserve">Tablilla fina para piso </v>
      </c>
      <c r="E1317" s="108" t="str">
        <f>+'LISTA DE INSUMOS'!C174</f>
        <v>M2</v>
      </c>
      <c r="F1317" s="140">
        <v>6.12</v>
      </c>
      <c r="G1317" s="141">
        <f>'LISTA DE INSUMOS'!E174</f>
        <v>46715.039015567992</v>
      </c>
      <c r="H1317" s="205">
        <f>1/3</f>
        <v>0.33333333333333331</v>
      </c>
      <c r="I1317" s="141">
        <f>ROUND((F1317*G1317*H1317),0)</f>
        <v>95299</v>
      </c>
      <c r="J1317" s="47"/>
      <c r="K1317" s="143"/>
    </row>
    <row r="1318" spans="2:11" ht="24.9" customHeight="1" x14ac:dyDescent="0.2">
      <c r="B1318" s="672"/>
      <c r="C1318" s="108" t="str">
        <f>+'LISTA DE INSUMOS'!A49</f>
        <v>MAT018</v>
      </c>
      <c r="D1318" s="139" t="str">
        <f>+'LISTA DE INSUMOS'!B49</f>
        <v>Cuartón de sajo 2" x 4" x 2,9 m</v>
      </c>
      <c r="E1318" s="108" t="str">
        <f>+'LISTA DE INSUMOS'!C49</f>
        <v>M</v>
      </c>
      <c r="F1318" s="140">
        <v>6</v>
      </c>
      <c r="G1318" s="141">
        <f>'LISTA DE INSUMOS'!E49</f>
        <v>11944.810644542158</v>
      </c>
      <c r="H1318" s="205">
        <f>1/3</f>
        <v>0.33333333333333331</v>
      </c>
      <c r="I1318" s="141">
        <f>ROUND((F1318*G1318*H1318),0)</f>
        <v>23890</v>
      </c>
      <c r="J1318" s="47"/>
      <c r="K1318" s="143"/>
    </row>
    <row r="1319" spans="2:11" ht="24.9" customHeight="1" x14ac:dyDescent="0.2">
      <c r="B1319" s="672"/>
      <c r="C1319" s="108" t="str">
        <f>+'LISTA DE INSUMOS'!A50</f>
        <v>MAT019</v>
      </c>
      <c r="D1319" s="139" t="str">
        <f>+'LISTA DE INSUMOS'!B50</f>
        <v>Listón sajo de 5 x 3 cm x 2,5 m (varilla)</v>
      </c>
      <c r="E1319" s="108" t="str">
        <f>+'LISTA DE INSUMOS'!C50</f>
        <v>M</v>
      </c>
      <c r="F1319" s="140">
        <v>12</v>
      </c>
      <c r="G1319" s="141">
        <f>'LISTA DE INSUMOS'!E50</f>
        <v>7285.5458999999992</v>
      </c>
      <c r="H1319" s="205">
        <f>1/3</f>
        <v>0.33333333333333331</v>
      </c>
      <c r="I1319" s="141">
        <f>ROUND((F1319*G1319*H1319),0)</f>
        <v>29142</v>
      </c>
      <c r="J1319" s="47"/>
      <c r="K1319" s="143"/>
    </row>
    <row r="1320" spans="2:11" ht="24.9" customHeight="1" x14ac:dyDescent="0.2">
      <c r="B1320" s="672"/>
      <c r="C1320" s="108" t="str">
        <f>+'LISTA DE INSUMOS'!A51</f>
        <v>MAT020</v>
      </c>
      <c r="D1320" s="139" t="str">
        <f>+'LISTA DE INSUMOS'!B51</f>
        <v>Guadua basa longitud promedio = 5 m</v>
      </c>
      <c r="E1320" s="108" t="str">
        <f>+'LISTA DE INSUMOS'!C51</f>
        <v>Un</v>
      </c>
      <c r="F1320" s="140">
        <v>4</v>
      </c>
      <c r="G1320" s="141">
        <f>'LISTA DE INSUMOS'!E51</f>
        <v>8662.3499999999985</v>
      </c>
      <c r="H1320" s="205">
        <f>1/3</f>
        <v>0.33333333333333331</v>
      </c>
      <c r="I1320" s="141">
        <f>ROUND((F1320*G1320*H1320),0)</f>
        <v>11550</v>
      </c>
      <c r="J1320" s="47"/>
      <c r="K1320" s="143"/>
    </row>
    <row r="1321" spans="2:11" ht="24.9" customHeight="1" x14ac:dyDescent="0.2">
      <c r="B1321" s="672"/>
      <c r="C1321" s="108" t="str">
        <f>+'LISTA DE INSUMOS'!A52</f>
        <v>MAT021</v>
      </c>
      <c r="D1321" s="139" t="str">
        <f>+'LISTA DE INSUMOS'!B52</f>
        <v>Puntilla (promedio)</v>
      </c>
      <c r="E1321" s="108" t="str">
        <f>+'LISTA DE INSUMOS'!C52</f>
        <v>Lb</v>
      </c>
      <c r="F1321" s="140">
        <v>2</v>
      </c>
      <c r="G1321" s="141">
        <f>'LISTA DE INSUMOS'!E52</f>
        <v>6690.6972299999998</v>
      </c>
      <c r="H1321" s="205">
        <v>0</v>
      </c>
      <c r="I1321" s="141">
        <f>ROUND((F1321*G1321),0)</f>
        <v>13381</v>
      </c>
      <c r="J1321" s="47"/>
      <c r="K1321" s="143"/>
    </row>
    <row r="1322" spans="2:11" ht="24.9" customHeight="1" x14ac:dyDescent="0.2">
      <c r="B1322" s="672"/>
      <c r="C1322" s="108" t="str">
        <f>+'LISTA DE INSUMOS'!A53</f>
        <v>MAT022</v>
      </c>
      <c r="D1322" s="139" t="str">
        <f>+'LISTA DE INSUMOS'!B53</f>
        <v>Alambre negro calibre 17</v>
      </c>
      <c r="E1322" s="108" t="str">
        <f>+'LISTA DE INSUMOS'!C53</f>
        <v>Kg</v>
      </c>
      <c r="F1322" s="140">
        <v>2</v>
      </c>
      <c r="G1322" s="141">
        <f>'LISTA DE INSUMOS'!E53</f>
        <v>7948.98</v>
      </c>
      <c r="H1322" s="205">
        <v>0</v>
      </c>
      <c r="I1322" s="141">
        <f>ROUND((F1322*G1322),0)</f>
        <v>15898</v>
      </c>
      <c r="J1322" s="47"/>
      <c r="K1322" s="143"/>
    </row>
    <row r="1323" spans="2:11" ht="24.9" customHeight="1" x14ac:dyDescent="0.2">
      <c r="B1323" s="672"/>
      <c r="C1323" s="108" t="str">
        <f>+'LISTA DE INSUMOS'!A67</f>
        <v>MAT034</v>
      </c>
      <c r="D1323" s="139" t="str">
        <f>+'LISTA DE INSUMOS'!B67</f>
        <v>ACPM</v>
      </c>
      <c r="E1323" s="108" t="str">
        <f>+'LISTA DE INSUMOS'!C67</f>
        <v>Gl</v>
      </c>
      <c r="F1323" s="140">
        <v>0.6</v>
      </c>
      <c r="G1323" s="141">
        <f>'LISTA DE INSUMOS'!E67</f>
        <v>9681.4499999999989</v>
      </c>
      <c r="H1323" s="205">
        <v>0</v>
      </c>
      <c r="I1323" s="141">
        <f>ROUND((F1323*G1323),0)</f>
        <v>5809</v>
      </c>
      <c r="J1323" s="47"/>
      <c r="K1323" s="143"/>
    </row>
    <row r="1324" spans="2:11" ht="24.9" customHeight="1" thickBot="1" x14ac:dyDescent="0.25">
      <c r="B1324" s="673"/>
      <c r="C1324" s="108" t="str">
        <f>+'LISTA DE INSUMOS'!A93</f>
        <v>MAT051</v>
      </c>
      <c r="D1324" s="139" t="str">
        <f>+'LISTA DE INSUMOS'!B93</f>
        <v>Antisol blanco</v>
      </c>
      <c r="E1324" s="108" t="str">
        <f>+'LISTA DE INSUMOS'!C93</f>
        <v>Kg</v>
      </c>
      <c r="F1324" s="140">
        <v>2.5</v>
      </c>
      <c r="G1324" s="141">
        <f>+'LISTA DE INSUMOS'!E93</f>
        <v>11510.734499999999</v>
      </c>
      <c r="H1324" s="205">
        <v>1.03</v>
      </c>
      <c r="I1324" s="141">
        <f>ROUND((F1324*G1324*H1324),0)</f>
        <v>29640</v>
      </c>
      <c r="J1324" s="47"/>
      <c r="K1324" s="143"/>
    </row>
    <row r="1325" spans="2:11" ht="24.9" customHeight="1" thickTop="1" thickBot="1" x14ac:dyDescent="0.25">
      <c r="B1325" s="191" t="s">
        <v>1310</v>
      </c>
      <c r="C1325" s="108" t="str">
        <f>+B544</f>
        <v>ITE092</v>
      </c>
      <c r="D1325" s="139" t="str">
        <f>+D544</f>
        <v>Concreto de 20,7 Mpa (3000 psi) (producción)</v>
      </c>
      <c r="E1325" s="108" t="str">
        <f>+E544</f>
        <v>M3</v>
      </c>
      <c r="F1325" s="140">
        <v>1</v>
      </c>
      <c r="G1325" s="141">
        <f>G544</f>
        <v>596118</v>
      </c>
      <c r="H1325" s="205">
        <v>1.05</v>
      </c>
      <c r="I1325" s="141">
        <f>ROUND((F1325*G1325*H1325),0)</f>
        <v>625924</v>
      </c>
      <c r="J1325" s="47"/>
      <c r="K1325" s="143"/>
    </row>
    <row r="1326" spans="2:11" ht="24.9" customHeight="1" thickTop="1" thickBot="1" x14ac:dyDescent="0.25">
      <c r="B1326" s="158" t="s">
        <v>1034</v>
      </c>
      <c r="C1326" s="108" t="str">
        <f>+'LISTA DE INSUMOS'!A17</f>
        <v>MOB014</v>
      </c>
      <c r="D1326" s="139" t="str">
        <f>+'LISTA DE INSUMOS'!B17</f>
        <v>Cuadrilla D 2 Of + 4 Ay (jornal + prestaciones)</v>
      </c>
      <c r="E1326" s="108" t="str">
        <f>+'LISTA DE INSUMOS'!C17</f>
        <v>Día</v>
      </c>
      <c r="F1326" s="140">
        <v>1</v>
      </c>
      <c r="G1326" s="141">
        <f>'LISTA DE INSUMOS'!E17</f>
        <v>654890</v>
      </c>
      <c r="H1326" s="205">
        <f>1/0.9</f>
        <v>1.1111111111111112</v>
      </c>
      <c r="I1326" s="141">
        <f>ROUND((F1326*G1326*H1326),0)</f>
        <v>727656</v>
      </c>
      <c r="J1326" s="47"/>
      <c r="K1326" s="143"/>
    </row>
    <row r="1327" spans="2:11" ht="24.9" customHeight="1" thickTop="1" x14ac:dyDescent="0.2">
      <c r="B1327" s="674" t="s">
        <v>1033</v>
      </c>
      <c r="C1327" s="108" t="str">
        <f>+'LISTA DE INSUMOS'!A758</f>
        <v>EQU002</v>
      </c>
      <c r="D1327" s="139" t="str">
        <f>+'LISTA DE INSUMOS'!B758</f>
        <v>Herramienta menor (% mano obra)</v>
      </c>
      <c r="E1327" s="108" t="str">
        <f>+'LISTA DE INSUMOS'!C758</f>
        <v>%MO</v>
      </c>
      <c r="F1327" s="140">
        <v>0.1</v>
      </c>
      <c r="G1327" s="141">
        <f>I1326</f>
        <v>727656</v>
      </c>
      <c r="H1327" s="205">
        <v>0</v>
      </c>
      <c r="I1327" s="141">
        <f>ROUND((F1327*G1327),0)</f>
        <v>72766</v>
      </c>
      <c r="J1327" s="47"/>
      <c r="K1327" s="143"/>
    </row>
    <row r="1328" spans="2:11" ht="24.9" customHeight="1" x14ac:dyDescent="0.2">
      <c r="B1328" s="679"/>
      <c r="C1328" s="108" t="str">
        <f>+'LISTA DE INSUMOS'!A762</f>
        <v>EQU006</v>
      </c>
      <c r="D1328" s="139" t="str">
        <f>+'LISTA DE INSUMOS'!B762</f>
        <v>Andamio (% mano obra)</v>
      </c>
      <c r="E1328" s="108" t="str">
        <f>+'LISTA DE INSUMOS'!C762</f>
        <v>%MO</v>
      </c>
      <c r="F1328" s="140">
        <v>0.05</v>
      </c>
      <c r="G1328" s="141">
        <f>I1326</f>
        <v>727656</v>
      </c>
      <c r="H1328" s="205">
        <v>0</v>
      </c>
      <c r="I1328" s="141">
        <f>ROUND((F1328*G1328),0)</f>
        <v>36383</v>
      </c>
      <c r="J1328" s="47"/>
      <c r="K1328" s="143"/>
    </row>
    <row r="1329" spans="2:11" ht="24.9" customHeight="1" thickBot="1" x14ac:dyDescent="0.25">
      <c r="B1329" s="675"/>
      <c r="C1329" s="108" t="str">
        <f>+'LISTA DE INSUMOS'!A775</f>
        <v>EQU018</v>
      </c>
      <c r="D1329" s="139" t="str">
        <f>+'LISTA DE INSUMOS'!B775</f>
        <v>Vibrador eléctrico o a gasolina</v>
      </c>
      <c r="E1329" s="108" t="str">
        <f>+'LISTA DE INSUMOS'!C775</f>
        <v>Día</v>
      </c>
      <c r="F1329" s="160">
        <v>1</v>
      </c>
      <c r="G1329" s="141">
        <f>'LISTA DE INSUMOS'!E775</f>
        <v>42234.2781968536</v>
      </c>
      <c r="H1329" s="205">
        <f>1/10</f>
        <v>0.1</v>
      </c>
      <c r="I1329" s="141">
        <f>ROUND((F1329*G1329*H1329),0)</f>
        <v>4223</v>
      </c>
      <c r="J1329" s="47"/>
      <c r="K1329" s="143"/>
    </row>
    <row r="1330" spans="2:11" ht="24.9" customHeight="1" thickTop="1" thickBot="1" x14ac:dyDescent="0.25">
      <c r="B1330" s="171" t="s">
        <v>421</v>
      </c>
      <c r="C1330" s="145" t="str">
        <f>+'LISTA DE INSUMOS'!A823</f>
        <v>ESY001</v>
      </c>
      <c r="D1330" s="146" t="str">
        <f>+'LISTA DE INSUMOS'!B823</f>
        <v>Ensayo resistencia concretos (un testigo)</v>
      </c>
      <c r="E1330" s="145" t="str">
        <f>+'LISTA DE INSUMOS'!C823</f>
        <v>Un</v>
      </c>
      <c r="F1330" s="172">
        <f>1/10*3</f>
        <v>0.30000000000000004</v>
      </c>
      <c r="G1330" s="173">
        <f>'LISTA DE INSUMOS'!E823</f>
        <v>29175.946249999997</v>
      </c>
      <c r="H1330" s="206">
        <v>0</v>
      </c>
      <c r="I1330" s="148">
        <f>ROUND((F1330*G1330),0)</f>
        <v>8753</v>
      </c>
      <c r="J1330" s="47"/>
      <c r="K1330" s="143"/>
    </row>
    <row r="1331" spans="2:11" ht="45.75" customHeight="1" x14ac:dyDescent="0.2">
      <c r="B1331" s="117" t="s">
        <v>2052</v>
      </c>
      <c r="C1331" s="117"/>
      <c r="D1331" s="112" t="s">
        <v>240</v>
      </c>
      <c r="E1331" s="117" t="s">
        <v>1435</v>
      </c>
      <c r="F1331" s="149"/>
      <c r="G1331" s="119">
        <f>ROUND(SUM(I1331:I1340),0)</f>
        <v>187478</v>
      </c>
      <c r="H1331" s="120"/>
      <c r="I1331" s="119"/>
      <c r="J1331" s="47"/>
      <c r="K1331" s="143"/>
    </row>
    <row r="1332" spans="2:11" ht="24.9" customHeight="1" x14ac:dyDescent="0.2">
      <c r="B1332" s="672" t="s">
        <v>1035</v>
      </c>
      <c r="C1332" s="108" t="str">
        <f>+'LISTA DE INSUMOS'!A181</f>
        <v>MAT134</v>
      </c>
      <c r="D1332" s="139" t="str">
        <f>+'LISTA DE INSUMOS'!B181</f>
        <v>Ángulo de 1" x 1/8"</v>
      </c>
      <c r="E1332" s="108" t="str">
        <f>+'LISTA DE INSUMOS'!C181</f>
        <v>M</v>
      </c>
      <c r="F1332" s="140">
        <v>2.4</v>
      </c>
      <c r="G1332" s="141">
        <f>'LISTA DE INSUMOS'!E181</f>
        <v>8460.7605347429999</v>
      </c>
      <c r="H1332" s="108">
        <v>0</v>
      </c>
      <c r="I1332" s="141">
        <f>ROUND((F1332*G1332),0)</f>
        <v>20306</v>
      </c>
      <c r="J1332" s="47"/>
      <c r="K1332" s="143"/>
    </row>
    <row r="1333" spans="2:11" ht="24.9" customHeight="1" x14ac:dyDescent="0.2">
      <c r="B1333" s="672"/>
      <c r="C1333" s="108" t="str">
        <f>+'LISTA DE INSUMOS'!A50</f>
        <v>MAT019</v>
      </c>
      <c r="D1333" s="139" t="str">
        <f>+'LISTA DE INSUMOS'!B50</f>
        <v>Listón sajo de 5 x 3 cm x 2,5 m (varilla)</v>
      </c>
      <c r="E1333" s="108" t="str">
        <f>+'LISTA DE INSUMOS'!C50</f>
        <v>M</v>
      </c>
      <c r="F1333" s="140">
        <v>2.5</v>
      </c>
      <c r="G1333" s="141">
        <f>'LISTA DE INSUMOS'!E50</f>
        <v>7285.5458999999992</v>
      </c>
      <c r="H1333" s="108">
        <f>1/3</f>
        <v>0.33333333333333331</v>
      </c>
      <c r="I1333" s="141">
        <f>ROUND((F1333*G1333*H1333),0)</f>
        <v>6071</v>
      </c>
      <c r="J1333" s="47"/>
      <c r="K1333" s="143"/>
    </row>
    <row r="1334" spans="2:11" ht="24.9" customHeight="1" x14ac:dyDescent="0.2">
      <c r="B1334" s="672"/>
      <c r="C1334" s="108" t="str">
        <f>+'LISTA DE INSUMOS'!A52</f>
        <v>MAT021</v>
      </c>
      <c r="D1334" s="139" t="str">
        <f>+'LISTA DE INSUMOS'!B52</f>
        <v>Puntilla (promedio)</v>
      </c>
      <c r="E1334" s="108" t="str">
        <f>+'LISTA DE INSUMOS'!C52</f>
        <v>Lb</v>
      </c>
      <c r="F1334" s="140">
        <v>0.15</v>
      </c>
      <c r="G1334" s="141">
        <f>'LISTA DE INSUMOS'!E52</f>
        <v>6690.6972299999998</v>
      </c>
      <c r="H1334" s="108">
        <v>0</v>
      </c>
      <c r="I1334" s="141">
        <f>ROUND((F1334*G1334),0)</f>
        <v>1004</v>
      </c>
      <c r="J1334" s="47"/>
      <c r="K1334" s="143"/>
    </row>
    <row r="1335" spans="2:11" ht="24.9" customHeight="1" thickBot="1" x14ac:dyDescent="0.25">
      <c r="B1335" s="673"/>
      <c r="C1335" s="108" t="str">
        <f>+'LISTA DE INSUMOS'!A46</f>
        <v>MAT017</v>
      </c>
      <c r="D1335" s="139" t="str">
        <f>+'LISTA DE INSUMOS'!B46</f>
        <v>Tabla para formaleta de 1" x 10" x 2,9 m</v>
      </c>
      <c r="E1335" s="108" t="str">
        <f>+'LISTA DE INSUMOS'!C46</f>
        <v>M</v>
      </c>
      <c r="F1335" s="140">
        <v>2.5</v>
      </c>
      <c r="G1335" s="141">
        <f>'LISTA DE INSUMOS'!E46</f>
        <v>8112.0359999999991</v>
      </c>
      <c r="H1335" s="108">
        <f>1/3</f>
        <v>0.33333333333333331</v>
      </c>
      <c r="I1335" s="141">
        <f>ROUND((F1335*G1335*H1335),0)</f>
        <v>6760</v>
      </c>
      <c r="J1335" s="47"/>
      <c r="K1335" s="143"/>
    </row>
    <row r="1336" spans="2:11" ht="24.9" customHeight="1" thickTop="1" x14ac:dyDescent="0.2">
      <c r="B1336" s="726" t="s">
        <v>1310</v>
      </c>
      <c r="C1336" s="108" t="str">
        <f>+B553</f>
        <v>ITE093</v>
      </c>
      <c r="D1336" s="139" t="str">
        <f>+D553</f>
        <v>Concreto de 17,2 Mpa (2500 psi) (producción)</v>
      </c>
      <c r="E1336" s="108" t="str">
        <f>+E553</f>
        <v>M3</v>
      </c>
      <c r="F1336" s="140">
        <v>0.12</v>
      </c>
      <c r="G1336" s="141">
        <f>G553</f>
        <v>566526</v>
      </c>
      <c r="H1336" s="108">
        <v>1.05</v>
      </c>
      <c r="I1336" s="141">
        <f>ROUND((F1336*G1336*H1336),0)</f>
        <v>71382</v>
      </c>
      <c r="J1336" s="47"/>
      <c r="K1336" s="143"/>
    </row>
    <row r="1337" spans="2:11" ht="24.9" customHeight="1" x14ac:dyDescent="0.2">
      <c r="B1337" s="727"/>
      <c r="C1337" s="108" t="str">
        <f>+B544</f>
        <v>ITE092</v>
      </c>
      <c r="D1337" s="139" t="str">
        <f>+D544</f>
        <v>Concreto de 20,7 Mpa (3000 psi) (producción)</v>
      </c>
      <c r="E1337" s="108" t="str">
        <f>+E544</f>
        <v>M3</v>
      </c>
      <c r="F1337" s="152">
        <v>8.0000000000000002E-3</v>
      </c>
      <c r="G1337" s="141">
        <f>G544</f>
        <v>596118</v>
      </c>
      <c r="H1337" s="108">
        <v>1.05</v>
      </c>
      <c r="I1337" s="141">
        <f>ROUND((F1337*G1337*H1337),0)</f>
        <v>5007</v>
      </c>
      <c r="J1337" s="47"/>
      <c r="K1337" s="143"/>
    </row>
    <row r="1338" spans="2:11" ht="24.9" customHeight="1" thickBot="1" x14ac:dyDescent="0.25">
      <c r="B1338" s="728"/>
      <c r="C1338" s="108" t="str">
        <f>+B587</f>
        <v>ITE98</v>
      </c>
      <c r="D1338" s="167" t="str">
        <f>+D587</f>
        <v>Acero Fy = 60.000 psi d&gt;1/4"</v>
      </c>
      <c r="E1338" s="108" t="str">
        <f>+E587</f>
        <v>Kg</v>
      </c>
      <c r="F1338" s="140">
        <v>1.3</v>
      </c>
      <c r="G1338" s="141">
        <f>G587</f>
        <v>7240</v>
      </c>
      <c r="H1338" s="108">
        <v>0</v>
      </c>
      <c r="I1338" s="141">
        <f>ROUND((F1338*G1338),0)</f>
        <v>9412</v>
      </c>
      <c r="J1338" s="47"/>
      <c r="K1338" s="143"/>
    </row>
    <row r="1339" spans="2:11" ht="13.5" customHeight="1" thickTop="1" thickBot="1" x14ac:dyDescent="0.25">
      <c r="B1339" s="158" t="s">
        <v>1034</v>
      </c>
      <c r="C1339" s="108" t="str">
        <f>+'LISTA DE INSUMOS'!A18</f>
        <v>MOB015</v>
      </c>
      <c r="D1339" s="139" t="str">
        <f>+'LISTA DE INSUMOS'!B18</f>
        <v>Cuadrilla E 1 Of + 1 Ay (jornal + prestaciones)</v>
      </c>
      <c r="E1339" s="108" t="str">
        <f>+'LISTA DE INSUMOS'!C18</f>
        <v>Día</v>
      </c>
      <c r="F1339" s="140">
        <v>1</v>
      </c>
      <c r="G1339" s="141">
        <f>'LISTA DE INSUMOS'!E18</f>
        <v>245584</v>
      </c>
      <c r="H1339" s="108">
        <f>1/4</f>
        <v>0.25</v>
      </c>
      <c r="I1339" s="141">
        <f>ROUND((F1339*G1339*H1339),0)</f>
        <v>61396</v>
      </c>
      <c r="J1339" s="47"/>
      <c r="K1339" s="143"/>
    </row>
    <row r="1340" spans="2:11" ht="27.9" customHeight="1" thickTop="1" thickBot="1" x14ac:dyDescent="0.25">
      <c r="B1340" s="150" t="s">
        <v>1033</v>
      </c>
      <c r="C1340" s="151" t="str">
        <f>+'LISTA DE INSUMOS'!A758</f>
        <v>EQU002</v>
      </c>
      <c r="D1340" s="146" t="str">
        <f>+'LISTA DE INSUMOS'!B758</f>
        <v>Herramienta menor (% mano obra)</v>
      </c>
      <c r="E1340" s="145" t="str">
        <f>+'LISTA DE INSUMOS'!C758</f>
        <v>%MO</v>
      </c>
      <c r="F1340" s="147">
        <v>0.1</v>
      </c>
      <c r="G1340" s="148">
        <f>I1339</f>
        <v>61396</v>
      </c>
      <c r="H1340" s="145">
        <v>0</v>
      </c>
      <c r="I1340" s="148">
        <f>ROUND((F1340*G1340),0)</f>
        <v>6140</v>
      </c>
      <c r="J1340" s="47"/>
      <c r="K1340" s="143"/>
    </row>
    <row r="1341" spans="2:11" s="317" customFormat="1" ht="32.25" hidden="1" customHeight="1" x14ac:dyDescent="0.2">
      <c r="B1341" s="319" t="s">
        <v>1469</v>
      </c>
      <c r="C1341" s="322"/>
      <c r="D1341" s="320" t="s">
        <v>237</v>
      </c>
      <c r="E1341" s="319" t="s">
        <v>1435</v>
      </c>
      <c r="F1341" s="321"/>
      <c r="G1341" s="312">
        <f>ROUND(SUM(I1341:I1349),0)</f>
        <v>134479</v>
      </c>
      <c r="H1341" s="322"/>
      <c r="I1341" s="312"/>
      <c r="J1341" s="313"/>
      <c r="K1341" s="323"/>
    </row>
    <row r="1342" spans="2:11" s="317" customFormat="1" ht="33" hidden="1" customHeight="1" x14ac:dyDescent="0.2">
      <c r="B1342" s="691" t="s">
        <v>1035</v>
      </c>
      <c r="C1342" s="322" t="str">
        <f>+'LISTA DE INSUMOS'!A46</f>
        <v>MAT017</v>
      </c>
      <c r="D1342" s="324" t="str">
        <f>+'LISTA DE INSUMOS'!B46</f>
        <v>Tabla para formaleta de 1" x 10" x 2,9 m</v>
      </c>
      <c r="E1342" s="322" t="str">
        <f>+'LISTA DE INSUMOS'!C46</f>
        <v>M</v>
      </c>
      <c r="F1342" s="325">
        <v>3</v>
      </c>
      <c r="G1342" s="312">
        <f>'LISTA DE INSUMOS'!E46</f>
        <v>8112.0359999999991</v>
      </c>
      <c r="H1342" s="322">
        <f>1/3</f>
        <v>0.33333333333333331</v>
      </c>
      <c r="I1342" s="312">
        <f>ROUND((F1342*G1342*H1342),0)</f>
        <v>8112</v>
      </c>
      <c r="J1342" s="313"/>
      <c r="K1342" s="323"/>
    </row>
    <row r="1343" spans="2:11" s="317" customFormat="1" ht="32.25" hidden="1" customHeight="1" x14ac:dyDescent="0.2">
      <c r="B1343" s="691"/>
      <c r="C1343" s="322" t="str">
        <f>+'LISTA DE INSUMOS'!A49</f>
        <v>MAT018</v>
      </c>
      <c r="D1343" s="324" t="str">
        <f>+'LISTA DE INSUMOS'!B49</f>
        <v>Cuartón de sajo 2" x 4" x 2,9 m</v>
      </c>
      <c r="E1343" s="322" t="str">
        <f>+'LISTA DE INSUMOS'!C49</f>
        <v>M</v>
      </c>
      <c r="F1343" s="325">
        <v>4</v>
      </c>
      <c r="G1343" s="312">
        <f>'LISTA DE INSUMOS'!E49</f>
        <v>11944.810644542158</v>
      </c>
      <c r="H1343" s="322">
        <f>1/3</f>
        <v>0.33333333333333331</v>
      </c>
      <c r="I1343" s="312">
        <f>ROUND((F1343*G1343*H1343),0)</f>
        <v>15926</v>
      </c>
      <c r="J1343" s="313"/>
      <c r="K1343" s="323"/>
    </row>
    <row r="1344" spans="2:11" s="317" customFormat="1" ht="27.75" hidden="1" customHeight="1" x14ac:dyDescent="0.2">
      <c r="B1344" s="691"/>
      <c r="C1344" s="322" t="str">
        <f>+'LISTA DE INSUMOS'!A50</f>
        <v>MAT019</v>
      </c>
      <c r="D1344" s="324" t="str">
        <f>+'LISTA DE INSUMOS'!B50</f>
        <v>Listón sajo de 5 x 3 cm x 2,5 m (varilla)</v>
      </c>
      <c r="E1344" s="322" t="str">
        <f>+'LISTA DE INSUMOS'!C50</f>
        <v>M</v>
      </c>
      <c r="F1344" s="325">
        <v>6</v>
      </c>
      <c r="G1344" s="312">
        <f>'LISTA DE INSUMOS'!E50</f>
        <v>7285.5458999999992</v>
      </c>
      <c r="H1344" s="322">
        <f>1/3</f>
        <v>0.33333333333333331</v>
      </c>
      <c r="I1344" s="312">
        <f>ROUND((F1344*G1344*H1344),0)</f>
        <v>14571</v>
      </c>
      <c r="J1344" s="313"/>
      <c r="K1344" s="323"/>
    </row>
    <row r="1345" spans="2:11" s="317" customFormat="1" ht="6.75" hidden="1" customHeight="1" x14ac:dyDescent="0.2">
      <c r="B1345" s="691"/>
      <c r="C1345" s="322" t="str">
        <f>+'LISTA DE INSUMOS'!A51</f>
        <v>MAT020</v>
      </c>
      <c r="D1345" s="324" t="str">
        <f>+'LISTA DE INSUMOS'!B51</f>
        <v>Guadua basa longitud promedio = 5 m</v>
      </c>
      <c r="E1345" s="322" t="str">
        <f>+'LISTA DE INSUMOS'!C51</f>
        <v>Un</v>
      </c>
      <c r="F1345" s="325">
        <v>1</v>
      </c>
      <c r="G1345" s="312">
        <f>'LISTA DE INSUMOS'!E51</f>
        <v>8662.3499999999985</v>
      </c>
      <c r="H1345" s="322">
        <f>1/3</f>
        <v>0.33333333333333331</v>
      </c>
      <c r="I1345" s="312">
        <f>ROUND((F1345*G1345*H1345),0)</f>
        <v>2887</v>
      </c>
      <c r="J1345" s="313"/>
      <c r="K1345" s="323"/>
    </row>
    <row r="1346" spans="2:11" s="317" customFormat="1" ht="27" hidden="1" customHeight="1" thickBot="1" x14ac:dyDescent="0.25">
      <c r="B1346" s="692"/>
      <c r="C1346" s="322" t="str">
        <f>+'LISTA DE INSUMOS'!A52</f>
        <v>MAT021</v>
      </c>
      <c r="D1346" s="324" t="str">
        <f>+'LISTA DE INSUMOS'!B52</f>
        <v>Puntilla (promedio)</v>
      </c>
      <c r="E1346" s="322" t="str">
        <f>+'LISTA DE INSUMOS'!C52</f>
        <v>Lb</v>
      </c>
      <c r="F1346" s="325">
        <v>0.5</v>
      </c>
      <c r="G1346" s="312">
        <f>'LISTA DE INSUMOS'!E52</f>
        <v>6690.6972299999998</v>
      </c>
      <c r="H1346" s="322">
        <v>0</v>
      </c>
      <c r="I1346" s="312">
        <f>ROUND((F1346*G1346),0)</f>
        <v>3345</v>
      </c>
      <c r="J1346" s="313"/>
      <c r="K1346" s="323"/>
    </row>
    <row r="1347" spans="2:11" s="317" customFormat="1" ht="30" hidden="1" customHeight="1" thickTop="1" thickBot="1" x14ac:dyDescent="0.25">
      <c r="B1347" s="347" t="s">
        <v>1310</v>
      </c>
      <c r="C1347" s="322" t="str">
        <f>+B553</f>
        <v>ITE093</v>
      </c>
      <c r="D1347" s="324" t="str">
        <f>+D553</f>
        <v>Concreto de 17,2 Mpa (2500 psi) (producción)</v>
      </c>
      <c r="E1347" s="322" t="str">
        <f>+E553</f>
        <v>M3</v>
      </c>
      <c r="F1347" s="351">
        <v>7.4999999999999997E-2</v>
      </c>
      <c r="G1347" s="312">
        <f>G553</f>
        <v>566526</v>
      </c>
      <c r="H1347" s="322">
        <v>1.05</v>
      </c>
      <c r="I1347" s="312">
        <f>ROUND((F1347*G1347*H1347),0)</f>
        <v>44614</v>
      </c>
      <c r="J1347" s="313"/>
      <c r="K1347" s="323"/>
    </row>
    <row r="1348" spans="2:11" s="317" customFormat="1" ht="33" hidden="1" customHeight="1" thickTop="1" thickBot="1" x14ac:dyDescent="0.25">
      <c r="B1348" s="342" t="s">
        <v>1034</v>
      </c>
      <c r="C1348" s="322" t="str">
        <f>+'LISTA DE INSUMOS'!A18</f>
        <v>MOB015</v>
      </c>
      <c r="D1348" s="324" t="str">
        <f>+'LISTA DE INSUMOS'!B18</f>
        <v>Cuadrilla E 1 Of + 1 Ay (jornal + prestaciones)</v>
      </c>
      <c r="E1348" s="322" t="str">
        <f>+'LISTA DE INSUMOS'!C18</f>
        <v>Día</v>
      </c>
      <c r="F1348" s="325">
        <v>1</v>
      </c>
      <c r="G1348" s="312">
        <f>'LISTA DE INSUMOS'!E18</f>
        <v>245584</v>
      </c>
      <c r="H1348" s="322">
        <f>1/6</f>
        <v>0.16666666666666666</v>
      </c>
      <c r="I1348" s="312">
        <f>ROUND((F1348*G1348*H1348),0)</f>
        <v>40931</v>
      </c>
      <c r="J1348" s="313"/>
      <c r="K1348" s="323"/>
    </row>
    <row r="1349" spans="2:11" s="317" customFormat="1" ht="30.75" hidden="1" customHeight="1" thickTop="1" thickBot="1" x14ac:dyDescent="0.25">
      <c r="B1349" s="255" t="s">
        <v>1033</v>
      </c>
      <c r="C1349" s="327" t="str">
        <f>+'LISTA DE INSUMOS'!A758</f>
        <v>EQU002</v>
      </c>
      <c r="D1349" s="328" t="str">
        <f>+'LISTA DE INSUMOS'!B758</f>
        <v>Herramienta menor (% mano obra)</v>
      </c>
      <c r="E1349" s="329" t="str">
        <f>+'LISTA DE INSUMOS'!C758</f>
        <v>%MO</v>
      </c>
      <c r="F1349" s="330">
        <v>0.1</v>
      </c>
      <c r="G1349" s="331">
        <f>I1348</f>
        <v>40931</v>
      </c>
      <c r="H1349" s="329">
        <v>0</v>
      </c>
      <c r="I1349" s="331">
        <f>ROUND((F1349*G1349),0)</f>
        <v>4093</v>
      </c>
      <c r="J1349" s="313"/>
      <c r="K1349" s="323"/>
    </row>
    <row r="1350" spans="2:11" s="317" customFormat="1" ht="25.5" hidden="1" customHeight="1" x14ac:dyDescent="0.2">
      <c r="B1350" s="353" t="s">
        <v>1805</v>
      </c>
      <c r="C1350" s="319"/>
      <c r="D1350" s="320" t="s">
        <v>241</v>
      </c>
      <c r="E1350" s="319" t="s">
        <v>1435</v>
      </c>
      <c r="F1350" s="332"/>
      <c r="G1350" s="312">
        <f>ROUND(SUM(I1350:I1355),0)</f>
        <v>963414</v>
      </c>
      <c r="H1350" s="322"/>
      <c r="I1350" s="312"/>
      <c r="J1350" s="313"/>
      <c r="K1350" s="323"/>
    </row>
    <row r="1351" spans="2:11" s="317" customFormat="1" ht="29.25" hidden="1" customHeight="1" x14ac:dyDescent="0.2">
      <c r="B1351" s="714" t="s">
        <v>1310</v>
      </c>
      <c r="C1351" s="322" t="str">
        <f>+B119</f>
        <v>ITE025</v>
      </c>
      <c r="D1351" s="324" t="str">
        <f>+D119</f>
        <v>Excavación en material común seco de 1,5 - 4 m manual</v>
      </c>
      <c r="E1351" s="322" t="str">
        <f>+E119</f>
        <v>M3</v>
      </c>
      <c r="F1351" s="325">
        <v>1.2</v>
      </c>
      <c r="G1351" s="312">
        <f>+G119</f>
        <v>52886</v>
      </c>
      <c r="H1351" s="322">
        <v>0</v>
      </c>
      <c r="I1351" s="312">
        <f>ROUND((F1351*G1351),0)</f>
        <v>63463</v>
      </c>
      <c r="J1351" s="313"/>
      <c r="K1351" s="323"/>
    </row>
    <row r="1352" spans="2:11" s="317" customFormat="1" ht="30.75" hidden="1" customHeight="1" thickBot="1" x14ac:dyDescent="0.25">
      <c r="B1352" s="715"/>
      <c r="C1352" s="322" t="str">
        <f>+B553</f>
        <v>ITE093</v>
      </c>
      <c r="D1352" s="324" t="str">
        <f>+D553</f>
        <v>Concreto de 17,2 Mpa (2500 psi) (producción)</v>
      </c>
      <c r="E1352" s="322" t="str">
        <f>+E553</f>
        <v>M3</v>
      </c>
      <c r="F1352" s="325">
        <v>1.2</v>
      </c>
      <c r="G1352" s="312">
        <f>G553</f>
        <v>566526</v>
      </c>
      <c r="H1352" s="322">
        <v>1.05</v>
      </c>
      <c r="I1352" s="312">
        <f>ROUND((F1352*G1352*H1352),0)</f>
        <v>713823</v>
      </c>
      <c r="J1352" s="313"/>
      <c r="K1352" s="323"/>
    </row>
    <row r="1353" spans="2:11" s="317" customFormat="1" ht="32.25" hidden="1" customHeight="1" thickTop="1" thickBot="1" x14ac:dyDescent="0.25">
      <c r="B1353" s="342" t="s">
        <v>1034</v>
      </c>
      <c r="C1353" s="322" t="str">
        <f>+'LISTA DE INSUMOS'!A20</f>
        <v>MOB017</v>
      </c>
      <c r="D1353" s="324" t="str">
        <f>+'LISTA DE INSUMOS'!B20</f>
        <v>Cuadrilla G 1 Of + 2 Ay (jornal + prestaciones)</v>
      </c>
      <c r="E1353" s="322" t="str">
        <f>+'LISTA DE INSUMOS'!C20</f>
        <v>Día</v>
      </c>
      <c r="F1353" s="325">
        <v>1</v>
      </c>
      <c r="G1353" s="312">
        <f>'LISTA DE INSUMOS'!E20</f>
        <v>327445</v>
      </c>
      <c r="H1353" s="322">
        <f>1/2</f>
        <v>0.5</v>
      </c>
      <c r="I1353" s="312">
        <f>ROUND((F1353*G1353*H1353),0)</f>
        <v>163723</v>
      </c>
      <c r="J1353" s="313"/>
      <c r="K1353" s="323"/>
    </row>
    <row r="1354" spans="2:11" s="317" customFormat="1" ht="33" hidden="1" customHeight="1" thickTop="1" x14ac:dyDescent="0.2">
      <c r="B1354" s="693" t="s">
        <v>1033</v>
      </c>
      <c r="C1354" s="322" t="str">
        <f>+'LISTA DE INSUMOS'!A758</f>
        <v>EQU002</v>
      </c>
      <c r="D1354" s="324" t="str">
        <f>+'LISTA DE INSUMOS'!B758</f>
        <v>Herramienta menor (% mano obra)</v>
      </c>
      <c r="E1354" s="322" t="str">
        <f>+'LISTA DE INSUMOS'!C758</f>
        <v>%MO</v>
      </c>
      <c r="F1354" s="325">
        <v>0.1</v>
      </c>
      <c r="G1354" s="312">
        <f>I1353</f>
        <v>163723</v>
      </c>
      <c r="H1354" s="322">
        <v>0</v>
      </c>
      <c r="I1354" s="312">
        <f>ROUND((F1354*G1354),0)</f>
        <v>16372</v>
      </c>
      <c r="J1354" s="313"/>
      <c r="K1354" s="323"/>
    </row>
    <row r="1355" spans="2:11" s="317" customFormat="1" ht="24.75" hidden="1" customHeight="1" thickBot="1" x14ac:dyDescent="0.25">
      <c r="B1355" s="694"/>
      <c r="C1355" s="329" t="str">
        <f>+'LISTA DE INSUMOS'!A775</f>
        <v>EQU018</v>
      </c>
      <c r="D1355" s="328" t="str">
        <f>+'LISTA DE INSUMOS'!B775</f>
        <v>Vibrador eléctrico o a gasolina</v>
      </c>
      <c r="E1355" s="329" t="str">
        <f>+'LISTA DE INSUMOS'!C775</f>
        <v>Día</v>
      </c>
      <c r="F1355" s="330">
        <v>1</v>
      </c>
      <c r="G1355" s="331">
        <f>'LISTA DE INSUMOS'!E775</f>
        <v>42234.2781968536</v>
      </c>
      <c r="H1355" s="329">
        <f>1/7</f>
        <v>0.14285714285714285</v>
      </c>
      <c r="I1355" s="331">
        <f>ROUND((F1355*G1355*H1355),0)</f>
        <v>6033</v>
      </c>
      <c r="J1355" s="313"/>
      <c r="K1355" s="323"/>
    </row>
    <row r="1356" spans="2:11" s="317" customFormat="1" ht="21" hidden="1" customHeight="1" x14ac:dyDescent="0.2">
      <c r="B1356" s="319" t="s">
        <v>1665</v>
      </c>
      <c r="C1356" s="319"/>
      <c r="D1356" s="320" t="s">
        <v>242</v>
      </c>
      <c r="E1356" s="319" t="s">
        <v>1435</v>
      </c>
      <c r="F1356" s="332"/>
      <c r="G1356" s="312">
        <f>ROUND(SUM(I1356:I1361),0)</f>
        <v>569285</v>
      </c>
      <c r="H1356" s="322"/>
      <c r="I1356" s="312"/>
      <c r="J1356" s="313"/>
      <c r="K1356" s="323"/>
    </row>
    <row r="1357" spans="2:11" s="317" customFormat="1" ht="33" hidden="1" customHeight="1" x14ac:dyDescent="0.2">
      <c r="B1357" s="714" t="s">
        <v>1310</v>
      </c>
      <c r="C1357" s="322" t="str">
        <f>+B115</f>
        <v>ITE024</v>
      </c>
      <c r="D1357" s="324" t="str">
        <f>+D115</f>
        <v>Excavación en material común seco de 0 - 1,5 m manual</v>
      </c>
      <c r="E1357" s="322" t="str">
        <f>+E115</f>
        <v>M3</v>
      </c>
      <c r="F1357" s="325">
        <v>0.71</v>
      </c>
      <c r="G1357" s="312">
        <f>+G115</f>
        <v>32745</v>
      </c>
      <c r="H1357" s="322">
        <v>0</v>
      </c>
      <c r="I1357" s="312">
        <f>ROUND((F1357*G1357),0)</f>
        <v>23249</v>
      </c>
      <c r="J1357" s="313"/>
      <c r="K1357" s="323"/>
    </row>
    <row r="1358" spans="2:11" s="317" customFormat="1" ht="32.25" hidden="1" customHeight="1" thickBot="1" x14ac:dyDescent="0.25">
      <c r="B1358" s="715"/>
      <c r="C1358" s="322" t="str">
        <f>+B553</f>
        <v>ITE093</v>
      </c>
      <c r="D1358" s="324" t="str">
        <f>+D553</f>
        <v>Concreto de 17,2 Mpa (2500 psi) (producción)</v>
      </c>
      <c r="E1358" s="322" t="str">
        <f>+E553</f>
        <v>M3</v>
      </c>
      <c r="F1358" s="325">
        <v>0.70899999999999996</v>
      </c>
      <c r="G1358" s="312">
        <f>G553</f>
        <v>566526</v>
      </c>
      <c r="H1358" s="322">
        <v>1.05</v>
      </c>
      <c r="I1358" s="312">
        <f>ROUND((F1358*G1358*H1358),0)</f>
        <v>421750</v>
      </c>
      <c r="J1358" s="313"/>
      <c r="K1358" s="323"/>
    </row>
    <row r="1359" spans="2:11" s="317" customFormat="1" ht="24.75" hidden="1" customHeight="1" thickTop="1" thickBot="1" x14ac:dyDescent="0.25">
      <c r="B1359" s="342" t="s">
        <v>1034</v>
      </c>
      <c r="C1359" s="322" t="str">
        <f>+'LISTA DE INSUMOS'!A20</f>
        <v>MOB017</v>
      </c>
      <c r="D1359" s="324" t="str">
        <f>+'LISTA DE INSUMOS'!B20</f>
        <v>Cuadrilla G 1 Of + 2 Ay (jornal + prestaciones)</v>
      </c>
      <c r="E1359" s="322" t="str">
        <f>+'LISTA DE INSUMOS'!C20</f>
        <v>Día</v>
      </c>
      <c r="F1359" s="325">
        <v>1</v>
      </c>
      <c r="G1359" s="312">
        <f>'LISTA DE INSUMOS'!E20</f>
        <v>327445</v>
      </c>
      <c r="H1359" s="322">
        <f>1/3</f>
        <v>0.33333333333333331</v>
      </c>
      <c r="I1359" s="312">
        <f>ROUND((F1359*G1359*H1359),0)</f>
        <v>109148</v>
      </c>
      <c r="J1359" s="313"/>
      <c r="K1359" s="323"/>
    </row>
    <row r="1360" spans="2:11" s="317" customFormat="1" ht="14.25" hidden="1" customHeight="1" thickTop="1" x14ac:dyDescent="0.2">
      <c r="B1360" s="693" t="s">
        <v>1033</v>
      </c>
      <c r="C1360" s="322" t="str">
        <f>+'LISTA DE INSUMOS'!A758</f>
        <v>EQU002</v>
      </c>
      <c r="D1360" s="324" t="str">
        <f>+'LISTA DE INSUMOS'!B758</f>
        <v>Herramienta menor (% mano obra)</v>
      </c>
      <c r="E1360" s="322" t="str">
        <f>+'LISTA DE INSUMOS'!C758</f>
        <v>%MO</v>
      </c>
      <c r="F1360" s="325">
        <v>0.1</v>
      </c>
      <c r="G1360" s="312">
        <f>I1359</f>
        <v>109148</v>
      </c>
      <c r="H1360" s="322">
        <v>0</v>
      </c>
      <c r="I1360" s="312">
        <f>ROUND((F1360*G1360),0)</f>
        <v>10915</v>
      </c>
      <c r="J1360" s="313"/>
      <c r="K1360" s="323"/>
    </row>
    <row r="1361" spans="2:11" s="317" customFormat="1" ht="35.25" hidden="1" customHeight="1" thickBot="1" x14ac:dyDescent="0.25">
      <c r="B1361" s="694"/>
      <c r="C1361" s="329" t="str">
        <f>+'LISTA DE INSUMOS'!A775</f>
        <v>EQU018</v>
      </c>
      <c r="D1361" s="328" t="str">
        <f>+'LISTA DE INSUMOS'!B775</f>
        <v>Vibrador eléctrico o a gasolina</v>
      </c>
      <c r="E1361" s="329" t="str">
        <f>+'LISTA DE INSUMOS'!C775</f>
        <v>Día</v>
      </c>
      <c r="F1361" s="330">
        <v>1</v>
      </c>
      <c r="G1361" s="331">
        <f>'LISTA DE INSUMOS'!E775</f>
        <v>42234.2781968536</v>
      </c>
      <c r="H1361" s="329">
        <f>1/10</f>
        <v>0.1</v>
      </c>
      <c r="I1361" s="331">
        <f>ROUND((F1361*G1361*H1361),0)</f>
        <v>4223</v>
      </c>
      <c r="J1361" s="313"/>
      <c r="K1361" s="323"/>
    </row>
    <row r="1362" spans="2:11" s="317" customFormat="1" ht="33" hidden="1" customHeight="1" x14ac:dyDescent="0.2">
      <c r="B1362" s="319" t="s">
        <v>2051</v>
      </c>
      <c r="C1362" s="319"/>
      <c r="D1362" s="320" t="s">
        <v>243</v>
      </c>
      <c r="E1362" s="319" t="s">
        <v>1435</v>
      </c>
      <c r="F1362" s="332"/>
      <c r="G1362" s="312">
        <f>ROUND(SUM(I1362:I1370),0)</f>
        <v>54271</v>
      </c>
      <c r="H1362" s="322"/>
      <c r="I1362" s="312"/>
      <c r="J1362" s="313"/>
      <c r="K1362" s="323"/>
    </row>
    <row r="1363" spans="2:11" s="317" customFormat="1" ht="34.5" hidden="1" customHeight="1" x14ac:dyDescent="0.2">
      <c r="B1363" s="691" t="s">
        <v>1035</v>
      </c>
      <c r="C1363" s="322" t="str">
        <f>+'LISTA DE INSUMOS'!A50</f>
        <v>MAT019</v>
      </c>
      <c r="D1363" s="324" t="str">
        <f>+'LISTA DE INSUMOS'!B50</f>
        <v>Listón sajo de 5 x 3 cm x 2,5 m (varilla)</v>
      </c>
      <c r="E1363" s="322" t="str">
        <f>+'LISTA DE INSUMOS'!C50</f>
        <v>M</v>
      </c>
      <c r="F1363" s="325">
        <v>2.2999999999999998</v>
      </c>
      <c r="G1363" s="312">
        <f>'LISTA DE INSUMOS'!E50</f>
        <v>7285.5458999999992</v>
      </c>
      <c r="H1363" s="349">
        <f>1/3</f>
        <v>0.33333333333333331</v>
      </c>
      <c r="I1363" s="312">
        <f>ROUND((F1363*G1363*H1363),0)</f>
        <v>5586</v>
      </c>
      <c r="J1363" s="313"/>
      <c r="K1363" s="323"/>
    </row>
    <row r="1364" spans="2:11" s="317" customFormat="1" ht="33" hidden="1" customHeight="1" x14ac:dyDescent="0.2">
      <c r="B1364" s="691"/>
      <c r="C1364" s="322" t="str">
        <f>+'LISTA DE INSUMOS'!A52</f>
        <v>MAT021</v>
      </c>
      <c r="D1364" s="324" t="str">
        <f>+'LISTA DE INSUMOS'!B52</f>
        <v>Puntilla (promedio)</v>
      </c>
      <c r="E1364" s="322" t="str">
        <f>+'LISTA DE INSUMOS'!C52</f>
        <v>Lb</v>
      </c>
      <c r="F1364" s="325">
        <v>0.1</v>
      </c>
      <c r="G1364" s="312">
        <f>'LISTA DE INSUMOS'!E52</f>
        <v>6690.6972299999998</v>
      </c>
      <c r="H1364" s="322">
        <v>0</v>
      </c>
      <c r="I1364" s="312">
        <f>ROUND((F1364*G1364),0)</f>
        <v>669</v>
      </c>
      <c r="J1364" s="313"/>
      <c r="K1364" s="323"/>
    </row>
    <row r="1365" spans="2:11" s="317" customFormat="1" ht="29.25" hidden="1" customHeight="1" x14ac:dyDescent="0.2">
      <c r="B1365" s="691"/>
      <c r="C1365" s="322" t="str">
        <f>+'LISTA DE INSUMOS'!A93</f>
        <v>MAT051</v>
      </c>
      <c r="D1365" s="324" t="str">
        <f>+'LISTA DE INSUMOS'!B93</f>
        <v>Antisol blanco</v>
      </c>
      <c r="E1365" s="322" t="str">
        <f>+'LISTA DE INSUMOS'!C93</f>
        <v>Kg</v>
      </c>
      <c r="F1365" s="325">
        <f>1/5</f>
        <v>0.2</v>
      </c>
      <c r="G1365" s="312">
        <f>'LISTA DE INSUMOS'!E93</f>
        <v>11510.734499999999</v>
      </c>
      <c r="H1365" s="322">
        <v>1.03</v>
      </c>
      <c r="I1365" s="312">
        <f>ROUND((F1365*G1365*H1365),0)</f>
        <v>2371</v>
      </c>
      <c r="J1365" s="313"/>
      <c r="K1365" s="323"/>
    </row>
    <row r="1366" spans="2:11" s="317" customFormat="1" ht="27.75" hidden="1" customHeight="1" x14ac:dyDescent="0.2">
      <c r="B1366" s="691"/>
      <c r="C1366" s="322" t="str">
        <f>+'LISTA DE INSUMOS'!A67</f>
        <v>MAT034</v>
      </c>
      <c r="D1366" s="324" t="str">
        <f>+'LISTA DE INSUMOS'!B67</f>
        <v>ACPM</v>
      </c>
      <c r="E1366" s="322" t="str">
        <f>+'LISTA DE INSUMOS'!C67</f>
        <v>Gl</v>
      </c>
      <c r="F1366" s="321">
        <v>0.05</v>
      </c>
      <c r="G1366" s="312">
        <f>'LISTA DE INSUMOS'!E67</f>
        <v>9681.4499999999989</v>
      </c>
      <c r="H1366" s="349">
        <v>0</v>
      </c>
      <c r="I1366" s="312">
        <f>ROUND((F1366*G1366),0)</f>
        <v>484</v>
      </c>
      <c r="J1366" s="313"/>
      <c r="K1366" s="323"/>
    </row>
    <row r="1367" spans="2:11" s="317" customFormat="1" ht="27.75" hidden="1" customHeight="1" thickBot="1" x14ac:dyDescent="0.25">
      <c r="B1367" s="692"/>
      <c r="C1367" s="322" t="str">
        <f>+'LISTA DE INSUMOS'!A361</f>
        <v>MAT354</v>
      </c>
      <c r="D1367" s="339" t="str">
        <f>+'LISTA DE INSUMOS'!B361</f>
        <v>Malla Electr 4x4mm 15x15cm 2.35x6m Diaco</v>
      </c>
      <c r="E1367" s="322" t="str">
        <f>+'LISTA DE INSUMOS'!C361</f>
        <v>kg</v>
      </c>
      <c r="F1367" s="321">
        <v>0.3</v>
      </c>
      <c r="G1367" s="312">
        <f>'LISTA DE INSUMOS'!E361</f>
        <v>8348.5787547624004</v>
      </c>
      <c r="H1367" s="349">
        <v>1.05</v>
      </c>
      <c r="I1367" s="312">
        <f>ROUND((F1367*G1367*H1367),0)</f>
        <v>2630</v>
      </c>
      <c r="J1367" s="313"/>
      <c r="K1367" s="323"/>
    </row>
    <row r="1368" spans="2:11" s="317" customFormat="1" ht="27.75" hidden="1" customHeight="1" thickTop="1" thickBot="1" x14ac:dyDescent="0.25">
      <c r="B1368" s="347" t="s">
        <v>1310</v>
      </c>
      <c r="C1368" s="322" t="str">
        <f>+B544</f>
        <v>ITE092</v>
      </c>
      <c r="D1368" s="324" t="str">
        <f>+D544</f>
        <v>Concreto de 20,7 Mpa (3000 psi) (producción)</v>
      </c>
      <c r="E1368" s="322" t="str">
        <f>+E544</f>
        <v>M3</v>
      </c>
      <c r="F1368" s="361">
        <v>1.4E-2</v>
      </c>
      <c r="G1368" s="312">
        <f>G544</f>
        <v>596118</v>
      </c>
      <c r="H1368" s="349">
        <v>1.05</v>
      </c>
      <c r="I1368" s="312">
        <f>ROUND((F1368*G1368*H1368),0)</f>
        <v>8763</v>
      </c>
      <c r="J1368" s="313"/>
      <c r="K1368" s="323"/>
    </row>
    <row r="1369" spans="2:11" s="317" customFormat="1" ht="1.5" hidden="1" customHeight="1" thickTop="1" thickBot="1" x14ac:dyDescent="0.25">
      <c r="B1369" s="342" t="s">
        <v>1034</v>
      </c>
      <c r="C1369" s="322" t="str">
        <f>+'LISTA DE INSUMOS'!A18</f>
        <v>MOB015</v>
      </c>
      <c r="D1369" s="324" t="str">
        <f>+'LISTA DE INSUMOS'!B18</f>
        <v>Cuadrilla E 1 Of + 1 Ay (jornal + prestaciones)</v>
      </c>
      <c r="E1369" s="322" t="str">
        <f>+'LISTA DE INSUMOS'!C18</f>
        <v>Día</v>
      </c>
      <c r="F1369" s="321">
        <v>1</v>
      </c>
      <c r="G1369" s="312">
        <f>'LISTA DE INSUMOS'!E18</f>
        <v>245584</v>
      </c>
      <c r="H1369" s="349">
        <f>1/8</f>
        <v>0.125</v>
      </c>
      <c r="I1369" s="312">
        <f>ROUND((F1369*G1369*H1369),0)</f>
        <v>30698</v>
      </c>
      <c r="J1369" s="313"/>
      <c r="K1369" s="323"/>
    </row>
    <row r="1370" spans="2:11" s="317" customFormat="1" ht="27" hidden="1" customHeight="1" thickTop="1" thickBot="1" x14ac:dyDescent="0.25">
      <c r="B1370" s="255" t="s">
        <v>1033</v>
      </c>
      <c r="C1370" s="327" t="str">
        <f>+'LISTA DE INSUMOS'!A758</f>
        <v>EQU002</v>
      </c>
      <c r="D1370" s="328" t="str">
        <f>+'LISTA DE INSUMOS'!B758</f>
        <v>Herramienta menor (% mano obra)</v>
      </c>
      <c r="E1370" s="329" t="str">
        <f>+'LISTA DE INSUMOS'!C758</f>
        <v>%MO</v>
      </c>
      <c r="F1370" s="362">
        <v>0.1</v>
      </c>
      <c r="G1370" s="331">
        <f>I1369</f>
        <v>30698</v>
      </c>
      <c r="H1370" s="350">
        <v>0</v>
      </c>
      <c r="I1370" s="331">
        <f>ROUND((F1370*G1370),0)</f>
        <v>3070</v>
      </c>
      <c r="J1370" s="313"/>
      <c r="K1370" s="323"/>
    </row>
    <row r="1371" spans="2:11" s="317" customFormat="1" ht="4.5" hidden="1" customHeight="1" x14ac:dyDescent="0.2">
      <c r="B1371" s="319" t="s">
        <v>1519</v>
      </c>
      <c r="C1371" s="319"/>
      <c r="D1371" s="320" t="s">
        <v>244</v>
      </c>
      <c r="E1371" s="319" t="s">
        <v>1435</v>
      </c>
      <c r="F1371" s="332"/>
      <c r="G1371" s="312">
        <f>ROUND(SUM(I1371:I1379),0)</f>
        <v>286644</v>
      </c>
      <c r="H1371" s="322"/>
      <c r="I1371" s="312"/>
      <c r="J1371" s="313"/>
      <c r="K1371" s="323"/>
    </row>
    <row r="1372" spans="2:11" s="317" customFormat="1" ht="30.75" hidden="1" customHeight="1" x14ac:dyDescent="0.2">
      <c r="B1372" s="691" t="s">
        <v>1035</v>
      </c>
      <c r="C1372" s="322" t="str">
        <f>+'LISTA DE INSUMOS'!A181</f>
        <v>MAT134</v>
      </c>
      <c r="D1372" s="324" t="str">
        <f>+'LISTA DE INSUMOS'!B181</f>
        <v>Ángulo de 1" x 1/8"</v>
      </c>
      <c r="E1372" s="322" t="str">
        <f>+'LISTA DE INSUMOS'!C181</f>
        <v>M</v>
      </c>
      <c r="F1372" s="321">
        <v>3.4</v>
      </c>
      <c r="G1372" s="312">
        <f>'LISTA DE INSUMOS'!E181</f>
        <v>8460.7605347429999</v>
      </c>
      <c r="H1372" s="349">
        <v>0</v>
      </c>
      <c r="I1372" s="312">
        <f>ROUND((F1372*G1372),0)</f>
        <v>28767</v>
      </c>
      <c r="J1372" s="313"/>
      <c r="K1372" s="323"/>
    </row>
    <row r="1373" spans="2:11" s="317" customFormat="1" ht="27.75" hidden="1" customHeight="1" x14ac:dyDescent="0.2">
      <c r="B1373" s="691"/>
      <c r="C1373" s="322" t="str">
        <f>+'LISTA DE INSUMOS'!A50</f>
        <v>MAT019</v>
      </c>
      <c r="D1373" s="324" t="str">
        <f>+'LISTA DE INSUMOS'!B50</f>
        <v>Listón sajo de 5 x 3 cm x 2,5 m (varilla)</v>
      </c>
      <c r="E1373" s="322" t="str">
        <f>+'LISTA DE INSUMOS'!C50</f>
        <v>M</v>
      </c>
      <c r="F1373" s="321">
        <v>4</v>
      </c>
      <c r="G1373" s="312">
        <f>'LISTA DE INSUMOS'!E50</f>
        <v>7285.5458999999992</v>
      </c>
      <c r="H1373" s="349">
        <f>1/3</f>
        <v>0.33333333333333331</v>
      </c>
      <c r="I1373" s="312">
        <f>ROUND((F1373*G1373*H1373),0)</f>
        <v>9714</v>
      </c>
      <c r="J1373" s="313"/>
      <c r="K1373" s="323"/>
    </row>
    <row r="1374" spans="2:11" s="317" customFormat="1" ht="4.5" hidden="1" customHeight="1" x14ac:dyDescent="0.2">
      <c r="B1374" s="691"/>
      <c r="C1374" s="322" t="str">
        <f>+'LISTA DE INSUMOS'!A464</f>
        <v>MAT481</v>
      </c>
      <c r="D1374" s="324" t="str">
        <f>+'LISTA DE INSUMOS'!B464</f>
        <v>Adhesivo epóxico dos componentes</v>
      </c>
      <c r="E1374" s="322" t="str">
        <f>+'LISTA DE INSUMOS'!C464</f>
        <v>Kg</v>
      </c>
      <c r="F1374" s="321">
        <v>0.4</v>
      </c>
      <c r="G1374" s="312">
        <f>'LISTA DE INSUMOS'!E464</f>
        <v>77844.080632724988</v>
      </c>
      <c r="H1374" s="349">
        <v>1.03</v>
      </c>
      <c r="I1374" s="312">
        <f>ROUND((F1374*G1374*H1374),0)</f>
        <v>32072</v>
      </c>
      <c r="J1374" s="313"/>
      <c r="K1374" s="323"/>
    </row>
    <row r="1375" spans="2:11" s="317" customFormat="1" ht="22.5" hidden="1" customHeight="1" x14ac:dyDescent="0.2">
      <c r="B1375" s="691"/>
      <c r="C1375" s="322" t="str">
        <f>+'LISTA DE INSUMOS'!A52</f>
        <v>MAT021</v>
      </c>
      <c r="D1375" s="324" t="str">
        <f>+'LISTA DE INSUMOS'!B52</f>
        <v>Puntilla (promedio)</v>
      </c>
      <c r="E1375" s="322" t="str">
        <f>+'LISTA DE INSUMOS'!C52</f>
        <v>Lb</v>
      </c>
      <c r="F1375" s="321">
        <v>0.5</v>
      </c>
      <c r="G1375" s="312">
        <f>'LISTA DE INSUMOS'!E52</f>
        <v>6690.6972299999998</v>
      </c>
      <c r="H1375" s="349">
        <v>0</v>
      </c>
      <c r="I1375" s="312">
        <f>ROUND((F1375*G1375),0)</f>
        <v>3345</v>
      </c>
      <c r="J1375" s="313"/>
      <c r="K1375" s="323"/>
    </row>
    <row r="1376" spans="2:11" s="317" customFormat="1" ht="27" hidden="1" customHeight="1" thickBot="1" x14ac:dyDescent="0.25">
      <c r="B1376" s="692"/>
      <c r="C1376" s="322" t="str">
        <f>+'LISTA DE INSUMOS'!A46</f>
        <v>MAT017</v>
      </c>
      <c r="D1376" s="324" t="str">
        <f>+'LISTA DE INSUMOS'!B46</f>
        <v>Tabla para formaleta de 1" x 10" x 2,9 m</v>
      </c>
      <c r="E1376" s="322" t="str">
        <f>+'LISTA DE INSUMOS'!C46</f>
        <v>M</v>
      </c>
      <c r="F1376" s="321">
        <v>4</v>
      </c>
      <c r="G1376" s="312">
        <f>'LISTA DE INSUMOS'!E46</f>
        <v>8112.0359999999991</v>
      </c>
      <c r="H1376" s="349">
        <f>1/3</f>
        <v>0.33333333333333331</v>
      </c>
      <c r="I1376" s="312">
        <f>ROUND((F1376*G1376*H1376),0)</f>
        <v>10816</v>
      </c>
      <c r="J1376" s="313"/>
      <c r="K1376" s="323"/>
    </row>
    <row r="1377" spans="1:11" s="317" customFormat="1" ht="29.25" hidden="1" customHeight="1" thickTop="1" thickBot="1" x14ac:dyDescent="0.25">
      <c r="B1377" s="347" t="s">
        <v>1310</v>
      </c>
      <c r="C1377" s="322" t="str">
        <f>+B544</f>
        <v>ITE092</v>
      </c>
      <c r="D1377" s="324" t="str">
        <f>+D544</f>
        <v>Concreto de 20,7 Mpa (3000 psi) (producción)</v>
      </c>
      <c r="E1377" s="322" t="str">
        <f>+E544</f>
        <v>M3</v>
      </c>
      <c r="F1377" s="321">
        <v>0.2</v>
      </c>
      <c r="G1377" s="312">
        <f>G544</f>
        <v>596118</v>
      </c>
      <c r="H1377" s="349">
        <v>1.05</v>
      </c>
      <c r="I1377" s="312">
        <f>ROUND((F1377*G1377*H1377),0)</f>
        <v>125185</v>
      </c>
      <c r="J1377" s="313"/>
      <c r="K1377" s="323"/>
    </row>
    <row r="1378" spans="1:11" s="317" customFormat="1" ht="22.5" hidden="1" customHeight="1" thickTop="1" thickBot="1" x14ac:dyDescent="0.25">
      <c r="B1378" s="342" t="s">
        <v>1034</v>
      </c>
      <c r="C1378" s="322" t="str">
        <f>+'LISTA DE INSUMOS'!A18</f>
        <v>MOB015</v>
      </c>
      <c r="D1378" s="324" t="str">
        <f>+'LISTA DE INSUMOS'!B18</f>
        <v>Cuadrilla E 1 Of + 1 Ay (jornal + prestaciones)</v>
      </c>
      <c r="E1378" s="322" t="str">
        <f>+'LISTA DE INSUMOS'!C18</f>
        <v>Día</v>
      </c>
      <c r="F1378" s="321">
        <v>1</v>
      </c>
      <c r="G1378" s="312">
        <f>'LISTA DE INSUMOS'!E18</f>
        <v>245584</v>
      </c>
      <c r="H1378" s="349">
        <f>1/4</f>
        <v>0.25</v>
      </c>
      <c r="I1378" s="312">
        <f>ROUND((F1378*G1378*H1378),0)</f>
        <v>61396</v>
      </c>
      <c r="J1378" s="313"/>
      <c r="K1378" s="323"/>
    </row>
    <row r="1379" spans="1:11" s="317" customFormat="1" ht="27" hidden="1" customHeight="1" thickTop="1" thickBot="1" x14ac:dyDescent="0.25">
      <c r="B1379" s="255" t="s">
        <v>1033</v>
      </c>
      <c r="C1379" s="327" t="str">
        <f>+'LISTA DE INSUMOS'!A758</f>
        <v>EQU002</v>
      </c>
      <c r="D1379" s="328" t="str">
        <f>+'LISTA DE INSUMOS'!B758</f>
        <v>Herramienta menor (% mano obra)</v>
      </c>
      <c r="E1379" s="329" t="str">
        <f>+'LISTA DE INSUMOS'!C758</f>
        <v>%MO</v>
      </c>
      <c r="F1379" s="362">
        <v>0.25</v>
      </c>
      <c r="G1379" s="331">
        <f>I1378</f>
        <v>61396</v>
      </c>
      <c r="H1379" s="350">
        <v>0</v>
      </c>
      <c r="I1379" s="331">
        <f>ROUND((F1379*G1379),0)</f>
        <v>15349</v>
      </c>
      <c r="J1379" s="313"/>
      <c r="K1379" s="323"/>
    </row>
    <row r="1380" spans="1:11" s="317" customFormat="1" ht="25.5" hidden="1" customHeight="1" x14ac:dyDescent="0.2">
      <c r="B1380" s="319" t="s">
        <v>1520</v>
      </c>
      <c r="C1380" s="319"/>
      <c r="D1380" s="320" t="s">
        <v>245</v>
      </c>
      <c r="E1380" s="319" t="s">
        <v>1412</v>
      </c>
      <c r="F1380" s="332"/>
      <c r="G1380" s="312">
        <f>ROUND(SUM(I1380:I1388),0)</f>
        <v>66728</v>
      </c>
      <c r="H1380" s="322"/>
      <c r="I1380" s="312"/>
      <c r="J1380" s="313"/>
      <c r="K1380" s="323"/>
    </row>
    <row r="1381" spans="1:11" s="317" customFormat="1" ht="22.5" hidden="1" customHeight="1" x14ac:dyDescent="0.2">
      <c r="B1381" s="691" t="s">
        <v>1035</v>
      </c>
      <c r="C1381" s="322" t="str">
        <f>+'LISTA DE INSUMOS'!A132</f>
        <v>MAT091</v>
      </c>
      <c r="D1381" s="324" t="str">
        <f>+'LISTA DE INSUMOS'!B132</f>
        <v>Varillón de sajo</v>
      </c>
      <c r="E1381" s="322" t="str">
        <f>+'LISTA DE INSUMOS'!C132</f>
        <v>M</v>
      </c>
      <c r="F1381" s="321">
        <v>3.2</v>
      </c>
      <c r="G1381" s="312">
        <f>'LISTA DE INSUMOS'!E132</f>
        <v>2979.6450687603597</v>
      </c>
      <c r="H1381" s="349">
        <f>1/3</f>
        <v>0.33333333333333331</v>
      </c>
      <c r="I1381" s="312">
        <f>ROUND((F1381*G1381*H1381),0)</f>
        <v>3178</v>
      </c>
      <c r="J1381" s="313"/>
      <c r="K1381" s="323"/>
    </row>
    <row r="1382" spans="1:11" s="317" customFormat="1" ht="30" hidden="1" customHeight="1" x14ac:dyDescent="0.2">
      <c r="B1382" s="691"/>
      <c r="C1382" s="322" t="str">
        <f>+'LISTA DE INSUMOS'!A52</f>
        <v>MAT021</v>
      </c>
      <c r="D1382" s="324" t="str">
        <f>+'LISTA DE INSUMOS'!B52</f>
        <v>Puntilla (promedio)</v>
      </c>
      <c r="E1382" s="322" t="str">
        <f>+'LISTA DE INSUMOS'!C52</f>
        <v>Lb</v>
      </c>
      <c r="F1382" s="321">
        <v>0.1</v>
      </c>
      <c r="G1382" s="312">
        <f>'LISTA DE INSUMOS'!E52</f>
        <v>6690.6972299999998</v>
      </c>
      <c r="H1382" s="349">
        <v>0</v>
      </c>
      <c r="I1382" s="312">
        <f>ROUND((F1382*G1382),0)</f>
        <v>669</v>
      </c>
      <c r="J1382" s="313"/>
      <c r="K1382" s="323"/>
    </row>
    <row r="1383" spans="1:11" s="317" customFormat="1" ht="8.25" hidden="1" customHeight="1" x14ac:dyDescent="0.2">
      <c r="B1383" s="691"/>
      <c r="C1383" s="322" t="str">
        <f>+'LISTA DE INSUMOS'!A93</f>
        <v>MAT051</v>
      </c>
      <c r="D1383" s="324" t="str">
        <f>+'LISTA DE INSUMOS'!B93</f>
        <v>Antisol blanco</v>
      </c>
      <c r="E1383" s="322" t="str">
        <f>+'LISTA DE INSUMOS'!C93</f>
        <v>Kg</v>
      </c>
      <c r="F1383" s="325">
        <f>1/5</f>
        <v>0.2</v>
      </c>
      <c r="G1383" s="312">
        <f>'LISTA DE INSUMOS'!E93</f>
        <v>11510.734499999999</v>
      </c>
      <c r="H1383" s="322">
        <v>1.03</v>
      </c>
      <c r="I1383" s="312">
        <f>ROUND((F1383*G1383*H1383),0)</f>
        <v>2371</v>
      </c>
      <c r="J1383" s="313"/>
      <c r="K1383" s="323"/>
    </row>
    <row r="1384" spans="1:11" s="317" customFormat="1" ht="20.25" hidden="1" customHeight="1" x14ac:dyDescent="0.2">
      <c r="B1384" s="691"/>
      <c r="C1384" s="322" t="str">
        <f>+'LISTA DE INSUMOS'!A67</f>
        <v>MAT034</v>
      </c>
      <c r="D1384" s="324" t="str">
        <f>+'LISTA DE INSUMOS'!B67</f>
        <v>ACPM</v>
      </c>
      <c r="E1384" s="322" t="str">
        <f>+'LISTA DE INSUMOS'!C67</f>
        <v>Gl</v>
      </c>
      <c r="F1384" s="321">
        <v>0.05</v>
      </c>
      <c r="G1384" s="312">
        <f>'LISTA DE INSUMOS'!E67</f>
        <v>9681.4499999999989</v>
      </c>
      <c r="H1384" s="349">
        <v>0</v>
      </c>
      <c r="I1384" s="312">
        <f>ROUND((F1384*G1384),0)</f>
        <v>484</v>
      </c>
      <c r="J1384" s="313"/>
      <c r="K1384" s="323"/>
    </row>
    <row r="1385" spans="1:11" s="317" customFormat="1" ht="20.25" hidden="1" customHeight="1" thickBot="1" x14ac:dyDescent="0.25">
      <c r="B1385" s="692"/>
      <c r="C1385" s="322" t="str">
        <f>+'LISTA DE INSUMOS'!A361</f>
        <v>MAT354</v>
      </c>
      <c r="D1385" s="339" t="str">
        <f>+'LISTA DE INSUMOS'!B361</f>
        <v>Malla Electr 4x4mm 15x15cm 2.35x6m Diaco</v>
      </c>
      <c r="E1385" s="322" t="str">
        <f>+'LISTA DE INSUMOS'!C361</f>
        <v>kg</v>
      </c>
      <c r="F1385" s="321">
        <v>0.6</v>
      </c>
      <c r="G1385" s="312">
        <f>'LISTA DE INSUMOS'!E361</f>
        <v>8348.5787547624004</v>
      </c>
      <c r="H1385" s="349">
        <v>1.05</v>
      </c>
      <c r="I1385" s="312">
        <f>ROUND((F1385*G1385*H1385),0)</f>
        <v>5260</v>
      </c>
      <c r="J1385" s="313"/>
      <c r="K1385" s="323"/>
    </row>
    <row r="1386" spans="1:11" s="317" customFormat="1" ht="25.5" hidden="1" customHeight="1" thickTop="1" thickBot="1" x14ac:dyDescent="0.25">
      <c r="B1386" s="347" t="s">
        <v>1310</v>
      </c>
      <c r="C1386" s="322" t="str">
        <f>+B544</f>
        <v>ITE092</v>
      </c>
      <c r="D1386" s="324" t="str">
        <f>+D544</f>
        <v>Concreto de 20,7 Mpa (3000 psi) (producción)</v>
      </c>
      <c r="E1386" s="322" t="str">
        <f>+E544</f>
        <v>M3</v>
      </c>
      <c r="F1386" s="361">
        <v>3.5999999999999997E-2</v>
      </c>
      <c r="G1386" s="312">
        <f>G544</f>
        <v>596118</v>
      </c>
      <c r="H1386" s="349">
        <v>1.05</v>
      </c>
      <c r="I1386" s="312">
        <f>ROUND((F1386*G1386*H1386),0)</f>
        <v>22533</v>
      </c>
      <c r="J1386" s="313"/>
      <c r="K1386" s="323"/>
    </row>
    <row r="1387" spans="1:11" s="317" customFormat="1" ht="18" hidden="1" customHeight="1" thickTop="1" thickBot="1" x14ac:dyDescent="0.25">
      <c r="B1387" s="342" t="s">
        <v>1034</v>
      </c>
      <c r="C1387" s="322" t="str">
        <f>+'LISTA DE INSUMOS'!A18</f>
        <v>MOB015</v>
      </c>
      <c r="D1387" s="324" t="str">
        <f>+'LISTA DE INSUMOS'!B18</f>
        <v>Cuadrilla E 1 Of + 1 Ay (jornal + prestaciones)</v>
      </c>
      <c r="E1387" s="322" t="str">
        <f>+'LISTA DE INSUMOS'!C18</f>
        <v>Día</v>
      </c>
      <c r="F1387" s="321">
        <v>1</v>
      </c>
      <c r="G1387" s="312">
        <f>'LISTA DE INSUMOS'!E18</f>
        <v>245584</v>
      </c>
      <c r="H1387" s="349">
        <f>1/8</f>
        <v>0.125</v>
      </c>
      <c r="I1387" s="312">
        <f>ROUND((F1387*G1387*H1387),0)</f>
        <v>30698</v>
      </c>
      <c r="J1387" s="313"/>
      <c r="K1387" s="323"/>
    </row>
    <row r="1388" spans="1:11" s="317" customFormat="1" ht="0.6" customHeight="1" thickTop="1" thickBot="1" x14ac:dyDescent="0.25">
      <c r="B1388" s="255" t="s">
        <v>1033</v>
      </c>
      <c r="C1388" s="327" t="str">
        <f>+'LISTA DE INSUMOS'!A758</f>
        <v>EQU002</v>
      </c>
      <c r="D1388" s="328" t="str">
        <f>+'LISTA DE INSUMOS'!B758</f>
        <v>Herramienta menor (% mano obra)</v>
      </c>
      <c r="E1388" s="329" t="str">
        <f>+'LISTA DE INSUMOS'!C758</f>
        <v>%MO</v>
      </c>
      <c r="F1388" s="362">
        <v>0.05</v>
      </c>
      <c r="G1388" s="331">
        <f>I1387</f>
        <v>30698</v>
      </c>
      <c r="H1388" s="350">
        <v>0</v>
      </c>
      <c r="I1388" s="331">
        <f>ROUND((F1388*G1388),0)</f>
        <v>1535</v>
      </c>
      <c r="J1388" s="313"/>
      <c r="K1388" s="323"/>
    </row>
    <row r="1389" spans="1:11" s="317" customFormat="1" ht="35.25" customHeight="1" x14ac:dyDescent="0.2">
      <c r="A1389" s="104"/>
      <c r="B1389" s="117" t="s">
        <v>2050</v>
      </c>
      <c r="C1389" s="117"/>
      <c r="D1389" s="437" t="s">
        <v>2660</v>
      </c>
      <c r="E1389" s="117" t="s">
        <v>1412</v>
      </c>
      <c r="F1389" s="117"/>
      <c r="G1389" s="117">
        <f>ROUND(SUM(I1389:I1397),0)</f>
        <v>76781</v>
      </c>
      <c r="H1389" s="117"/>
      <c r="I1389" s="117"/>
      <c r="J1389" s="313"/>
      <c r="K1389" s="323"/>
    </row>
    <row r="1390" spans="1:11" s="317" customFormat="1" ht="24.9" customHeight="1" x14ac:dyDescent="0.2">
      <c r="A1390" s="104"/>
      <c r="B1390" s="672" t="s">
        <v>1035</v>
      </c>
      <c r="C1390" s="108" t="str">
        <f>+'LISTA DE INSUMOS'!A46</f>
        <v>MAT017</v>
      </c>
      <c r="D1390" s="139" t="str">
        <f>+'LISTA DE INSUMOS'!B46</f>
        <v>Tabla para formaleta de 1" x 10" x 2,9 m</v>
      </c>
      <c r="E1390" s="108" t="str">
        <f>+'LISTA DE INSUMOS'!C46</f>
        <v>M</v>
      </c>
      <c r="F1390" s="176">
        <v>3</v>
      </c>
      <c r="G1390" s="141">
        <f>'LISTA DE INSUMOS'!E46</f>
        <v>8112.0359999999991</v>
      </c>
      <c r="H1390" s="205">
        <f>1/3</f>
        <v>0.33333333333333331</v>
      </c>
      <c r="I1390" s="141">
        <f>ROUND((F1390*G1390*H1390),0)</f>
        <v>8112</v>
      </c>
      <c r="J1390" s="313"/>
      <c r="K1390" s="323"/>
    </row>
    <row r="1391" spans="1:11" s="317" customFormat="1" ht="24.9" customHeight="1" x14ac:dyDescent="0.2">
      <c r="A1391" s="104"/>
      <c r="B1391" s="672"/>
      <c r="C1391" s="108" t="str">
        <f>+'LISTA DE INSUMOS'!A132</f>
        <v>MAT091</v>
      </c>
      <c r="D1391" s="139" t="str">
        <f>+'LISTA DE INSUMOS'!B132</f>
        <v>Varillón de sajo</v>
      </c>
      <c r="E1391" s="108" t="str">
        <f>+'LISTA DE INSUMOS'!C132</f>
        <v>M</v>
      </c>
      <c r="F1391" s="176">
        <v>2.2999999999999998</v>
      </c>
      <c r="G1391" s="141">
        <f>'LISTA DE INSUMOS'!E132</f>
        <v>2979.6450687603597</v>
      </c>
      <c r="H1391" s="205">
        <f>1/3</f>
        <v>0.33333333333333331</v>
      </c>
      <c r="I1391" s="141">
        <f>ROUND((F1391*G1391*H1391),0)</f>
        <v>2284</v>
      </c>
      <c r="J1391" s="313"/>
      <c r="K1391" s="323"/>
    </row>
    <row r="1392" spans="1:11" s="317" customFormat="1" ht="24.9" customHeight="1" x14ac:dyDescent="0.2">
      <c r="A1392" s="104"/>
      <c r="B1392" s="672"/>
      <c r="C1392" s="108" t="str">
        <f>+'LISTA DE INSUMOS'!A52</f>
        <v>MAT021</v>
      </c>
      <c r="D1392" s="139" t="str">
        <f>+'LISTA DE INSUMOS'!B52</f>
        <v>Puntilla (promedio)</v>
      </c>
      <c r="E1392" s="108" t="str">
        <f>+'LISTA DE INSUMOS'!C52</f>
        <v>Lb</v>
      </c>
      <c r="F1392" s="176">
        <v>0.02</v>
      </c>
      <c r="G1392" s="141">
        <f>'LISTA DE INSUMOS'!E52</f>
        <v>6690.6972299999998</v>
      </c>
      <c r="H1392" s="205">
        <v>0</v>
      </c>
      <c r="I1392" s="141">
        <f>ROUND((F1392*G1392),0)</f>
        <v>134</v>
      </c>
      <c r="J1392" s="313"/>
      <c r="K1392" s="323"/>
    </row>
    <row r="1393" spans="1:15" s="317" customFormat="1" ht="24.9" customHeight="1" thickBot="1" x14ac:dyDescent="0.25">
      <c r="A1393" s="104"/>
      <c r="B1393" s="673"/>
      <c r="C1393" s="108" t="str">
        <f>+'LISTA DE INSUMOS'!A93</f>
        <v>MAT051</v>
      </c>
      <c r="D1393" s="139" t="str">
        <f>+'LISTA DE INSUMOS'!B93</f>
        <v>Antisol blanco</v>
      </c>
      <c r="E1393" s="108" t="str">
        <f>+'LISTA DE INSUMOS'!C93</f>
        <v>Kg</v>
      </c>
      <c r="F1393" s="140">
        <v>0.05</v>
      </c>
      <c r="G1393" s="141">
        <f>'LISTA DE INSUMOS'!E93</f>
        <v>11510.734499999999</v>
      </c>
      <c r="H1393" s="108">
        <v>1.03</v>
      </c>
      <c r="I1393" s="141">
        <f>ROUND((F1393*G1393*H1393),0)</f>
        <v>593</v>
      </c>
      <c r="J1393" s="313"/>
      <c r="K1393" s="323"/>
    </row>
    <row r="1394" spans="1:15" s="317" customFormat="1" ht="24.9" customHeight="1" thickTop="1" x14ac:dyDescent="0.2">
      <c r="A1394" s="104"/>
      <c r="B1394" s="723"/>
      <c r="C1394" s="108" t="str">
        <f>+'LISTA DE INSUMOS'!A67</f>
        <v>MAT034</v>
      </c>
      <c r="D1394" s="139" t="str">
        <f>+'LISTA DE INSUMOS'!B67</f>
        <v>ACPM</v>
      </c>
      <c r="E1394" s="108" t="str">
        <f>+'LISTA DE INSUMOS'!C67</f>
        <v>Gl</v>
      </c>
      <c r="F1394" s="176">
        <v>0.05</v>
      </c>
      <c r="G1394" s="141">
        <f>'LISTA DE INSUMOS'!E67</f>
        <v>9681.4499999999989</v>
      </c>
      <c r="H1394" s="205">
        <v>0</v>
      </c>
      <c r="I1394" s="141">
        <f>ROUND((F1394*G1394),0)</f>
        <v>484</v>
      </c>
      <c r="J1394" s="313"/>
      <c r="K1394" s="323"/>
    </row>
    <row r="1395" spans="1:15" s="317" customFormat="1" ht="24.9" customHeight="1" thickBot="1" x14ac:dyDescent="0.25">
      <c r="A1395" s="104"/>
      <c r="B1395" s="117" t="s">
        <v>1310</v>
      </c>
      <c r="C1395" s="108" t="str">
        <f>+B562</f>
        <v>ITE094</v>
      </c>
      <c r="D1395" s="139" t="str">
        <f>+D562</f>
        <v>Concreto de 10,3 Mpa (1500 psi) (producción)</v>
      </c>
      <c r="E1395" s="108" t="str">
        <f>+E562</f>
        <v>M3</v>
      </c>
      <c r="F1395" s="176">
        <v>7.4999999999999997E-2</v>
      </c>
      <c r="G1395" s="141">
        <f>G562</f>
        <v>484569</v>
      </c>
      <c r="H1395" s="205">
        <v>1.05</v>
      </c>
      <c r="I1395" s="141">
        <f>ROUND((F1395*G1395*H1395),0)</f>
        <v>38160</v>
      </c>
      <c r="J1395" s="313"/>
      <c r="K1395" s="323"/>
    </row>
    <row r="1396" spans="1:15" s="317" customFormat="1" ht="24.9" customHeight="1" thickTop="1" thickBot="1" x14ac:dyDescent="0.25">
      <c r="A1396" s="104"/>
      <c r="B1396" s="158" t="s">
        <v>1034</v>
      </c>
      <c r="C1396" s="108" t="str">
        <f>+'LISTA DE INSUMOS'!A18</f>
        <v>MOB015</v>
      </c>
      <c r="D1396" s="139" t="str">
        <f>+'LISTA DE INSUMOS'!B18</f>
        <v>Cuadrilla E 1 Of + 1 Ay (jornal + prestaciones)</v>
      </c>
      <c r="E1396" s="108" t="str">
        <f>+'LISTA DE INSUMOS'!C18</f>
        <v>Día</v>
      </c>
      <c r="F1396" s="176">
        <v>1</v>
      </c>
      <c r="G1396" s="141">
        <f>'LISTA DE INSUMOS'!E18</f>
        <v>245584</v>
      </c>
      <c r="H1396" s="205">
        <f>1/10</f>
        <v>0.1</v>
      </c>
      <c r="I1396" s="141">
        <f>ROUND((F1396*G1396*H1396),0)</f>
        <v>24558</v>
      </c>
      <c r="J1396" s="313"/>
      <c r="K1396" s="323"/>
    </row>
    <row r="1397" spans="1:15" s="317" customFormat="1" ht="24.9" customHeight="1" thickTop="1" thickBot="1" x14ac:dyDescent="0.25">
      <c r="A1397" s="104"/>
      <c r="B1397" s="255" t="s">
        <v>1033</v>
      </c>
      <c r="C1397" s="151" t="str">
        <f>+'LISTA DE INSUMOS'!A758</f>
        <v>EQU002</v>
      </c>
      <c r="D1397" s="146" t="str">
        <f>+'LISTA DE INSUMOS'!B758</f>
        <v>Herramienta menor (% mano obra)</v>
      </c>
      <c r="E1397" s="145" t="str">
        <f>+'LISTA DE INSUMOS'!C758</f>
        <v>%MO</v>
      </c>
      <c r="F1397" s="229">
        <v>0.1</v>
      </c>
      <c r="G1397" s="148">
        <f>I1396</f>
        <v>24558</v>
      </c>
      <c r="H1397" s="206">
        <v>0</v>
      </c>
      <c r="I1397" s="148">
        <f>ROUND((F1397*G1397),0)</f>
        <v>2456</v>
      </c>
      <c r="J1397" s="313"/>
      <c r="K1397" s="323"/>
    </row>
    <row r="1398" spans="1:15" ht="24.9" customHeight="1" x14ac:dyDescent="0.2">
      <c r="B1398" s="117" t="s">
        <v>1604</v>
      </c>
      <c r="C1398" s="117"/>
      <c r="D1398" s="112" t="s">
        <v>246</v>
      </c>
      <c r="E1398" s="117" t="s">
        <v>2586</v>
      </c>
      <c r="F1398" s="149"/>
      <c r="G1398" s="119">
        <f>ROUND(SUM(I1398:I1400),0)</f>
        <v>682786</v>
      </c>
      <c r="H1398" s="120"/>
      <c r="I1398" s="119"/>
      <c r="J1398" s="47"/>
      <c r="K1398" s="143"/>
      <c r="O1398" s="104">
        <v>345000</v>
      </c>
    </row>
    <row r="1399" spans="1:15" ht="24.9" customHeight="1" thickBot="1" x14ac:dyDescent="0.25">
      <c r="B1399" s="175" t="s">
        <v>1325</v>
      </c>
      <c r="C1399" s="108" t="str">
        <f>+'LISTA DE INSUMOS'!A394</f>
        <v>MAT396</v>
      </c>
      <c r="D1399" s="139" t="str">
        <f>+'LISTA DE INSUMOS'!B394</f>
        <v>Topex Set Acelerante 2.5kg</v>
      </c>
      <c r="E1399" s="108" t="str">
        <f>+'LISTA DE INSUMOS'!C394</f>
        <v>Kg</v>
      </c>
      <c r="F1399" s="140">
        <f>7*4*0.25</f>
        <v>7</v>
      </c>
      <c r="G1399" s="141">
        <f>'LISTA DE INSUMOS'!E394</f>
        <v>12020.574311657998</v>
      </c>
      <c r="H1399" s="108">
        <v>1.03</v>
      </c>
      <c r="I1399" s="141">
        <f>ROUND((F1399*G1399*H1399),0)</f>
        <v>86668</v>
      </c>
      <c r="J1399" s="47"/>
      <c r="K1399" s="143"/>
    </row>
    <row r="1400" spans="1:15" ht="24.9" customHeight="1" thickTop="1" thickBot="1" x14ac:dyDescent="0.25">
      <c r="B1400" s="204" t="s">
        <v>1310</v>
      </c>
      <c r="C1400" s="145" t="str">
        <f>+B544</f>
        <v>ITE092</v>
      </c>
      <c r="D1400" s="146" t="str">
        <f>+D544</f>
        <v>Concreto de 20,7 Mpa (3000 psi) (producción)</v>
      </c>
      <c r="E1400" s="145" t="str">
        <f>+E544</f>
        <v>M3</v>
      </c>
      <c r="F1400" s="147">
        <v>1</v>
      </c>
      <c r="G1400" s="148">
        <f>G544</f>
        <v>596118</v>
      </c>
      <c r="H1400" s="145">
        <v>0</v>
      </c>
      <c r="I1400" s="148">
        <f>ROUND((F1400*G1400),0)</f>
        <v>596118</v>
      </c>
      <c r="J1400" s="47"/>
      <c r="K1400" s="143"/>
    </row>
    <row r="1401" spans="1:15" ht="24.9" customHeight="1" x14ac:dyDescent="0.2">
      <c r="B1401" s="117" t="s">
        <v>1433</v>
      </c>
      <c r="C1401" s="117"/>
      <c r="D1401" s="112" t="s">
        <v>247</v>
      </c>
      <c r="E1401" s="117" t="s">
        <v>2586</v>
      </c>
      <c r="F1401" s="149"/>
      <c r="G1401" s="119">
        <f>ROUND(SUM(I1401:I1403),0)</f>
        <v>749225</v>
      </c>
      <c r="H1401" s="120"/>
      <c r="I1401" s="119"/>
      <c r="J1401" s="47"/>
      <c r="K1401" s="143"/>
    </row>
    <row r="1402" spans="1:15" ht="29.25" customHeight="1" thickBot="1" x14ac:dyDescent="0.25">
      <c r="B1402" s="175" t="s">
        <v>1325</v>
      </c>
      <c r="C1402" s="108" t="str">
        <f>+'LISTA DE INSUMOS'!A394</f>
        <v>MAT396</v>
      </c>
      <c r="D1402" s="139" t="str">
        <f>+'LISTA DE INSUMOS'!B394</f>
        <v>Topex Set Acelerante 2.5kg</v>
      </c>
      <c r="E1402" s="108" t="str">
        <f>+'LISTA DE INSUMOS'!C394</f>
        <v>Kg</v>
      </c>
      <c r="F1402" s="140">
        <f>8.5*4*0.25</f>
        <v>8.5</v>
      </c>
      <c r="G1402" s="141">
        <f>'LISTA DE INSUMOS'!E394</f>
        <v>12020.574311657998</v>
      </c>
      <c r="H1402" s="108">
        <v>1.03</v>
      </c>
      <c r="I1402" s="141">
        <f>ROUND((F1402*G1402*H1402),0)</f>
        <v>105240</v>
      </c>
      <c r="J1402" s="47"/>
      <c r="K1402" s="143"/>
    </row>
    <row r="1403" spans="1:15" ht="24.9" customHeight="1" thickTop="1" thickBot="1" x14ac:dyDescent="0.25">
      <c r="B1403" s="204" t="s">
        <v>1310</v>
      </c>
      <c r="C1403" s="145" t="str">
        <f>+B535</f>
        <v>ITE091</v>
      </c>
      <c r="D1403" s="146" t="str">
        <f>+D535</f>
        <v>Concreto de 27,6 Mpa (4000 psi) (producción)</v>
      </c>
      <c r="E1403" s="145" t="str">
        <f>+E535</f>
        <v>M3</v>
      </c>
      <c r="F1403" s="147">
        <v>1</v>
      </c>
      <c r="G1403" s="148">
        <f>G535</f>
        <v>643985</v>
      </c>
      <c r="H1403" s="145">
        <v>0</v>
      </c>
      <c r="I1403" s="148">
        <f>ROUND((F1403*G1403),0)</f>
        <v>643985</v>
      </c>
      <c r="J1403" s="47"/>
      <c r="K1403" s="143"/>
    </row>
    <row r="1404" spans="1:15" ht="24.9" customHeight="1" x14ac:dyDescent="0.2">
      <c r="B1404" s="117" t="s">
        <v>1434</v>
      </c>
      <c r="C1404" s="117"/>
      <c r="D1404" s="112" t="s">
        <v>248</v>
      </c>
      <c r="E1404" s="117" t="s">
        <v>2586</v>
      </c>
      <c r="F1404" s="149"/>
      <c r="G1404" s="119">
        <f>ROUND(SUM(I1404:I1406),0)</f>
        <v>696756</v>
      </c>
      <c r="H1404" s="120"/>
      <c r="I1404" s="119"/>
      <c r="J1404" s="47"/>
      <c r="K1404" s="143"/>
    </row>
    <row r="1405" spans="1:15" ht="24.9" customHeight="1" thickBot="1" x14ac:dyDescent="0.25">
      <c r="B1405" s="175" t="s">
        <v>1325</v>
      </c>
      <c r="C1405" s="108" t="str">
        <f>+'LISTA DE INSUMOS'!A376</f>
        <v>MAT370</v>
      </c>
      <c r="D1405" s="139" t="str">
        <f>+'LISTA DE INSUMOS'!B376</f>
        <v>Impermeabilizante para concreto</v>
      </c>
      <c r="E1405" s="108" t="str">
        <f>+'LISTA DE INSUMOS'!C376</f>
        <v>Kg</v>
      </c>
      <c r="F1405" s="140">
        <f>8.5*0.25</f>
        <v>2.125</v>
      </c>
      <c r="G1405" s="141">
        <f>'LISTA DE INSUMOS'!E376</f>
        <v>24109.941066665848</v>
      </c>
      <c r="H1405" s="108">
        <v>1.03</v>
      </c>
      <c r="I1405" s="141">
        <f>ROUND((F1405*G1405*H1405),0)</f>
        <v>52771</v>
      </c>
      <c r="J1405" s="47"/>
      <c r="K1405" s="143"/>
    </row>
    <row r="1406" spans="1:15" ht="24.9" customHeight="1" thickTop="1" thickBot="1" x14ac:dyDescent="0.25">
      <c r="B1406" s="204" t="s">
        <v>1310</v>
      </c>
      <c r="C1406" s="145" t="str">
        <f>+B535</f>
        <v>ITE091</v>
      </c>
      <c r="D1406" s="146" t="str">
        <f>+D535</f>
        <v>Concreto de 27,6 Mpa (4000 psi) (producción)</v>
      </c>
      <c r="E1406" s="145" t="str">
        <f>+E535</f>
        <v>M3</v>
      </c>
      <c r="F1406" s="147">
        <v>1</v>
      </c>
      <c r="G1406" s="148">
        <f>G535</f>
        <v>643985</v>
      </c>
      <c r="H1406" s="145">
        <v>0</v>
      </c>
      <c r="I1406" s="148">
        <f>ROUND((F1406*G1406),0)</f>
        <v>643985</v>
      </c>
      <c r="J1406" s="47"/>
      <c r="K1406" s="143"/>
    </row>
    <row r="1407" spans="1:15" s="317" customFormat="1" ht="24.9" hidden="1" customHeight="1" x14ac:dyDescent="0.2">
      <c r="B1407" s="319" t="s">
        <v>1848</v>
      </c>
      <c r="C1407" s="319"/>
      <c r="D1407" s="320" t="s">
        <v>1655</v>
      </c>
      <c r="E1407" s="319" t="s">
        <v>2585</v>
      </c>
      <c r="F1407" s="332"/>
      <c r="G1407" s="312">
        <f>ROUND(SUM(I1407:I1415),0)</f>
        <v>176092</v>
      </c>
      <c r="H1407" s="322"/>
      <c r="I1407" s="312"/>
      <c r="J1407" s="313"/>
      <c r="K1407" s="323"/>
    </row>
    <row r="1408" spans="1:15" s="317" customFormat="1" ht="24.9" hidden="1" customHeight="1" x14ac:dyDescent="0.2">
      <c r="B1408" s="697" t="s">
        <v>1035</v>
      </c>
      <c r="C1408" s="322" t="str">
        <f>+'LISTA DE INSUMOS'!A49</f>
        <v>MAT018</v>
      </c>
      <c r="D1408" s="324" t="str">
        <f>+'LISTA DE INSUMOS'!B49</f>
        <v>Cuartón de sajo 2" x 4" x 2,9 m</v>
      </c>
      <c r="E1408" s="322" t="str">
        <f>+'LISTA DE INSUMOS'!C49</f>
        <v>M</v>
      </c>
      <c r="F1408" s="325">
        <v>7</v>
      </c>
      <c r="G1408" s="312">
        <f>'LISTA DE INSUMOS'!E49</f>
        <v>11944.810644542158</v>
      </c>
      <c r="H1408" s="322">
        <v>1.03</v>
      </c>
      <c r="I1408" s="312">
        <f>ROUND((F1408*G1408*H1408),0)</f>
        <v>86122</v>
      </c>
      <c r="J1408" s="313"/>
      <c r="K1408" s="323"/>
    </row>
    <row r="1409" spans="2:11" s="317" customFormat="1" ht="24.9" hidden="1" customHeight="1" x14ac:dyDescent="0.2">
      <c r="B1409" s="697"/>
      <c r="C1409" s="322" t="str">
        <f>+'LISTA DE INSUMOS'!A52</f>
        <v>MAT021</v>
      </c>
      <c r="D1409" s="324" t="str">
        <f>+'LISTA DE INSUMOS'!B52</f>
        <v>Puntilla (promedio)</v>
      </c>
      <c r="E1409" s="322" t="str">
        <f>+'LISTA DE INSUMOS'!C52</f>
        <v>Lb</v>
      </c>
      <c r="F1409" s="325">
        <v>1</v>
      </c>
      <c r="G1409" s="312">
        <f>'LISTA DE INSUMOS'!E52</f>
        <v>6690.6972299999998</v>
      </c>
      <c r="H1409" s="322">
        <v>0</v>
      </c>
      <c r="I1409" s="312">
        <f>ROUND((F1409*G1409),0)</f>
        <v>6691</v>
      </c>
      <c r="J1409" s="313"/>
      <c r="K1409" s="323"/>
    </row>
    <row r="1410" spans="2:11" s="317" customFormat="1" ht="24.9" hidden="1" customHeight="1" x14ac:dyDescent="0.2">
      <c r="B1410" s="697"/>
      <c r="C1410" s="322" t="str">
        <f>+'LISTA DE INSUMOS'!A67</f>
        <v>MAT034</v>
      </c>
      <c r="D1410" s="324" t="str">
        <f>+'LISTA DE INSUMOS'!B67</f>
        <v>ACPM</v>
      </c>
      <c r="E1410" s="322" t="str">
        <f>+'LISTA DE INSUMOS'!C67</f>
        <v>Gl</v>
      </c>
      <c r="F1410" s="325">
        <v>0.5</v>
      </c>
      <c r="G1410" s="312">
        <f>'LISTA DE INSUMOS'!E67</f>
        <v>9681.4499999999989</v>
      </c>
      <c r="H1410" s="322">
        <v>0</v>
      </c>
      <c r="I1410" s="312">
        <f>ROUND((F1410*G1410),0)</f>
        <v>4841</v>
      </c>
      <c r="J1410" s="313"/>
      <c r="K1410" s="323"/>
    </row>
    <row r="1411" spans="2:11" s="317" customFormat="1" ht="30" hidden="1" customHeight="1" thickBot="1" x14ac:dyDescent="0.25">
      <c r="B1411" s="698"/>
      <c r="C1411" s="322" t="str">
        <f>+'LISTA DE INSUMOS'!A132</f>
        <v>MAT091</v>
      </c>
      <c r="D1411" s="324" t="str">
        <f>+'LISTA DE INSUMOS'!B132</f>
        <v>Varillón de sajo</v>
      </c>
      <c r="E1411" s="322" t="str">
        <f>+'LISTA DE INSUMOS'!C132</f>
        <v>M</v>
      </c>
      <c r="F1411" s="325">
        <v>10</v>
      </c>
      <c r="G1411" s="312">
        <f>'LISTA DE INSUMOS'!E132</f>
        <v>2979.6450687603597</v>
      </c>
      <c r="H1411" s="322">
        <v>1.03</v>
      </c>
      <c r="I1411" s="312">
        <f>ROUND((F1411*G1411*H1411),0)</f>
        <v>30690</v>
      </c>
      <c r="J1411" s="313"/>
      <c r="K1411" s="323"/>
    </row>
    <row r="1412" spans="2:11" s="317" customFormat="1" ht="24.9" hidden="1" customHeight="1" thickTop="1" thickBot="1" x14ac:dyDescent="0.25">
      <c r="B1412" s="342" t="s">
        <v>1034</v>
      </c>
      <c r="C1412" s="322" t="str">
        <f>+'LISTA DE INSUMOS'!A17</f>
        <v>MOB014</v>
      </c>
      <c r="D1412" s="324" t="str">
        <f>+'LISTA DE INSUMOS'!B17</f>
        <v>Cuadrilla D 2 Of + 4 Ay (jornal + prestaciones)</v>
      </c>
      <c r="E1412" s="322" t="str">
        <f>+'LISTA DE INSUMOS'!C17</f>
        <v>Día</v>
      </c>
      <c r="F1412" s="325">
        <v>1</v>
      </c>
      <c r="G1412" s="312">
        <f>'LISTA DE INSUMOS'!E17</f>
        <v>654890</v>
      </c>
      <c r="H1412" s="322">
        <f>1/20</f>
        <v>0.05</v>
      </c>
      <c r="I1412" s="312">
        <f>ROUND((F1412*G1412*H1412),0)</f>
        <v>32745</v>
      </c>
      <c r="J1412" s="313"/>
      <c r="K1412" s="323"/>
    </row>
    <row r="1413" spans="2:11" s="317" customFormat="1" ht="24.9" hidden="1" customHeight="1" thickTop="1" x14ac:dyDescent="0.2">
      <c r="B1413" s="693" t="s">
        <v>1033</v>
      </c>
      <c r="C1413" s="322" t="str">
        <f>+'LISTA DE INSUMOS'!A758</f>
        <v>EQU002</v>
      </c>
      <c r="D1413" s="324" t="str">
        <f>+'LISTA DE INSUMOS'!B758</f>
        <v>Herramienta menor (% mano obra)</v>
      </c>
      <c r="E1413" s="322" t="str">
        <f>+'LISTA DE INSUMOS'!C758</f>
        <v>%MO</v>
      </c>
      <c r="F1413" s="325">
        <v>0.1</v>
      </c>
      <c r="G1413" s="312">
        <f>I1412</f>
        <v>32745</v>
      </c>
      <c r="H1413" s="322">
        <v>0</v>
      </c>
      <c r="I1413" s="312">
        <f>ROUND((F1413*G1413),0)</f>
        <v>3275</v>
      </c>
      <c r="J1413" s="313"/>
      <c r="K1413" s="323"/>
    </row>
    <row r="1414" spans="2:11" s="317" customFormat="1" ht="24.9" hidden="1" customHeight="1" x14ac:dyDescent="0.2">
      <c r="B1414" s="658"/>
      <c r="C1414" s="338" t="str">
        <f>+'LISTA DE INSUMOS'!A799</f>
        <v>EQU043</v>
      </c>
      <c r="D1414" s="339" t="str">
        <f>+'LISTA DE INSUMOS'!B799</f>
        <v>Tablero formaleta 70*140</v>
      </c>
      <c r="E1414" s="322" t="str">
        <f>+'LISTA DE INSUMOS'!C799</f>
        <v>Dia</v>
      </c>
      <c r="F1414" s="325">
        <v>3</v>
      </c>
      <c r="G1414" s="312">
        <f>+'LISTA DE INSUMOS'!E799</f>
        <v>910.28952299999992</v>
      </c>
      <c r="H1414" s="322">
        <v>1</v>
      </c>
      <c r="I1414" s="312">
        <f>ROUND((F1414*G1414*H1414),0)</f>
        <v>2731</v>
      </c>
      <c r="J1414" s="313"/>
      <c r="K1414" s="323"/>
    </row>
    <row r="1415" spans="2:11" s="317" customFormat="1" ht="24.9" hidden="1" customHeight="1" thickBot="1" x14ac:dyDescent="0.25">
      <c r="B1415" s="694"/>
      <c r="C1415" s="329" t="str">
        <f>+'LISTA DE INSUMOS'!A763</f>
        <v>EQU007</v>
      </c>
      <c r="D1415" s="328" t="str">
        <f>+'LISTA DE INSUMOS'!B763</f>
        <v>Taco metálico de 2 - &gt;3 m</v>
      </c>
      <c r="E1415" s="329" t="str">
        <f>+'LISTA DE INSUMOS'!C763</f>
        <v>Día</v>
      </c>
      <c r="F1415" s="330">
        <v>16</v>
      </c>
      <c r="G1415" s="331">
        <f>'LISTA DE INSUMOS'!E763</f>
        <v>281.17022786424002</v>
      </c>
      <c r="H1415" s="329">
        <v>2</v>
      </c>
      <c r="I1415" s="331">
        <f>ROUND((F1415*G1415*H1415),0)</f>
        <v>8997</v>
      </c>
      <c r="J1415" s="313"/>
      <c r="K1415" s="323"/>
    </row>
    <row r="1416" spans="2:11" ht="24.9" customHeight="1" x14ac:dyDescent="0.2">
      <c r="B1416" s="117" t="s">
        <v>1965</v>
      </c>
      <c r="C1416" s="117"/>
      <c r="D1416" s="112" t="s">
        <v>463</v>
      </c>
      <c r="E1416" s="117" t="s">
        <v>2585</v>
      </c>
      <c r="F1416" s="149"/>
      <c r="G1416" s="119">
        <f>ROUND(SUM(I1416:I1425),0)</f>
        <v>92039</v>
      </c>
      <c r="H1416" s="120"/>
      <c r="I1416" s="119"/>
      <c r="J1416" s="47"/>
      <c r="K1416" s="143"/>
    </row>
    <row r="1417" spans="2:11" ht="24.9" customHeight="1" x14ac:dyDescent="0.2">
      <c r="B1417" s="672" t="s">
        <v>1035</v>
      </c>
      <c r="C1417" s="108" t="str">
        <f>+'LISTA DE INSUMOS'!A46</f>
        <v>MAT017</v>
      </c>
      <c r="D1417" s="139" t="str">
        <f>+'LISTA DE INSUMOS'!B46</f>
        <v>Tabla para formaleta de 1" x 10" x 2,9 m</v>
      </c>
      <c r="E1417" s="108" t="str">
        <f>+'LISTA DE INSUMOS'!C46</f>
        <v>M</v>
      </c>
      <c r="F1417" s="140">
        <v>1</v>
      </c>
      <c r="G1417" s="141">
        <f>'LISTA DE INSUMOS'!E46</f>
        <v>8112.0359999999991</v>
      </c>
      <c r="H1417" s="205">
        <f>1/3</f>
        <v>0.33333333333333331</v>
      </c>
      <c r="I1417" s="141">
        <f>ROUND((F1417*G1417*H1417),0)</f>
        <v>2704</v>
      </c>
      <c r="J1417" s="47"/>
      <c r="K1417" s="143"/>
    </row>
    <row r="1418" spans="2:11" ht="24.9" customHeight="1" x14ac:dyDescent="0.2">
      <c r="B1418" s="672"/>
      <c r="C1418" s="108" t="str">
        <f>+'LISTA DE INSUMOS'!A132</f>
        <v>MAT091</v>
      </c>
      <c r="D1418" s="139" t="str">
        <f>+'LISTA DE INSUMOS'!B132</f>
        <v>Varillón de sajo</v>
      </c>
      <c r="E1418" s="108" t="str">
        <f>+'LISTA DE INSUMOS'!C132</f>
        <v>M</v>
      </c>
      <c r="F1418" s="140">
        <v>2</v>
      </c>
      <c r="G1418" s="141">
        <f>'LISTA DE INSUMOS'!E132</f>
        <v>2979.6450687603597</v>
      </c>
      <c r="H1418" s="205">
        <f>1/3</f>
        <v>0.33333333333333331</v>
      </c>
      <c r="I1418" s="141">
        <f>ROUND((F1418*G1418*H1418),0)</f>
        <v>1986</v>
      </c>
      <c r="J1418" s="47"/>
      <c r="K1418" s="143"/>
    </row>
    <row r="1419" spans="2:11" ht="24.9" customHeight="1" x14ac:dyDescent="0.2">
      <c r="B1419" s="672"/>
      <c r="C1419" s="108" t="str">
        <f>+'LISTA DE INSUMOS'!A52</f>
        <v>MAT021</v>
      </c>
      <c r="D1419" s="139" t="str">
        <f>+'LISTA DE INSUMOS'!B52</f>
        <v>Puntilla (promedio)</v>
      </c>
      <c r="E1419" s="108" t="str">
        <f>+'LISTA DE INSUMOS'!C52</f>
        <v>Lb</v>
      </c>
      <c r="F1419" s="140">
        <v>0.05</v>
      </c>
      <c r="G1419" s="141">
        <f>'LISTA DE INSUMOS'!E52</f>
        <v>6690.6972299999998</v>
      </c>
      <c r="H1419" s="108">
        <v>0</v>
      </c>
      <c r="I1419" s="141">
        <f>ROUND((F1419*G1419),0)</f>
        <v>335</v>
      </c>
      <c r="J1419" s="47"/>
      <c r="K1419" s="143"/>
    </row>
    <row r="1420" spans="2:11" ht="35.25" customHeight="1" x14ac:dyDescent="0.2">
      <c r="B1420" s="672"/>
      <c r="C1420" s="108" t="str">
        <f>+'LISTA DE INSUMOS'!A93</f>
        <v>MAT051</v>
      </c>
      <c r="D1420" s="139" t="str">
        <f>+'LISTA DE INSUMOS'!B93</f>
        <v>Antisol blanco</v>
      </c>
      <c r="E1420" s="108" t="str">
        <f>+'LISTA DE INSUMOS'!C93</f>
        <v>Kg</v>
      </c>
      <c r="F1420" s="140">
        <v>0.2</v>
      </c>
      <c r="G1420" s="141">
        <f>'LISTA DE INSUMOS'!E93</f>
        <v>11510.734499999999</v>
      </c>
      <c r="H1420" s="108">
        <v>1.03</v>
      </c>
      <c r="I1420" s="141">
        <f>ROUND((F1420*G1420*H1420),0)</f>
        <v>2371</v>
      </c>
      <c r="J1420" s="47"/>
      <c r="K1420" s="143"/>
    </row>
    <row r="1421" spans="2:11" ht="24.9" customHeight="1" thickBot="1" x14ac:dyDescent="0.25">
      <c r="B1421" s="673"/>
      <c r="C1421" s="108" t="str">
        <f>+'LISTA DE INSUMOS'!A67</f>
        <v>MAT034</v>
      </c>
      <c r="D1421" s="139" t="str">
        <f>+'LISTA DE INSUMOS'!B67</f>
        <v>ACPM</v>
      </c>
      <c r="E1421" s="108" t="str">
        <f>+'LISTA DE INSUMOS'!C67</f>
        <v>Gl</v>
      </c>
      <c r="F1421" s="140">
        <v>0.05</v>
      </c>
      <c r="G1421" s="141">
        <f>'LISTA DE INSUMOS'!E67</f>
        <v>9681.4499999999989</v>
      </c>
      <c r="H1421" s="108">
        <v>1.05</v>
      </c>
      <c r="I1421" s="141">
        <f>ROUND((F1421*G1421*H1421),0)</f>
        <v>508</v>
      </c>
      <c r="J1421" s="47"/>
      <c r="K1421" s="143"/>
    </row>
    <row r="1422" spans="2:11" ht="24.9" customHeight="1" thickTop="1" thickBot="1" x14ac:dyDescent="0.25">
      <c r="B1422" s="191" t="s">
        <v>1310</v>
      </c>
      <c r="C1422" s="108" t="str">
        <f>+B553</f>
        <v>ITE093</v>
      </c>
      <c r="D1422" s="139" t="str">
        <f>+D553</f>
        <v>Concreto de 17,2 Mpa (2500 psi) (producción)</v>
      </c>
      <c r="E1422" s="108" t="str">
        <f>+E553</f>
        <v>M3</v>
      </c>
      <c r="F1422" s="140">
        <v>7.0000000000000007E-2</v>
      </c>
      <c r="G1422" s="141">
        <f>G553</f>
        <v>566526</v>
      </c>
      <c r="H1422" s="205">
        <v>1.05</v>
      </c>
      <c r="I1422" s="141">
        <f>ROUND((F1422*G1422*H1422),0)</f>
        <v>41640</v>
      </c>
      <c r="J1422" s="47"/>
      <c r="K1422" s="143"/>
    </row>
    <row r="1423" spans="2:11" ht="24.9" customHeight="1" thickTop="1" thickBot="1" x14ac:dyDescent="0.25">
      <c r="B1423" s="156" t="s">
        <v>1034</v>
      </c>
      <c r="C1423" s="108" t="str">
        <f>+'LISTA DE INSUMOS'!A9</f>
        <v>MOB006</v>
      </c>
      <c r="D1423" s="139" t="str">
        <f>+'LISTA DE INSUMOS'!B9</f>
        <v>Cuadrilla A 1 Of + 4 Ay (jornal + prestaciones)</v>
      </c>
      <c r="E1423" s="108" t="str">
        <f>+'LISTA DE INSUMOS'!C9</f>
        <v>Día</v>
      </c>
      <c r="F1423" s="140">
        <v>1</v>
      </c>
      <c r="G1423" s="141">
        <f>'LISTA DE INSUMOS'!E9</f>
        <v>491167</v>
      </c>
      <c r="H1423" s="219">
        <f>1/13</f>
        <v>7.6923076923076927E-2</v>
      </c>
      <c r="I1423" s="141">
        <f>ROUND((F1423*G1423*H1423),0)</f>
        <v>37782</v>
      </c>
      <c r="J1423" s="47"/>
      <c r="K1423" s="143"/>
    </row>
    <row r="1424" spans="2:11" ht="24.9" customHeight="1" thickTop="1" x14ac:dyDescent="0.2">
      <c r="B1424" s="674" t="s">
        <v>1033</v>
      </c>
      <c r="C1424" s="108" t="str">
        <f>+'LISTA DE INSUMOS'!A758</f>
        <v>EQU002</v>
      </c>
      <c r="D1424" s="139" t="str">
        <f>+'LISTA DE INSUMOS'!B758</f>
        <v>Herramienta menor (% mano obra)</v>
      </c>
      <c r="E1424" s="108" t="str">
        <f>+'LISTA DE INSUMOS'!C758</f>
        <v>%MO</v>
      </c>
      <c r="F1424" s="140">
        <v>0.1</v>
      </c>
      <c r="G1424" s="141">
        <f>I1423</f>
        <v>37782</v>
      </c>
      <c r="H1424" s="205">
        <v>0</v>
      </c>
      <c r="I1424" s="141">
        <f>ROUND((F1424*G1424),0)</f>
        <v>3778</v>
      </c>
      <c r="J1424" s="47"/>
      <c r="K1424" s="143"/>
    </row>
    <row r="1425" spans="2:40" ht="24.9" customHeight="1" thickBot="1" x14ac:dyDescent="0.25">
      <c r="B1425" s="709"/>
      <c r="C1425" s="145" t="str">
        <f>+'LISTA DE INSUMOS'!A783</f>
        <v>EQU026</v>
      </c>
      <c r="D1425" s="146" t="str">
        <f>+'LISTA DE INSUMOS'!B783</f>
        <v>Regla vibradora</v>
      </c>
      <c r="E1425" s="145" t="str">
        <f>+'LISTA DE INSUMOS'!C783</f>
        <v>Día</v>
      </c>
      <c r="F1425" s="147">
        <v>1</v>
      </c>
      <c r="G1425" s="148">
        <f>'LISTA DE INSUMOS'!E783</f>
        <v>46728.195513999992</v>
      </c>
      <c r="H1425" s="206">
        <f>1/50</f>
        <v>0.02</v>
      </c>
      <c r="I1425" s="148">
        <f>ROUND((F1425*G1425*H1425),0)</f>
        <v>935</v>
      </c>
      <c r="J1425" s="47"/>
      <c r="K1425" s="143"/>
    </row>
    <row r="1426" spans="2:40" ht="24.9" customHeight="1" x14ac:dyDescent="0.2">
      <c r="B1426" s="117" t="s">
        <v>1623</v>
      </c>
      <c r="C1426" s="117"/>
      <c r="D1426" s="112" t="s">
        <v>334</v>
      </c>
      <c r="E1426" s="117" t="s">
        <v>2586</v>
      </c>
      <c r="F1426" s="149"/>
      <c r="G1426" s="119">
        <f>ROUND(SUM(I1426:I1434),0)</f>
        <v>484291</v>
      </c>
      <c r="H1426" s="120"/>
      <c r="I1426" s="119"/>
      <c r="J1426" s="47"/>
      <c r="K1426" s="143"/>
      <c r="L1426" s="104">
        <v>263495</v>
      </c>
      <c r="O1426" s="104">
        <v>280000</v>
      </c>
      <c r="T1426" s="104">
        <v>565000</v>
      </c>
      <c r="U1426" s="104">
        <v>388776</v>
      </c>
      <c r="V1426" s="104">
        <v>460531</v>
      </c>
      <c r="W1426" s="104">
        <v>326912</v>
      </c>
      <c r="X1426" s="104">
        <v>432210</v>
      </c>
      <c r="AA1426" s="104">
        <v>346600</v>
      </c>
      <c r="AD1426" s="104">
        <v>331382</v>
      </c>
      <c r="AE1426" s="104">
        <v>281184</v>
      </c>
      <c r="AF1426" s="104">
        <v>314744</v>
      </c>
      <c r="AN1426" s="104">
        <v>140000</v>
      </c>
    </row>
    <row r="1427" spans="2:40" ht="24.9" customHeight="1" x14ac:dyDescent="0.2">
      <c r="B1427" s="706" t="s">
        <v>1035</v>
      </c>
      <c r="C1427" s="108" t="str">
        <f>+'LISTA DE INSUMOS'!A30</f>
        <v>MAT001</v>
      </c>
      <c r="D1427" s="139" t="str">
        <f>+'LISTA DE INSUMOS'!B30</f>
        <v>Cemento gris saco por 50 kilos, incluye cargue, descargue y transporte</v>
      </c>
      <c r="E1427" s="108" t="str">
        <f>+'LISTA DE INSUMOS'!C30</f>
        <v>Sc</v>
      </c>
      <c r="F1427" s="140">
        <v>4.5</v>
      </c>
      <c r="G1427" s="141">
        <f>'LISTA DE INSUMOS'!E30</f>
        <v>34500</v>
      </c>
      <c r="H1427" s="108">
        <v>1.03</v>
      </c>
      <c r="I1427" s="141">
        <f t="shared" ref="I1427:I1432" si="19">ROUND((F1427*G1427*H1427),0)</f>
        <v>159908</v>
      </c>
      <c r="J1427" s="47"/>
      <c r="K1427" s="143"/>
    </row>
    <row r="1428" spans="2:40" ht="24.9" customHeight="1" x14ac:dyDescent="0.2">
      <c r="B1428" s="706"/>
      <c r="C1428" s="108" t="str">
        <f>+'LISTA DE INSUMOS'!A32</f>
        <v>MAT003</v>
      </c>
      <c r="D1428" s="139" t="str">
        <f>+'LISTA DE INSUMOS'!B32</f>
        <v>Arena</v>
      </c>
      <c r="E1428" s="108" t="str">
        <f>+'LISTA DE INSUMOS'!C32</f>
        <v>M3</v>
      </c>
      <c r="F1428" s="140">
        <v>0.56000000000000005</v>
      </c>
      <c r="G1428" s="141">
        <f>'LISTA DE INSUMOS'!E32</f>
        <v>112536.56002875</v>
      </c>
      <c r="H1428" s="108">
        <v>1.03</v>
      </c>
      <c r="I1428" s="141">
        <f t="shared" si="19"/>
        <v>64911</v>
      </c>
      <c r="J1428" s="47"/>
      <c r="K1428" s="143"/>
    </row>
    <row r="1429" spans="2:40" ht="24.9" customHeight="1" x14ac:dyDescent="0.2">
      <c r="B1429" s="706"/>
      <c r="C1429" s="108" t="str">
        <f>+'LISTA DE INSUMOS'!A33</f>
        <v>MAT004</v>
      </c>
      <c r="D1429" s="139" t="str">
        <f>+'LISTA DE INSUMOS'!B33</f>
        <v>Gravilla de río y/o triturado</v>
      </c>
      <c r="E1429" s="108" t="str">
        <f>+'LISTA DE INSUMOS'!C33</f>
        <v>M3</v>
      </c>
      <c r="F1429" s="140">
        <v>0.92</v>
      </c>
      <c r="G1429" s="141">
        <f>+'LISTA DE INSUMOS'!E33</f>
        <v>112536.56002875</v>
      </c>
      <c r="H1429" s="108">
        <v>1.03</v>
      </c>
      <c r="I1429" s="141">
        <f t="shared" si="19"/>
        <v>106640</v>
      </c>
      <c r="J1429" s="47"/>
      <c r="K1429" s="143"/>
    </row>
    <row r="1430" spans="2:40" ht="24.9" customHeight="1" thickBot="1" x14ac:dyDescent="0.25">
      <c r="B1430" s="708"/>
      <c r="C1430" s="108" t="str">
        <f>+'LISTA DE INSUMOS'!A42</f>
        <v>MAT013</v>
      </c>
      <c r="D1430" s="139" t="str">
        <f>+'LISTA DE INSUMOS'!B42</f>
        <v xml:space="preserve">Agua </v>
      </c>
      <c r="E1430" s="108" t="str">
        <f>+'LISTA DE INSUMOS'!C42</f>
        <v>Lt</v>
      </c>
      <c r="F1430" s="140">
        <v>185</v>
      </c>
      <c r="G1430" s="141">
        <f>+'LISTA DE INSUMOS'!E42</f>
        <v>96.828790046226644</v>
      </c>
      <c r="H1430" s="108">
        <v>1.03</v>
      </c>
      <c r="I1430" s="141">
        <f t="shared" si="19"/>
        <v>18451</v>
      </c>
      <c r="J1430" s="47"/>
      <c r="K1430" s="143"/>
    </row>
    <row r="1431" spans="2:40" ht="24.9" customHeight="1" thickTop="1" thickBot="1" x14ac:dyDescent="0.25">
      <c r="B1431" s="191" t="s">
        <v>1310</v>
      </c>
      <c r="C1431" s="108" t="s">
        <v>1450</v>
      </c>
      <c r="D1431" s="436" t="str">
        <f>D336</f>
        <v xml:space="preserve">Transporte material &lt; 40 Km </v>
      </c>
      <c r="E1431" s="108" t="str">
        <f>E336</f>
        <v>M3-Km</v>
      </c>
      <c r="F1431" s="143">
        <f>SUM(F1428:F1429)*20</f>
        <v>29.6</v>
      </c>
      <c r="G1431" s="143">
        <f>G336</f>
        <v>1634</v>
      </c>
      <c r="H1431" s="108">
        <v>1</v>
      </c>
      <c r="I1431" s="141">
        <f t="shared" si="19"/>
        <v>48366</v>
      </c>
      <c r="J1431" s="47"/>
      <c r="K1431" s="143"/>
    </row>
    <row r="1432" spans="2:40" ht="24.9" customHeight="1" thickTop="1" thickBot="1" x14ac:dyDescent="0.25">
      <c r="B1432" s="156" t="s">
        <v>1034</v>
      </c>
      <c r="C1432" s="108" t="str">
        <f>+'LISTA DE INSUMOS'!A16</f>
        <v>MOB013</v>
      </c>
      <c r="D1432" s="139" t="str">
        <f>+'LISTA DE INSUMOS'!B16</f>
        <v>Cuadrilla C 1 Of + 7 Ay (jornal + prestaciones)</v>
      </c>
      <c r="E1432" s="108" t="str">
        <f>+'LISTA DE INSUMOS'!C16</f>
        <v>Día</v>
      </c>
      <c r="F1432" s="140">
        <v>1</v>
      </c>
      <c r="G1432" s="141">
        <f>'LISTA DE INSUMOS'!E16</f>
        <v>736750</v>
      </c>
      <c r="H1432" s="108">
        <f>1/10</f>
        <v>0.1</v>
      </c>
      <c r="I1432" s="141">
        <f t="shared" si="19"/>
        <v>73675</v>
      </c>
      <c r="J1432" s="47"/>
      <c r="K1432" s="143"/>
    </row>
    <row r="1433" spans="2:40" ht="24.9" customHeight="1" thickTop="1" x14ac:dyDescent="0.2">
      <c r="B1433" s="674" t="s">
        <v>1033</v>
      </c>
      <c r="C1433" s="108" t="str">
        <f>+'LISTA DE INSUMOS'!A758</f>
        <v>EQU002</v>
      </c>
      <c r="D1433" s="139" t="str">
        <f>+'LISTA DE INSUMOS'!B758</f>
        <v>Herramienta menor (% mano obra)</v>
      </c>
      <c r="E1433" s="108" t="str">
        <f>+'LISTA DE INSUMOS'!C758</f>
        <v>%MO</v>
      </c>
      <c r="F1433" s="140">
        <v>0.1</v>
      </c>
      <c r="G1433" s="141">
        <f>I1432</f>
        <v>73675</v>
      </c>
      <c r="H1433" s="108">
        <v>0</v>
      </c>
      <c r="I1433" s="141">
        <f>ROUND((F1433*G1433),0)</f>
        <v>7368</v>
      </c>
      <c r="J1433" s="47"/>
      <c r="K1433" s="143"/>
    </row>
    <row r="1434" spans="2:40" ht="24.9" customHeight="1" thickBot="1" x14ac:dyDescent="0.25">
      <c r="B1434" s="709"/>
      <c r="C1434" s="145" t="str">
        <f>+'LISTA DE INSUMOS'!A759</f>
        <v>EQU003</v>
      </c>
      <c r="D1434" s="146" t="str">
        <f>+'LISTA DE INSUMOS'!B759</f>
        <v>Concretadora gasolina 1 o 1 1/2 sacos</v>
      </c>
      <c r="E1434" s="145" t="str">
        <f>+'LISTA DE INSUMOS'!C759</f>
        <v>Día</v>
      </c>
      <c r="F1434" s="147">
        <v>1</v>
      </c>
      <c r="G1434" s="148">
        <f>+'LISTA DE INSUMOS'!E759</f>
        <v>49716.008472358793</v>
      </c>
      <c r="H1434" s="145">
        <f>1/10</f>
        <v>0.1</v>
      </c>
      <c r="I1434" s="148">
        <f>ROUND((F1434*G1434*H1434),0)</f>
        <v>4972</v>
      </c>
      <c r="J1434" s="47"/>
      <c r="K1434" s="143"/>
    </row>
    <row r="1435" spans="2:40" ht="24.9" customHeight="1" x14ac:dyDescent="0.2">
      <c r="B1435" s="230" t="s">
        <v>1455</v>
      </c>
      <c r="C1435" s="120"/>
      <c r="D1435" s="231" t="s">
        <v>2473</v>
      </c>
      <c r="E1435" s="120" t="s">
        <v>1432</v>
      </c>
      <c r="F1435" s="149"/>
      <c r="G1435" s="119">
        <f>ROUND(SUM(I1435:I1447),0)</f>
        <v>1091319</v>
      </c>
      <c r="H1435" s="232"/>
      <c r="I1435" s="119"/>
      <c r="J1435" s="47"/>
      <c r="K1435" s="143"/>
    </row>
    <row r="1436" spans="2:40" ht="24.9" customHeight="1" x14ac:dyDescent="0.2">
      <c r="B1436" s="680" t="s">
        <v>1035</v>
      </c>
      <c r="C1436" s="108" t="str">
        <f>+'LISTA DE INSUMOS'!A49</f>
        <v>MAT018</v>
      </c>
      <c r="D1436" s="139" t="str">
        <f>+'LISTA DE INSUMOS'!B49</f>
        <v>Cuartón de sajo 2" x 4" x 2,9 m</v>
      </c>
      <c r="E1436" s="108" t="str">
        <f>+'LISTA DE INSUMOS'!C49</f>
        <v>M</v>
      </c>
      <c r="F1436" s="140">
        <v>9</v>
      </c>
      <c r="G1436" s="141">
        <f>'LISTA DE INSUMOS'!E49</f>
        <v>11944.810644542158</v>
      </c>
      <c r="H1436" s="205">
        <f>1/3</f>
        <v>0.33333333333333331</v>
      </c>
      <c r="I1436" s="141">
        <f>ROUND((F1436*G1436*H1436),0)</f>
        <v>35834</v>
      </c>
      <c r="J1436" s="47"/>
      <c r="K1436" s="143"/>
    </row>
    <row r="1437" spans="2:40" ht="24.9" customHeight="1" x14ac:dyDescent="0.2">
      <c r="B1437" s="680"/>
      <c r="C1437" s="108" t="str">
        <f>+'LISTA DE INSUMOS'!A51</f>
        <v>MAT020</v>
      </c>
      <c r="D1437" s="139" t="str">
        <f>+'LISTA DE INSUMOS'!B51</f>
        <v>Guadua basa longitud promedio = 5 m</v>
      </c>
      <c r="E1437" s="108" t="str">
        <f>+'LISTA DE INSUMOS'!C51</f>
        <v>Un</v>
      </c>
      <c r="F1437" s="140">
        <v>2</v>
      </c>
      <c r="G1437" s="141">
        <f>+'LISTA DE INSUMOS'!E51</f>
        <v>8662.3499999999985</v>
      </c>
      <c r="H1437" s="205">
        <f>1/3</f>
        <v>0.33333333333333331</v>
      </c>
      <c r="I1437" s="141">
        <f>ROUND((F1437*G1437*H1437),0)</f>
        <v>5775</v>
      </c>
      <c r="J1437" s="47"/>
      <c r="K1437" s="143"/>
      <c r="N1437" s="103"/>
    </row>
    <row r="1438" spans="2:40" ht="24.9" customHeight="1" x14ac:dyDescent="0.2">
      <c r="B1438" s="680"/>
      <c r="C1438" s="108" t="str">
        <f>+'LISTA DE INSUMOS'!A52</f>
        <v>MAT021</v>
      </c>
      <c r="D1438" s="139" t="str">
        <f>+'LISTA DE INSUMOS'!B52</f>
        <v>Puntilla (promedio)</v>
      </c>
      <c r="E1438" s="108" t="str">
        <f>+'LISTA DE INSUMOS'!C52</f>
        <v>Lb</v>
      </c>
      <c r="F1438" s="176">
        <v>2</v>
      </c>
      <c r="G1438" s="141">
        <f>'LISTA DE INSUMOS'!E52</f>
        <v>6690.6972299999998</v>
      </c>
      <c r="H1438" s="205">
        <v>0</v>
      </c>
      <c r="I1438" s="141">
        <f>ROUND((F1438*G1438),0)</f>
        <v>13381</v>
      </c>
      <c r="J1438" s="47"/>
      <c r="K1438" s="143"/>
    </row>
    <row r="1439" spans="2:40" ht="24.9" customHeight="1" x14ac:dyDescent="0.2">
      <c r="B1439" s="680"/>
      <c r="C1439" s="108" t="str">
        <f>+'LISTA DE INSUMOS'!A53</f>
        <v>MAT022</v>
      </c>
      <c r="D1439" s="139" t="str">
        <f>+'LISTA DE INSUMOS'!B53</f>
        <v>Alambre negro calibre 17</v>
      </c>
      <c r="E1439" s="108" t="str">
        <f>+'LISTA DE INSUMOS'!C53</f>
        <v>Kg</v>
      </c>
      <c r="F1439" s="140">
        <v>2</v>
      </c>
      <c r="G1439" s="141">
        <f>+'LISTA DE INSUMOS'!E53</f>
        <v>7948.98</v>
      </c>
      <c r="H1439" s="108">
        <v>0</v>
      </c>
      <c r="I1439" s="141">
        <f>ROUND((F1439*G1439),0)</f>
        <v>15898</v>
      </c>
      <c r="J1439" s="47"/>
      <c r="K1439" s="143"/>
    </row>
    <row r="1440" spans="2:40" ht="24.9" customHeight="1" x14ac:dyDescent="0.2">
      <c r="B1440" s="680"/>
      <c r="C1440" s="108" t="str">
        <f>+'LISTA DE INSUMOS'!A93</f>
        <v>MAT051</v>
      </c>
      <c r="D1440" s="139" t="str">
        <f>+'LISTA DE INSUMOS'!B93</f>
        <v>Antisol blanco</v>
      </c>
      <c r="E1440" s="108" t="str">
        <f>+'LISTA DE INSUMOS'!C93</f>
        <v>Kg</v>
      </c>
      <c r="F1440" s="140">
        <v>1.1000000000000001</v>
      </c>
      <c r="G1440" s="141">
        <f>'LISTA DE INSUMOS'!E93</f>
        <v>11510.734499999999</v>
      </c>
      <c r="H1440" s="108">
        <v>1.03</v>
      </c>
      <c r="I1440" s="141">
        <f>ROUND((F1440*G1440*H1440),0)</f>
        <v>13042</v>
      </c>
      <c r="J1440" s="47"/>
      <c r="K1440" s="143"/>
    </row>
    <row r="1441" spans="2:40" ht="24.9" customHeight="1" thickBot="1" x14ac:dyDescent="0.25">
      <c r="B1441" s="681"/>
      <c r="C1441" s="108" t="str">
        <f>+'LISTA DE INSUMOS'!A132</f>
        <v>MAT091</v>
      </c>
      <c r="D1441" s="139" t="str">
        <f>+'LISTA DE INSUMOS'!B132</f>
        <v>Varillón de sajo</v>
      </c>
      <c r="E1441" s="108" t="str">
        <f>+'LISTA DE INSUMOS'!C132</f>
        <v>M</v>
      </c>
      <c r="F1441" s="176">
        <v>6</v>
      </c>
      <c r="G1441" s="141">
        <f>'LISTA DE INSUMOS'!E132</f>
        <v>2979.6450687603597</v>
      </c>
      <c r="H1441" s="205">
        <f>1/3</f>
        <v>0.33333333333333331</v>
      </c>
      <c r="I1441" s="141">
        <f>ROUND((F1441*G1441*H1441),0)</f>
        <v>5959</v>
      </c>
      <c r="J1441" s="47"/>
      <c r="K1441" s="143"/>
    </row>
    <row r="1442" spans="2:40" ht="24.9" customHeight="1" thickTop="1" thickBot="1" x14ac:dyDescent="0.25">
      <c r="B1442" s="191" t="s">
        <v>1310</v>
      </c>
      <c r="C1442" s="108" t="str">
        <f>+B544</f>
        <v>ITE092</v>
      </c>
      <c r="D1442" s="139" t="str">
        <f>+D544</f>
        <v>Concreto de 20,7 Mpa (3000 psi) (producción)</v>
      </c>
      <c r="E1442" s="108" t="str">
        <f>+E544</f>
        <v>M3</v>
      </c>
      <c r="F1442" s="176">
        <v>1</v>
      </c>
      <c r="G1442" s="141">
        <f>+G544</f>
        <v>596118</v>
      </c>
      <c r="H1442" s="205">
        <v>1.05</v>
      </c>
      <c r="I1442" s="141">
        <f>ROUND((F1442*G1442*H1442),0)</f>
        <v>625924</v>
      </c>
      <c r="J1442" s="47"/>
      <c r="K1442" s="143"/>
    </row>
    <row r="1443" spans="2:40" ht="24.9" customHeight="1" thickTop="1" thickBot="1" x14ac:dyDescent="0.25">
      <c r="B1443" s="158" t="s">
        <v>1034</v>
      </c>
      <c r="C1443" s="108" t="str">
        <f>+'LISTA DE INSUMOS'!A16</f>
        <v>MOB013</v>
      </c>
      <c r="D1443" s="139" t="str">
        <f>+'LISTA DE INSUMOS'!B16</f>
        <v>Cuadrilla C 1 Of + 7 Ay (jornal + prestaciones)</v>
      </c>
      <c r="E1443" s="108" t="str">
        <f>+'LISTA DE INSUMOS'!C16</f>
        <v>Día</v>
      </c>
      <c r="F1443" s="140">
        <v>1</v>
      </c>
      <c r="G1443" s="141">
        <f>'LISTA DE INSUMOS'!E16</f>
        <v>736750</v>
      </c>
      <c r="H1443" s="108">
        <f>1/2.5</f>
        <v>0.4</v>
      </c>
      <c r="I1443" s="141">
        <f>ROUND((F1443*G1443*H1443),0)</f>
        <v>294700</v>
      </c>
      <c r="J1443" s="47"/>
      <c r="K1443" s="143"/>
    </row>
    <row r="1444" spans="2:40" ht="24.9" customHeight="1" thickTop="1" x14ac:dyDescent="0.2">
      <c r="B1444" s="674" t="s">
        <v>1033</v>
      </c>
      <c r="C1444" s="108" t="str">
        <f>+'LISTA DE INSUMOS'!A758</f>
        <v>EQU002</v>
      </c>
      <c r="D1444" s="139" t="str">
        <f>+'LISTA DE INSUMOS'!B758</f>
        <v>Herramienta menor (% mano obra)</v>
      </c>
      <c r="E1444" s="108" t="str">
        <f>+'LISTA DE INSUMOS'!C758</f>
        <v>%MO</v>
      </c>
      <c r="F1444" s="140">
        <v>0.1</v>
      </c>
      <c r="G1444" s="141">
        <f>I1443</f>
        <v>294700</v>
      </c>
      <c r="H1444" s="108">
        <v>0</v>
      </c>
      <c r="I1444" s="141">
        <f>ROUND((F1444*G1444),0)</f>
        <v>29470</v>
      </c>
      <c r="J1444" s="47"/>
      <c r="K1444" s="143"/>
    </row>
    <row r="1445" spans="2:40" ht="24.9" customHeight="1" x14ac:dyDescent="0.2">
      <c r="B1445" s="679"/>
      <c r="C1445" s="125" t="str">
        <f>+'LISTA DE INSUMOS'!A799</f>
        <v>EQU043</v>
      </c>
      <c r="D1445" s="155" t="str">
        <f>+'LISTA DE INSUMOS'!B799</f>
        <v>Tablero formaleta 70*140</v>
      </c>
      <c r="E1445" s="108" t="str">
        <f>+'LISTA DE INSUMOS'!C799</f>
        <v>Dia</v>
      </c>
      <c r="F1445" s="160">
        <v>25</v>
      </c>
      <c r="G1445" s="141">
        <f>+'LISTA DE INSUMOS'!E799</f>
        <v>910.28952299999992</v>
      </c>
      <c r="H1445" s="108">
        <v>1.5</v>
      </c>
      <c r="I1445" s="141">
        <f>ROUND((F1445*G1445*H1445),0)</f>
        <v>34136</v>
      </c>
      <c r="J1445" s="47"/>
      <c r="K1445" s="143"/>
    </row>
    <row r="1446" spans="2:40" ht="24.9" customHeight="1" thickBot="1" x14ac:dyDescent="0.25">
      <c r="B1446" s="675"/>
      <c r="C1446" s="108" t="str">
        <f>+'LISTA DE INSUMOS'!A775</f>
        <v>EQU018</v>
      </c>
      <c r="D1446" s="139" t="str">
        <f>+'LISTA DE INSUMOS'!B775</f>
        <v>Vibrador eléctrico o a gasolina</v>
      </c>
      <c r="E1446" s="108" t="str">
        <f>+'LISTA DE INSUMOS'!C775</f>
        <v>Día</v>
      </c>
      <c r="F1446" s="160">
        <v>1</v>
      </c>
      <c r="G1446" s="141">
        <f>'LISTA DE INSUMOS'!E775</f>
        <v>42234.2781968536</v>
      </c>
      <c r="H1446" s="108">
        <f>1/5</f>
        <v>0.2</v>
      </c>
      <c r="I1446" s="141">
        <f>ROUND((F1446*G1446*H1446),0)</f>
        <v>8447</v>
      </c>
      <c r="J1446" s="47"/>
      <c r="K1446" s="143"/>
    </row>
    <row r="1447" spans="2:40" ht="24.9" customHeight="1" thickTop="1" thickBot="1" x14ac:dyDescent="0.25">
      <c r="B1447" s="171" t="s">
        <v>421</v>
      </c>
      <c r="C1447" s="145" t="str">
        <f>+'LISTA DE INSUMOS'!A823</f>
        <v>ESY001</v>
      </c>
      <c r="D1447" s="146" t="str">
        <f>+'LISTA DE INSUMOS'!B823</f>
        <v>Ensayo resistencia concretos (un testigo)</v>
      </c>
      <c r="E1447" s="145" t="str">
        <f>+'LISTA DE INSUMOS'!C823</f>
        <v>Un</v>
      </c>
      <c r="F1447" s="172">
        <f>1/10*3</f>
        <v>0.30000000000000004</v>
      </c>
      <c r="G1447" s="173">
        <f>'LISTA DE INSUMOS'!E823</f>
        <v>29175.946249999997</v>
      </c>
      <c r="H1447" s="206">
        <v>0</v>
      </c>
      <c r="I1447" s="148">
        <f>ROUND((F1447*G1447),0)</f>
        <v>8753</v>
      </c>
      <c r="J1447" s="47"/>
      <c r="K1447" s="143"/>
    </row>
    <row r="1448" spans="2:40" ht="24.9" customHeight="1" x14ac:dyDescent="0.2">
      <c r="B1448" s="117" t="s">
        <v>1857</v>
      </c>
      <c r="C1448" s="117"/>
      <c r="D1448" s="112" t="s">
        <v>1530</v>
      </c>
      <c r="E1448" s="117" t="s">
        <v>2586</v>
      </c>
      <c r="F1448" s="149"/>
      <c r="G1448" s="119">
        <f>ROUND(SUM(I1448:I1451),0)</f>
        <v>505570</v>
      </c>
      <c r="H1448" s="120"/>
      <c r="I1448" s="119"/>
      <c r="J1448" s="47">
        <v>295392</v>
      </c>
      <c r="K1448" s="143"/>
      <c r="P1448" s="104">
        <v>345521</v>
      </c>
      <c r="AA1448" s="104">
        <v>291400</v>
      </c>
    </row>
    <row r="1449" spans="2:40" ht="24.9" customHeight="1" thickBot="1" x14ac:dyDescent="0.25">
      <c r="B1449" s="175" t="s">
        <v>1325</v>
      </c>
      <c r="C1449" s="108" t="str">
        <f>+'LISTA DE INSUMOS'!A34</f>
        <v>MAT005</v>
      </c>
      <c r="D1449" s="139" t="str">
        <f>+'LISTA DE INSUMOS'!B34</f>
        <v>Piedra media zonga</v>
      </c>
      <c r="E1449" s="108" t="str">
        <f>+'LISTA DE INSUMOS'!C34</f>
        <v>M3</v>
      </c>
      <c r="F1449" s="140">
        <v>0.4</v>
      </c>
      <c r="G1449" s="141">
        <f>'LISTA DE INSUMOS'!E34</f>
        <v>120549.00000000001</v>
      </c>
      <c r="H1449" s="108">
        <v>1.03</v>
      </c>
      <c r="I1449" s="141">
        <f>ROUND((F1449*G1449*H1449),0)</f>
        <v>49666</v>
      </c>
      <c r="J1449" s="47"/>
      <c r="K1449" s="143"/>
    </row>
    <row r="1450" spans="2:40" ht="24.9" customHeight="1" thickTop="1" thickBot="1" x14ac:dyDescent="0.25">
      <c r="B1450" s="191" t="s">
        <v>1310</v>
      </c>
      <c r="C1450" s="108" t="str">
        <f>+B544</f>
        <v>ITE092</v>
      </c>
      <c r="D1450" s="139" t="str">
        <f>+D544</f>
        <v>Concreto de 20,7 Mpa (3000 psi) (producción)</v>
      </c>
      <c r="E1450" s="108" t="str">
        <f>+E544</f>
        <v>M3</v>
      </c>
      <c r="F1450" s="140">
        <v>0.6</v>
      </c>
      <c r="G1450" s="141">
        <f>G544</f>
        <v>596118</v>
      </c>
      <c r="H1450" s="108">
        <v>0</v>
      </c>
      <c r="I1450" s="141">
        <f>ROUND((F1450*G1450),0)</f>
        <v>357671</v>
      </c>
      <c r="J1450" s="47"/>
      <c r="K1450" s="143"/>
    </row>
    <row r="1451" spans="2:40" ht="24.9" customHeight="1" thickTop="1" thickBot="1" x14ac:dyDescent="0.25">
      <c r="B1451" s="153" t="s">
        <v>1034</v>
      </c>
      <c r="C1451" s="145" t="str">
        <f>+'LISTA DE INSUMOS'!A9</f>
        <v>MOB006</v>
      </c>
      <c r="D1451" s="146" t="str">
        <f>+'LISTA DE INSUMOS'!B9</f>
        <v>Cuadrilla A 1 Of + 4 Ay (jornal + prestaciones)</v>
      </c>
      <c r="E1451" s="145" t="str">
        <f>+'LISTA DE INSUMOS'!C9</f>
        <v>Día</v>
      </c>
      <c r="F1451" s="147">
        <v>1</v>
      </c>
      <c r="G1451" s="148">
        <f>'LISTA DE INSUMOS'!E9</f>
        <v>491167</v>
      </c>
      <c r="H1451" s="145">
        <f>1/5</f>
        <v>0.2</v>
      </c>
      <c r="I1451" s="148">
        <f>ROUND((F1451*G1451*H1451),0)</f>
        <v>98233</v>
      </c>
      <c r="J1451" s="47"/>
      <c r="K1451" s="143"/>
    </row>
    <row r="1452" spans="2:40" ht="24.9" customHeight="1" x14ac:dyDescent="0.2">
      <c r="B1452" s="117" t="s">
        <v>1883</v>
      </c>
      <c r="C1452" s="117"/>
      <c r="D1452" s="112" t="s">
        <v>1754</v>
      </c>
      <c r="E1452" s="117" t="s">
        <v>2586</v>
      </c>
      <c r="F1452" s="118"/>
      <c r="G1452" s="119">
        <f>ROUND(SUM(I1452:I1458),0)</f>
        <v>667285</v>
      </c>
      <c r="H1452" s="120"/>
      <c r="I1452" s="119"/>
      <c r="J1452" s="47"/>
      <c r="K1452" s="143"/>
      <c r="R1452" s="104">
        <v>528353</v>
      </c>
      <c r="W1452" s="103">
        <f>796574-I1466</f>
        <v>793594</v>
      </c>
      <c r="AN1452" s="104">
        <v>320000</v>
      </c>
    </row>
    <row r="1453" spans="2:40" ht="24.9" customHeight="1" x14ac:dyDescent="0.2">
      <c r="B1453" s="672" t="s">
        <v>1035</v>
      </c>
      <c r="C1453" s="108" t="str">
        <f>+'LISTA DE INSUMOS'!A30</f>
        <v>MAT001</v>
      </c>
      <c r="D1453" s="139" t="str">
        <f>+'LISTA DE INSUMOS'!B30</f>
        <v>Cemento gris saco por 50 kilos, incluye cargue, descargue y transporte</v>
      </c>
      <c r="E1453" s="108" t="str">
        <f>+'LISTA DE INSUMOS'!C30</f>
        <v>Sc</v>
      </c>
      <c r="F1453" s="140">
        <v>12.5</v>
      </c>
      <c r="G1453" s="141">
        <f>'LISTA DE INSUMOS'!E30</f>
        <v>34500</v>
      </c>
      <c r="H1453" s="108">
        <v>1.03</v>
      </c>
      <c r="I1453" s="141">
        <f>ROUND((F1453*G1453*H1453),0)</f>
        <v>444188</v>
      </c>
      <c r="J1453" s="47"/>
      <c r="K1453" s="143"/>
    </row>
    <row r="1454" spans="2:40" ht="24.9" customHeight="1" x14ac:dyDescent="0.2">
      <c r="B1454" s="672"/>
      <c r="C1454" s="108" t="str">
        <f>+'LISTA DE INSUMOS'!A32</f>
        <v>MAT003</v>
      </c>
      <c r="D1454" s="139" t="str">
        <f>+'LISTA DE INSUMOS'!B32</f>
        <v>Arena</v>
      </c>
      <c r="E1454" s="108" t="str">
        <f>+'LISTA DE INSUMOS'!C32</f>
        <v>M3</v>
      </c>
      <c r="F1454" s="140">
        <v>0.97</v>
      </c>
      <c r="G1454" s="141">
        <f>'LISTA DE INSUMOS'!E32</f>
        <v>112536.56002875</v>
      </c>
      <c r="H1454" s="108">
        <v>1.03</v>
      </c>
      <c r="I1454" s="141">
        <f>ROUND((F1454*G1454*H1454),0)</f>
        <v>112435</v>
      </c>
      <c r="J1454" s="47"/>
      <c r="K1454" s="143"/>
    </row>
    <row r="1455" spans="2:40" ht="24.9" customHeight="1" thickBot="1" x14ac:dyDescent="0.25">
      <c r="B1455" s="673"/>
      <c r="C1455" s="108" t="str">
        <f>+'LISTA DE INSUMOS'!A42</f>
        <v>MAT013</v>
      </c>
      <c r="D1455" s="139" t="str">
        <f>+'LISTA DE INSUMOS'!B42</f>
        <v xml:space="preserve">Agua </v>
      </c>
      <c r="E1455" s="108" t="str">
        <f>+'LISTA DE INSUMOS'!C42</f>
        <v>Lt</v>
      </c>
      <c r="F1455" s="140">
        <v>250</v>
      </c>
      <c r="G1455" s="141">
        <f>+'LISTA DE INSUMOS'!E42</f>
        <v>96.828790046226644</v>
      </c>
      <c r="H1455" s="108">
        <v>1.03</v>
      </c>
      <c r="I1455" s="141">
        <f>ROUND((F1455*G1455*H1455),0)</f>
        <v>24933</v>
      </c>
      <c r="J1455" s="47"/>
      <c r="K1455" s="143"/>
    </row>
    <row r="1456" spans="2:40" ht="24.9" customHeight="1" thickTop="1" thickBot="1" x14ac:dyDescent="0.25">
      <c r="B1456" s="191" t="s">
        <v>1310</v>
      </c>
      <c r="C1456" s="108" t="s">
        <v>1450</v>
      </c>
      <c r="D1456" s="436" t="str">
        <f>D336</f>
        <v xml:space="preserve">Transporte material &lt; 40 Km </v>
      </c>
      <c r="E1456" s="108" t="str">
        <f>E336</f>
        <v>M3-Km</v>
      </c>
      <c r="F1456" s="143">
        <f>SUM(F1454)*20</f>
        <v>19.399999999999999</v>
      </c>
      <c r="G1456" s="143">
        <f>G336</f>
        <v>1634</v>
      </c>
      <c r="H1456" s="108">
        <v>1</v>
      </c>
      <c r="I1456" s="141">
        <f>ROUND((F1456*G1456*H1456),0)</f>
        <v>31700</v>
      </c>
      <c r="J1456" s="47"/>
      <c r="K1456" s="143"/>
    </row>
    <row r="1457" spans="2:40" ht="24.9" customHeight="1" thickTop="1" thickBot="1" x14ac:dyDescent="0.25">
      <c r="B1457" s="158" t="s">
        <v>1034</v>
      </c>
      <c r="C1457" s="125" t="str">
        <f>+'LISTA DE INSUMOS'!A9</f>
        <v>MOB006</v>
      </c>
      <c r="D1457" s="155" t="str">
        <f>+'LISTA DE INSUMOS'!B9</f>
        <v>Cuadrilla A 1 Of + 4 Ay (jornal + prestaciones)</v>
      </c>
      <c r="E1457" s="108" t="str">
        <f>+'LISTA DE INSUMOS'!C9</f>
        <v>Día</v>
      </c>
      <c r="F1457" s="140">
        <v>1</v>
      </c>
      <c r="G1457" s="141">
        <f>'LISTA DE INSUMOS'!E9</f>
        <v>491167</v>
      </c>
      <c r="H1457" s="108">
        <f>1/10</f>
        <v>0.1</v>
      </c>
      <c r="I1457" s="141">
        <f>ROUND((F1457*G1457*H1457),0)</f>
        <v>49117</v>
      </c>
      <c r="J1457" s="47"/>
      <c r="K1457" s="143"/>
    </row>
    <row r="1458" spans="2:40" ht="24.9" customHeight="1" thickTop="1" thickBot="1" x14ac:dyDescent="0.25">
      <c r="B1458" s="150" t="s">
        <v>1033</v>
      </c>
      <c r="C1458" s="145" t="str">
        <f>+'LISTA DE INSUMOS'!A758</f>
        <v>EQU002</v>
      </c>
      <c r="D1458" s="146" t="str">
        <f>+'LISTA DE INSUMOS'!B758</f>
        <v>Herramienta menor (% mano obra)</v>
      </c>
      <c r="E1458" s="145" t="str">
        <f>+'LISTA DE INSUMOS'!C758</f>
        <v>%MO</v>
      </c>
      <c r="F1458" s="147">
        <v>0.1</v>
      </c>
      <c r="G1458" s="148">
        <f>I1457</f>
        <v>49117</v>
      </c>
      <c r="H1458" s="145">
        <v>0</v>
      </c>
      <c r="I1458" s="148">
        <f>ROUND((F1458*G1458),0)</f>
        <v>4912</v>
      </c>
      <c r="J1458" s="47"/>
      <c r="K1458" s="143"/>
    </row>
    <row r="1459" spans="2:40" ht="24.9" customHeight="1" x14ac:dyDescent="0.2">
      <c r="B1459" s="117" t="s">
        <v>1689</v>
      </c>
      <c r="C1459" s="193"/>
      <c r="D1459" s="221" t="s">
        <v>1760</v>
      </c>
      <c r="E1459" s="193" t="s">
        <v>2586</v>
      </c>
      <c r="F1459" s="222"/>
      <c r="G1459" s="223">
        <f>ROUND(SUM(I1459:I1464),0)</f>
        <v>484026</v>
      </c>
      <c r="H1459" s="224"/>
      <c r="I1459" s="223"/>
      <c r="J1459" s="47"/>
      <c r="K1459" s="143"/>
      <c r="L1459" s="104">
        <f>279117+28186+2819</f>
        <v>310122</v>
      </c>
      <c r="M1459" s="104">
        <v>290103</v>
      </c>
      <c r="O1459" s="104">
        <f>470000-258540</f>
        <v>211460</v>
      </c>
      <c r="P1459" s="104">
        <v>275738</v>
      </c>
      <c r="W1459" s="104">
        <f>494629-258540</f>
        <v>236089</v>
      </c>
      <c r="Y1459" s="104">
        <v>320000</v>
      </c>
      <c r="Z1459" s="104">
        <v>349508</v>
      </c>
      <c r="AA1459" s="104">
        <v>347000</v>
      </c>
      <c r="AD1459" s="104">
        <v>280834</v>
      </c>
      <c r="AE1459" s="104">
        <v>302392</v>
      </c>
      <c r="AF1459" s="104">
        <v>262100</v>
      </c>
      <c r="AG1459" s="104">
        <v>350010</v>
      </c>
      <c r="AL1459" s="104">
        <v>456229</v>
      </c>
      <c r="AM1459" s="104">
        <v>317980</v>
      </c>
      <c r="AN1459" s="104">
        <v>320000</v>
      </c>
    </row>
    <row r="1460" spans="2:40" ht="24.9" customHeight="1" x14ac:dyDescent="0.2">
      <c r="B1460" s="657" t="s">
        <v>1325</v>
      </c>
      <c r="C1460" s="108" t="str">
        <f>+'LISTA DE INSUMOS'!A30</f>
        <v>MAT001</v>
      </c>
      <c r="D1460" s="139" t="str">
        <f>+'LISTA DE INSUMOS'!B30</f>
        <v>Cemento gris saco por 50 kilos, incluye cargue, descargue y transporte</v>
      </c>
      <c r="E1460" s="108" t="str">
        <f>+'LISTA DE INSUMOS'!C30</f>
        <v>Sc</v>
      </c>
      <c r="F1460" s="140">
        <v>7.25</v>
      </c>
      <c r="G1460" s="141">
        <f>'LISTA DE INSUMOS'!E30</f>
        <v>34500</v>
      </c>
      <c r="H1460" s="108">
        <v>1.03</v>
      </c>
      <c r="I1460" s="141">
        <f>ROUND((F1460*G1460*H1460),0)</f>
        <v>257629</v>
      </c>
      <c r="J1460" s="47"/>
      <c r="K1460" s="143"/>
    </row>
    <row r="1461" spans="2:40" ht="24.9" customHeight="1" thickBot="1" x14ac:dyDescent="0.25">
      <c r="B1461" s="659"/>
      <c r="C1461" s="108" t="str">
        <f>+'LISTA DE INSUMOS'!A32</f>
        <v>MAT003</v>
      </c>
      <c r="D1461" s="139" t="str">
        <f>+'LISTA DE INSUMOS'!B32</f>
        <v>Arena</v>
      </c>
      <c r="E1461" s="108" t="str">
        <f>+'LISTA DE INSUMOS'!C32</f>
        <v>M3</v>
      </c>
      <c r="F1461" s="140">
        <v>1.1599999999999999</v>
      </c>
      <c r="G1461" s="141">
        <f>'LISTA DE INSUMOS'!E32</f>
        <v>112536.56002875</v>
      </c>
      <c r="H1461" s="108">
        <v>1.03</v>
      </c>
      <c r="I1461" s="141">
        <f>ROUND((F1461*G1461*H1461),0)</f>
        <v>134459</v>
      </c>
      <c r="J1461" s="47"/>
      <c r="K1461" s="143"/>
    </row>
    <row r="1462" spans="2:40" ht="24.9" customHeight="1" thickTop="1" thickBot="1" x14ac:dyDescent="0.25">
      <c r="B1462" s="191" t="s">
        <v>1310</v>
      </c>
      <c r="C1462" s="108" t="s">
        <v>1450</v>
      </c>
      <c r="D1462" s="436" t="str">
        <f>D336</f>
        <v xml:space="preserve">Transporte material &lt; 40 Km </v>
      </c>
      <c r="E1462" s="108" t="str">
        <f>E336</f>
        <v>M3-Km</v>
      </c>
      <c r="F1462" s="143">
        <f>SUM(F1461)*20</f>
        <v>23.2</v>
      </c>
      <c r="G1462" s="143">
        <f>G336</f>
        <v>1634</v>
      </c>
      <c r="H1462" s="108">
        <v>1</v>
      </c>
      <c r="I1462" s="141">
        <f>ROUND((F1462*G1462*H1462),0)</f>
        <v>37909</v>
      </c>
      <c r="J1462" s="47"/>
      <c r="K1462" s="143"/>
    </row>
    <row r="1463" spans="2:40" ht="24.9" customHeight="1" thickTop="1" thickBot="1" x14ac:dyDescent="0.25">
      <c r="B1463" s="158" t="s">
        <v>1034</v>
      </c>
      <c r="C1463" s="125" t="str">
        <f>+'LISTA DE INSUMOS'!A9</f>
        <v>MOB006</v>
      </c>
      <c r="D1463" s="155" t="str">
        <f>+'LISTA DE INSUMOS'!B9</f>
        <v>Cuadrilla A 1 Of + 4 Ay (jornal + prestaciones)</v>
      </c>
      <c r="E1463" s="108" t="str">
        <f>+'LISTA DE INSUMOS'!C9</f>
        <v>Día</v>
      </c>
      <c r="F1463" s="140">
        <v>1</v>
      </c>
      <c r="G1463" s="141">
        <f>'LISTA DE INSUMOS'!E9</f>
        <v>491167</v>
      </c>
      <c r="H1463" s="108">
        <f>1/10</f>
        <v>0.1</v>
      </c>
      <c r="I1463" s="141">
        <f>ROUND((F1463*G1463*H1463),0)</f>
        <v>49117</v>
      </c>
      <c r="J1463" s="47"/>
      <c r="K1463" s="143"/>
    </row>
    <row r="1464" spans="2:40" ht="24.9" customHeight="1" thickTop="1" thickBot="1" x14ac:dyDescent="0.25">
      <c r="B1464" s="150" t="s">
        <v>1033</v>
      </c>
      <c r="C1464" s="145" t="str">
        <f>+'LISTA DE INSUMOS'!A758</f>
        <v>EQU002</v>
      </c>
      <c r="D1464" s="146" t="str">
        <f>+'LISTA DE INSUMOS'!B758</f>
        <v>Herramienta menor (% mano obra)</v>
      </c>
      <c r="E1464" s="145" t="str">
        <f>+'LISTA DE INSUMOS'!C758</f>
        <v>%MO</v>
      </c>
      <c r="F1464" s="147">
        <v>0.1</v>
      </c>
      <c r="G1464" s="148">
        <f>I1463</f>
        <v>49117</v>
      </c>
      <c r="H1464" s="145">
        <v>0</v>
      </c>
      <c r="I1464" s="148">
        <f>ROUND((F1464*G1464),0)</f>
        <v>4912</v>
      </c>
      <c r="J1464" s="47"/>
      <c r="K1464" s="143"/>
    </row>
    <row r="1465" spans="2:40" ht="24.9" customHeight="1" x14ac:dyDescent="0.2">
      <c r="B1465" s="117" t="s">
        <v>1439</v>
      </c>
      <c r="C1465" s="117"/>
      <c r="D1465" s="112" t="s">
        <v>1758</v>
      </c>
      <c r="E1465" s="117" t="s">
        <v>2586</v>
      </c>
      <c r="F1465" s="149"/>
      <c r="G1465" s="119">
        <f>ROUND(SUM(I1465:I1467),0)</f>
        <v>583886</v>
      </c>
      <c r="H1465" s="120"/>
      <c r="I1465" s="119"/>
      <c r="J1465" s="47"/>
      <c r="K1465" s="143"/>
      <c r="O1465" s="104">
        <v>540000</v>
      </c>
      <c r="AA1465" s="104">
        <v>380000</v>
      </c>
      <c r="AD1465" s="104">
        <v>602022</v>
      </c>
      <c r="AM1465" s="104">
        <v>538439</v>
      </c>
    </row>
    <row r="1466" spans="2:40" ht="24.9" customHeight="1" thickBot="1" x14ac:dyDescent="0.25">
      <c r="B1466" s="175" t="s">
        <v>1325</v>
      </c>
      <c r="C1466" s="108" t="str">
        <f>+'LISTA DE INSUMOS'!A70</f>
        <v>MAT037</v>
      </c>
      <c r="D1466" s="139" t="str">
        <f>+'LISTA DE INSUMOS'!B70</f>
        <v>Impermeabilizante para mortero (Sika 1 o similar)</v>
      </c>
      <c r="E1466" s="108" t="str">
        <f>+'LISTA DE INSUMOS'!C70</f>
        <v>Kg</v>
      </c>
      <c r="F1466" s="140">
        <f>2*2*0.03</f>
        <v>0.12</v>
      </c>
      <c r="G1466" s="141">
        <f>'LISTA DE INSUMOS'!E376</f>
        <v>24109.941066665848</v>
      </c>
      <c r="H1466" s="108">
        <v>1.03</v>
      </c>
      <c r="I1466" s="141">
        <f>ROUND((F1466*G1466*H1466),0)</f>
        <v>2980</v>
      </c>
      <c r="J1466" s="47"/>
      <c r="K1466" s="143"/>
    </row>
    <row r="1467" spans="2:40" ht="24.9" customHeight="1" thickTop="1" thickBot="1" x14ac:dyDescent="0.25">
      <c r="B1467" s="233" t="s">
        <v>1310</v>
      </c>
      <c r="C1467" s="145" t="str">
        <f>+B574</f>
        <v>ITE96</v>
      </c>
      <c r="D1467" s="146" t="str">
        <f>+D574</f>
        <v>Mortero 1:3 (producción)</v>
      </c>
      <c r="E1467" s="145" t="str">
        <f>+E574</f>
        <v>M3</v>
      </c>
      <c r="F1467" s="147">
        <v>1</v>
      </c>
      <c r="G1467" s="148">
        <f>G574</f>
        <v>580906</v>
      </c>
      <c r="H1467" s="145">
        <v>0</v>
      </c>
      <c r="I1467" s="148">
        <f>ROUND((F1467*G1467),0)</f>
        <v>580906</v>
      </c>
      <c r="J1467" s="47"/>
      <c r="K1467" s="143"/>
    </row>
    <row r="1468" spans="2:40" ht="24.9" customHeight="1" x14ac:dyDescent="0.2">
      <c r="B1468" s="193" t="s">
        <v>1879</v>
      </c>
      <c r="C1468" s="193"/>
      <c r="D1468" s="221" t="s">
        <v>70</v>
      </c>
      <c r="E1468" s="193" t="s">
        <v>2586</v>
      </c>
      <c r="F1468" s="222"/>
      <c r="G1468" s="223">
        <f>ROUND(SUM(I1468:I1473),0)</f>
        <v>445550</v>
      </c>
      <c r="H1468" s="224"/>
      <c r="I1468" s="223"/>
      <c r="J1468" s="47"/>
      <c r="K1468" s="143"/>
      <c r="S1468" s="104">
        <v>255990</v>
      </c>
      <c r="AA1468" s="104">
        <v>313000</v>
      </c>
      <c r="AE1468" s="104">
        <v>264288</v>
      </c>
    </row>
    <row r="1469" spans="2:40" ht="24.9" customHeight="1" x14ac:dyDescent="0.2">
      <c r="B1469" s="657" t="s">
        <v>1325</v>
      </c>
      <c r="C1469" s="108" t="str">
        <f>+'LISTA DE INSUMOS'!A30</f>
        <v>MAT001</v>
      </c>
      <c r="D1469" s="139" t="str">
        <f>+'LISTA DE INSUMOS'!B30</f>
        <v>Cemento gris saco por 50 kilos, incluye cargue, descargue y transporte</v>
      </c>
      <c r="E1469" s="108" t="str">
        <f>+'LISTA DE INSUMOS'!C30</f>
        <v>Sc</v>
      </c>
      <c r="F1469" s="140">
        <v>6</v>
      </c>
      <c r="G1469" s="141">
        <f>+'LISTA DE INSUMOS'!E30</f>
        <v>34500</v>
      </c>
      <c r="H1469" s="108">
        <v>1.03</v>
      </c>
      <c r="I1469" s="141">
        <f>ROUND((F1469*G1469*H1469),0)</f>
        <v>213210</v>
      </c>
      <c r="J1469" s="47"/>
      <c r="K1469" s="143"/>
    </row>
    <row r="1470" spans="2:40" ht="24.9" customHeight="1" thickBot="1" x14ac:dyDescent="0.25">
      <c r="B1470" s="659"/>
      <c r="C1470" s="108" t="str">
        <f>+'LISTA DE INSUMOS'!A32</f>
        <v>MAT003</v>
      </c>
      <c r="D1470" s="139" t="str">
        <f>+'LISTA DE INSUMOS'!B32</f>
        <v>Arena</v>
      </c>
      <c r="E1470" s="108" t="str">
        <f>+'LISTA DE INSUMOS'!C32</f>
        <v>M3</v>
      </c>
      <c r="F1470" s="140">
        <v>1.2</v>
      </c>
      <c r="G1470" s="141">
        <f>+'LISTA DE INSUMOS'!E32</f>
        <v>112536.56002875</v>
      </c>
      <c r="H1470" s="108">
        <v>1.03</v>
      </c>
      <c r="I1470" s="141">
        <f>ROUND((F1470*G1470*H1470),0)</f>
        <v>139095</v>
      </c>
      <c r="J1470" s="47"/>
      <c r="K1470" s="143"/>
    </row>
    <row r="1471" spans="2:40" ht="24.9" customHeight="1" thickTop="1" thickBot="1" x14ac:dyDescent="0.25">
      <c r="B1471" s="191" t="s">
        <v>1310</v>
      </c>
      <c r="C1471" s="108" t="s">
        <v>1450</v>
      </c>
      <c r="D1471" s="436" t="str">
        <f>D336</f>
        <v xml:space="preserve">Transporte material &lt; 40 Km </v>
      </c>
      <c r="E1471" s="108" t="str">
        <f>E336</f>
        <v>M3-Km</v>
      </c>
      <c r="F1471" s="143">
        <f>SUM(F1470)*20</f>
        <v>24</v>
      </c>
      <c r="G1471" s="143">
        <f>G336</f>
        <v>1634</v>
      </c>
      <c r="H1471" s="108">
        <v>1</v>
      </c>
      <c r="I1471" s="141">
        <f>ROUND((F1471*G1471*H1471),0)</f>
        <v>39216</v>
      </c>
      <c r="J1471" s="47"/>
      <c r="K1471" s="143"/>
    </row>
    <row r="1472" spans="2:40" ht="24.9" customHeight="1" thickTop="1" thickBot="1" x14ac:dyDescent="0.25">
      <c r="B1472" s="158" t="s">
        <v>1034</v>
      </c>
      <c r="C1472" s="125" t="str">
        <f>+'LISTA DE INSUMOS'!A9</f>
        <v>MOB006</v>
      </c>
      <c r="D1472" s="155" t="str">
        <f>+'LISTA DE INSUMOS'!B9</f>
        <v>Cuadrilla A 1 Of + 4 Ay (jornal + prestaciones)</v>
      </c>
      <c r="E1472" s="108" t="str">
        <f>+'LISTA DE INSUMOS'!C9</f>
        <v>Día</v>
      </c>
      <c r="F1472" s="140">
        <v>1</v>
      </c>
      <c r="G1472" s="141">
        <f>+'LISTA DE INSUMOS'!E9</f>
        <v>491167</v>
      </c>
      <c r="H1472" s="108">
        <f>1/10</f>
        <v>0.1</v>
      </c>
      <c r="I1472" s="141">
        <f>ROUND((F1472*G1472*H1472),0)</f>
        <v>49117</v>
      </c>
      <c r="J1472" s="47"/>
      <c r="K1472" s="143"/>
    </row>
    <row r="1473" spans="2:11" ht="24.9" customHeight="1" thickTop="1" thickBot="1" x14ac:dyDescent="0.25">
      <c r="B1473" s="150" t="s">
        <v>1033</v>
      </c>
      <c r="C1473" s="145" t="str">
        <f>+'LISTA DE INSUMOS'!A758</f>
        <v>EQU002</v>
      </c>
      <c r="D1473" s="146" t="str">
        <f>+'LISTA DE INSUMOS'!B758</f>
        <v>Herramienta menor (% mano obra)</v>
      </c>
      <c r="E1473" s="145" t="str">
        <f>+'LISTA DE INSUMOS'!C758</f>
        <v>%MO</v>
      </c>
      <c r="F1473" s="147">
        <v>0.1</v>
      </c>
      <c r="G1473" s="148">
        <f>I1472</f>
        <v>49117</v>
      </c>
      <c r="H1473" s="145">
        <v>0</v>
      </c>
      <c r="I1473" s="148">
        <f>ROUND((F1473*G1473),0)</f>
        <v>4912</v>
      </c>
      <c r="J1473" s="47"/>
      <c r="K1473" s="143"/>
    </row>
    <row r="1474" spans="2:11" ht="24.9" customHeight="1" x14ac:dyDescent="0.2">
      <c r="B1474" s="117" t="s">
        <v>1858</v>
      </c>
      <c r="C1474" s="117"/>
      <c r="D1474" s="112" t="s">
        <v>2621</v>
      </c>
      <c r="E1474" s="117" t="s">
        <v>2586</v>
      </c>
      <c r="F1474" s="149"/>
      <c r="G1474" s="119">
        <f>ROUND(SUM(I1474:I1477),0)</f>
        <v>620896</v>
      </c>
      <c r="H1474" s="120"/>
      <c r="I1474" s="119"/>
      <c r="J1474" s="47">
        <v>505130</v>
      </c>
      <c r="K1474" s="143"/>
    </row>
    <row r="1475" spans="2:11" ht="24.9" customHeight="1" thickBot="1" x14ac:dyDescent="0.25">
      <c r="B1475" s="191" t="s">
        <v>1310</v>
      </c>
      <c r="C1475" s="108" t="str">
        <f>+B1448</f>
        <v>ITE160</v>
      </c>
      <c r="D1475" s="139" t="str">
        <f>+D1448</f>
        <v>Concreto ciclópeo (producción)</v>
      </c>
      <c r="E1475" s="108" t="str">
        <f>+E1448</f>
        <v>M3</v>
      </c>
      <c r="F1475" s="140">
        <v>1</v>
      </c>
      <c r="G1475" s="141">
        <f>G1448</f>
        <v>505570</v>
      </c>
      <c r="H1475" s="108">
        <v>1.05</v>
      </c>
      <c r="I1475" s="141">
        <f>ROUND((F1475*G1475*H1475),0)</f>
        <v>530849</v>
      </c>
      <c r="J1475" s="47"/>
      <c r="K1475" s="143"/>
    </row>
    <row r="1476" spans="2:11" ht="24.9" customHeight="1" thickTop="1" thickBot="1" x14ac:dyDescent="0.25">
      <c r="B1476" s="158" t="s">
        <v>1034</v>
      </c>
      <c r="C1476" s="108" t="str">
        <f>+'LISTA DE INSUMOS'!A9</f>
        <v>MOB006</v>
      </c>
      <c r="D1476" s="139" t="str">
        <f>+'LISTA DE INSUMOS'!B9</f>
        <v>Cuadrilla A 1 Of + 4 Ay (jornal + prestaciones)</v>
      </c>
      <c r="E1476" s="108" t="str">
        <f>+'LISTA DE INSUMOS'!C9</f>
        <v>Día</v>
      </c>
      <c r="F1476" s="140">
        <v>1</v>
      </c>
      <c r="G1476" s="141">
        <f>'LISTA DE INSUMOS'!E9</f>
        <v>491167</v>
      </c>
      <c r="H1476" s="108">
        <f>1/6</f>
        <v>0.16666666666666666</v>
      </c>
      <c r="I1476" s="141">
        <f>ROUND((F1476*G1476*H1476),0)</f>
        <v>81861</v>
      </c>
      <c r="J1476" s="47"/>
      <c r="K1476" s="143"/>
    </row>
    <row r="1477" spans="2:11" ht="24.9" customHeight="1" thickTop="1" thickBot="1" x14ac:dyDescent="0.25">
      <c r="B1477" s="150" t="s">
        <v>1033</v>
      </c>
      <c r="C1477" s="145" t="str">
        <f>+'LISTA DE INSUMOS'!A758</f>
        <v>EQU002</v>
      </c>
      <c r="D1477" s="146" t="str">
        <f>+'LISTA DE INSUMOS'!B758</f>
        <v>Herramienta menor (% mano obra)</v>
      </c>
      <c r="E1477" s="145" t="str">
        <f>+'LISTA DE INSUMOS'!C758</f>
        <v>%MO</v>
      </c>
      <c r="F1477" s="147">
        <v>0.1</v>
      </c>
      <c r="G1477" s="148">
        <f>I1476</f>
        <v>81861</v>
      </c>
      <c r="H1477" s="145">
        <v>0</v>
      </c>
      <c r="I1477" s="148">
        <f>ROUND((F1477*G1477),0)</f>
        <v>8186</v>
      </c>
      <c r="J1477" s="47"/>
      <c r="K1477" s="143"/>
    </row>
    <row r="1478" spans="2:11" ht="24.9" customHeight="1" x14ac:dyDescent="0.2">
      <c r="B1478" s="117" t="s">
        <v>1854</v>
      </c>
      <c r="C1478" s="117"/>
      <c r="D1478" s="112" t="s">
        <v>2622</v>
      </c>
      <c r="E1478" s="117" t="s">
        <v>2586</v>
      </c>
      <c r="F1478" s="118"/>
      <c r="G1478" s="119">
        <f>ROUND(SUM(I1478:I1488),0)</f>
        <v>721246</v>
      </c>
      <c r="H1478" s="120"/>
      <c r="I1478" s="119"/>
      <c r="J1478" s="47"/>
      <c r="K1478" s="143"/>
    </row>
    <row r="1479" spans="2:11" ht="24.9" customHeight="1" x14ac:dyDescent="0.2">
      <c r="B1479" s="672" t="s">
        <v>1035</v>
      </c>
      <c r="C1479" s="108" t="str">
        <f>+'LISTA DE INSUMOS'!A46</f>
        <v>MAT017</v>
      </c>
      <c r="D1479" s="139" t="str">
        <f>+'LISTA DE INSUMOS'!B46</f>
        <v>Tabla para formaleta de 1" x 10" x 2,9 m</v>
      </c>
      <c r="E1479" s="108" t="str">
        <f>+'LISTA DE INSUMOS'!C46</f>
        <v>M</v>
      </c>
      <c r="F1479" s="140">
        <v>8</v>
      </c>
      <c r="G1479" s="141">
        <f>'LISTA DE INSUMOS'!E46</f>
        <v>8112.0359999999991</v>
      </c>
      <c r="H1479" s="108">
        <f>1/3</f>
        <v>0.33333333333333331</v>
      </c>
      <c r="I1479" s="141">
        <f>ROUND((F1479*G1479*H1479),0)</f>
        <v>21632</v>
      </c>
      <c r="J1479" s="47"/>
      <c r="K1479" s="143"/>
    </row>
    <row r="1480" spans="2:11" ht="24.9" customHeight="1" x14ac:dyDescent="0.2">
      <c r="B1480" s="672"/>
      <c r="C1480" s="108" t="str">
        <f>+'LISTA DE INSUMOS'!A49</f>
        <v>MAT018</v>
      </c>
      <c r="D1480" s="139" t="str">
        <f>+'LISTA DE INSUMOS'!B49</f>
        <v>Cuartón de sajo 2" x 4" x 2,9 m</v>
      </c>
      <c r="E1480" s="108" t="str">
        <f>+'LISTA DE INSUMOS'!C49</f>
        <v>M</v>
      </c>
      <c r="F1480" s="140">
        <v>3</v>
      </c>
      <c r="G1480" s="141">
        <f>'LISTA DE INSUMOS'!E49</f>
        <v>11944.810644542158</v>
      </c>
      <c r="H1480" s="108">
        <f>1/3</f>
        <v>0.33333333333333331</v>
      </c>
      <c r="I1480" s="141">
        <f>ROUND((F1480*G1480*H1480),0)</f>
        <v>11945</v>
      </c>
      <c r="J1480" s="47"/>
      <c r="K1480" s="143"/>
    </row>
    <row r="1481" spans="2:11" ht="24.9" customHeight="1" x14ac:dyDescent="0.2">
      <c r="B1481" s="672"/>
      <c r="C1481" s="108" t="str">
        <f>+'LISTA DE INSUMOS'!A51</f>
        <v>MAT020</v>
      </c>
      <c r="D1481" s="139" t="str">
        <f>+'LISTA DE INSUMOS'!B51</f>
        <v>Guadua basa longitud promedio = 5 m</v>
      </c>
      <c r="E1481" s="108" t="str">
        <f>+'LISTA DE INSUMOS'!C51</f>
        <v>Un</v>
      </c>
      <c r="F1481" s="140">
        <v>2</v>
      </c>
      <c r="G1481" s="141">
        <f>'LISTA DE INSUMOS'!E51</f>
        <v>8662.3499999999985</v>
      </c>
      <c r="H1481" s="108">
        <f>1/3</f>
        <v>0.33333333333333331</v>
      </c>
      <c r="I1481" s="141">
        <f>ROUND((F1481*G1481*H1481),0)</f>
        <v>5775</v>
      </c>
      <c r="J1481" s="47"/>
      <c r="K1481" s="143"/>
    </row>
    <row r="1482" spans="2:11" ht="24.9" customHeight="1" x14ac:dyDescent="0.2">
      <c r="B1482" s="672"/>
      <c r="C1482" s="108" t="str">
        <f>+'LISTA DE INSUMOS'!A52</f>
        <v>MAT021</v>
      </c>
      <c r="D1482" s="139" t="str">
        <f>+'LISTA DE INSUMOS'!B52</f>
        <v>Puntilla (promedio)</v>
      </c>
      <c r="E1482" s="108" t="str">
        <f>+'LISTA DE INSUMOS'!C52</f>
        <v>Lb</v>
      </c>
      <c r="F1482" s="140">
        <v>0.6</v>
      </c>
      <c r="G1482" s="141">
        <f>'LISTA DE INSUMOS'!E52</f>
        <v>6690.6972299999998</v>
      </c>
      <c r="H1482" s="108">
        <v>0</v>
      </c>
      <c r="I1482" s="141">
        <f>ROUND((F1482*G1482),0)</f>
        <v>4014</v>
      </c>
      <c r="J1482" s="47"/>
      <c r="K1482" s="143"/>
    </row>
    <row r="1483" spans="2:11" ht="24.9" customHeight="1" x14ac:dyDescent="0.2">
      <c r="B1483" s="672"/>
      <c r="C1483" s="108" t="str">
        <f>+'LISTA DE INSUMOS'!A53</f>
        <v>MAT022</v>
      </c>
      <c r="D1483" s="139" t="str">
        <f>+'LISTA DE INSUMOS'!B53</f>
        <v>Alambre negro calibre 17</v>
      </c>
      <c r="E1483" s="108" t="str">
        <f>+'LISTA DE INSUMOS'!C53</f>
        <v>Kg</v>
      </c>
      <c r="F1483" s="140">
        <v>0.2</v>
      </c>
      <c r="G1483" s="141">
        <f>'LISTA DE INSUMOS'!E53</f>
        <v>7948.98</v>
      </c>
      <c r="H1483" s="108">
        <v>0</v>
      </c>
      <c r="I1483" s="141">
        <f>ROUND((F1483*G1483),0)</f>
        <v>1590</v>
      </c>
      <c r="J1483" s="47"/>
      <c r="K1483" s="143"/>
    </row>
    <row r="1484" spans="2:11" ht="24.9" customHeight="1" x14ac:dyDescent="0.2">
      <c r="B1484" s="672"/>
      <c r="C1484" s="108" t="str">
        <f>+'LISTA DE INSUMOS'!A93</f>
        <v>MAT051</v>
      </c>
      <c r="D1484" s="139" t="str">
        <f>+'LISTA DE INSUMOS'!B93</f>
        <v>Antisol blanco</v>
      </c>
      <c r="E1484" s="108" t="str">
        <f>+'LISTA DE INSUMOS'!C93</f>
        <v>Kg</v>
      </c>
      <c r="F1484" s="140">
        <v>2.5</v>
      </c>
      <c r="G1484" s="141">
        <f>+'LISTA DE INSUMOS'!E93</f>
        <v>11510.734499999999</v>
      </c>
      <c r="H1484" s="108">
        <v>1.03</v>
      </c>
      <c r="I1484" s="141">
        <f>ROUND((F1484*G1484*H1484),0)</f>
        <v>29640</v>
      </c>
      <c r="J1484" s="47"/>
      <c r="K1484" s="143"/>
    </row>
    <row r="1485" spans="2:11" ht="24.9" customHeight="1" thickBot="1" x14ac:dyDescent="0.25">
      <c r="B1485" s="673"/>
      <c r="C1485" s="108" t="str">
        <f>+'LISTA DE INSUMOS'!A67</f>
        <v>MAT034</v>
      </c>
      <c r="D1485" s="139" t="str">
        <f>+'LISTA DE INSUMOS'!B67</f>
        <v>ACPM</v>
      </c>
      <c r="E1485" s="108" t="str">
        <f>+'LISTA DE INSUMOS'!C67</f>
        <v>Gl</v>
      </c>
      <c r="F1485" s="140">
        <v>0.8</v>
      </c>
      <c r="G1485" s="141">
        <f>'LISTA DE INSUMOS'!E67</f>
        <v>9681.4499999999989</v>
      </c>
      <c r="H1485" s="108">
        <v>0</v>
      </c>
      <c r="I1485" s="141">
        <f>ROUND((F1485*G1485),0)</f>
        <v>7745</v>
      </c>
      <c r="J1485" s="47"/>
      <c r="K1485" s="143"/>
    </row>
    <row r="1486" spans="2:11" ht="24.9" customHeight="1" thickTop="1" thickBot="1" x14ac:dyDescent="0.25">
      <c r="B1486" s="191" t="s">
        <v>1310</v>
      </c>
      <c r="C1486" s="108" t="str">
        <f>+B1448</f>
        <v>ITE160</v>
      </c>
      <c r="D1486" s="139" t="str">
        <f>+D1448</f>
        <v>Concreto ciclópeo (producción)</v>
      </c>
      <c r="E1486" s="108" t="str">
        <f>+E1448</f>
        <v>M3</v>
      </c>
      <c r="F1486" s="140">
        <v>1</v>
      </c>
      <c r="G1486" s="141">
        <f>G1448</f>
        <v>505570</v>
      </c>
      <c r="H1486" s="108">
        <v>1.05</v>
      </c>
      <c r="I1486" s="141">
        <f>ROUND((F1486*G1486*H1486),0)</f>
        <v>530849</v>
      </c>
      <c r="J1486" s="47"/>
      <c r="K1486" s="143"/>
    </row>
    <row r="1487" spans="2:11" ht="30" customHeight="1" thickTop="1" thickBot="1" x14ac:dyDescent="0.25">
      <c r="B1487" s="158" t="s">
        <v>1034</v>
      </c>
      <c r="C1487" s="108" t="str">
        <f>+'LISTA DE INSUMOS'!A9</f>
        <v>MOB006</v>
      </c>
      <c r="D1487" s="139" t="str">
        <f>+'LISTA DE INSUMOS'!B9</f>
        <v>Cuadrilla A 1 Of + 4 Ay (jornal + prestaciones)</v>
      </c>
      <c r="E1487" s="108" t="str">
        <f>+'LISTA DE INSUMOS'!C9</f>
        <v>Día</v>
      </c>
      <c r="F1487" s="140">
        <v>1</v>
      </c>
      <c r="G1487" s="141">
        <f>'LISTA DE INSUMOS'!E9</f>
        <v>491167</v>
      </c>
      <c r="H1487" s="108">
        <f>1/5</f>
        <v>0.2</v>
      </c>
      <c r="I1487" s="141">
        <f>ROUND((F1487*G1487*H1487),0)</f>
        <v>98233</v>
      </c>
      <c r="J1487" s="47"/>
      <c r="K1487" s="143"/>
    </row>
    <row r="1488" spans="2:11" ht="30" customHeight="1" thickTop="1" thickBot="1" x14ac:dyDescent="0.25">
      <c r="B1488" s="150" t="s">
        <v>1033</v>
      </c>
      <c r="C1488" s="151" t="str">
        <f>+'LISTA DE INSUMOS'!A758</f>
        <v>EQU002</v>
      </c>
      <c r="D1488" s="146" t="str">
        <f>+'LISTA DE INSUMOS'!B758</f>
        <v>Herramienta menor (% mano obra)</v>
      </c>
      <c r="E1488" s="145" t="str">
        <f>+'LISTA DE INSUMOS'!C758</f>
        <v>%MO</v>
      </c>
      <c r="F1488" s="147">
        <v>0.1</v>
      </c>
      <c r="G1488" s="148">
        <f>I1487</f>
        <v>98233</v>
      </c>
      <c r="H1488" s="145">
        <v>0</v>
      </c>
      <c r="I1488" s="148">
        <f>ROUND((F1488*G1488),0)</f>
        <v>9823</v>
      </c>
      <c r="J1488" s="47"/>
      <c r="K1488" s="143"/>
    </row>
    <row r="1489" spans="2:11" ht="30" customHeight="1" x14ac:dyDescent="0.2">
      <c r="B1489" s="117" t="s">
        <v>1801</v>
      </c>
      <c r="C1489" s="117"/>
      <c r="D1489" s="112" t="s">
        <v>1549</v>
      </c>
      <c r="E1489" s="117" t="s">
        <v>2586</v>
      </c>
      <c r="F1489" s="118"/>
      <c r="G1489" s="119">
        <f>ROUND(SUM(I1489:I1499),0)</f>
        <v>1023686</v>
      </c>
      <c r="H1489" s="120"/>
      <c r="I1489" s="119"/>
      <c r="J1489" s="47"/>
      <c r="K1489" s="143"/>
    </row>
    <row r="1490" spans="2:11" ht="30" customHeight="1" x14ac:dyDescent="0.2">
      <c r="B1490" s="672" t="s">
        <v>1035</v>
      </c>
      <c r="C1490" s="108" t="str">
        <f>+'LISTA DE INSUMOS'!A46</f>
        <v>MAT017</v>
      </c>
      <c r="D1490" s="139" t="str">
        <f>+'LISTA DE INSUMOS'!B46</f>
        <v>Tabla para formaleta de 1" x 10" x 2,9 m</v>
      </c>
      <c r="E1490" s="108" t="str">
        <f>+'LISTA DE INSUMOS'!C46</f>
        <v>M</v>
      </c>
      <c r="F1490" s="140">
        <v>15</v>
      </c>
      <c r="G1490" s="141">
        <f>'LISTA DE INSUMOS'!E46</f>
        <v>8112.0359999999991</v>
      </c>
      <c r="H1490" s="108">
        <f>1/1.5</f>
        <v>0.66666666666666663</v>
      </c>
      <c r="I1490" s="141">
        <f>ROUND((F1490*G1490*H1490),0)</f>
        <v>81120</v>
      </c>
      <c r="J1490" s="47"/>
      <c r="K1490" s="143"/>
    </row>
    <row r="1491" spans="2:11" ht="24.9" customHeight="1" x14ac:dyDescent="0.2">
      <c r="B1491" s="672"/>
      <c r="C1491" s="108" t="str">
        <f>+'LISTA DE INSUMOS'!A49</f>
        <v>MAT018</v>
      </c>
      <c r="D1491" s="139" t="str">
        <f>+'LISTA DE INSUMOS'!B49</f>
        <v>Cuartón de sajo 2" x 4" x 2,9 m</v>
      </c>
      <c r="E1491" s="108" t="str">
        <f>+'LISTA DE INSUMOS'!C49</f>
        <v>M</v>
      </c>
      <c r="F1491" s="140">
        <v>10</v>
      </c>
      <c r="G1491" s="141">
        <f>'LISTA DE INSUMOS'!E49</f>
        <v>11944.810644542158</v>
      </c>
      <c r="H1491" s="108">
        <f>1/1.5</f>
        <v>0.66666666666666663</v>
      </c>
      <c r="I1491" s="141">
        <f>ROUND((F1491*G1491*H1491),0)</f>
        <v>79632</v>
      </c>
      <c r="J1491" s="47"/>
      <c r="K1491" s="143"/>
    </row>
    <row r="1492" spans="2:11" ht="24.9" customHeight="1" x14ac:dyDescent="0.2">
      <c r="B1492" s="672"/>
      <c r="C1492" s="108" t="str">
        <f>+'LISTA DE INSUMOS'!A51</f>
        <v>MAT020</v>
      </c>
      <c r="D1492" s="139" t="str">
        <f>+'LISTA DE INSUMOS'!B51</f>
        <v>Guadua basa longitud promedio = 5 m</v>
      </c>
      <c r="E1492" s="108" t="str">
        <f>+'LISTA DE INSUMOS'!C51</f>
        <v>Un</v>
      </c>
      <c r="F1492" s="140">
        <v>3</v>
      </c>
      <c r="G1492" s="141">
        <f>'LISTA DE INSUMOS'!E51</f>
        <v>8662.3499999999985</v>
      </c>
      <c r="H1492" s="108">
        <f>1/1.5</f>
        <v>0.66666666666666663</v>
      </c>
      <c r="I1492" s="141">
        <f>ROUND((F1492*G1492*H1492),0)</f>
        <v>17325</v>
      </c>
      <c r="J1492" s="47"/>
      <c r="K1492" s="143"/>
    </row>
    <row r="1493" spans="2:11" ht="24.9" customHeight="1" x14ac:dyDescent="0.2">
      <c r="B1493" s="672"/>
      <c r="C1493" s="108" t="str">
        <f>+'LISTA DE INSUMOS'!A52</f>
        <v>MAT021</v>
      </c>
      <c r="D1493" s="139" t="str">
        <f>+'LISTA DE INSUMOS'!B52</f>
        <v>Puntilla (promedio)</v>
      </c>
      <c r="E1493" s="108" t="str">
        <f>+'LISTA DE INSUMOS'!C52</f>
        <v>Lb</v>
      </c>
      <c r="F1493" s="140">
        <v>1.5</v>
      </c>
      <c r="G1493" s="141">
        <f>'LISTA DE INSUMOS'!E52</f>
        <v>6690.6972299999998</v>
      </c>
      <c r="H1493" s="108">
        <v>0</v>
      </c>
      <c r="I1493" s="141">
        <f>ROUND((F1493*G1493),0)</f>
        <v>10036</v>
      </c>
      <c r="J1493" s="47"/>
      <c r="K1493" s="143"/>
    </row>
    <row r="1494" spans="2:11" ht="24.9" customHeight="1" x14ac:dyDescent="0.2">
      <c r="B1494" s="672"/>
      <c r="C1494" s="108" t="str">
        <f>+'LISTA DE INSUMOS'!A53</f>
        <v>MAT022</v>
      </c>
      <c r="D1494" s="139" t="str">
        <f>+'LISTA DE INSUMOS'!B53</f>
        <v>Alambre negro calibre 17</v>
      </c>
      <c r="E1494" s="108" t="str">
        <f>+'LISTA DE INSUMOS'!C53</f>
        <v>Kg</v>
      </c>
      <c r="F1494" s="140">
        <v>0.5</v>
      </c>
      <c r="G1494" s="141">
        <f>'LISTA DE INSUMOS'!E53</f>
        <v>7948.98</v>
      </c>
      <c r="H1494" s="108">
        <v>0</v>
      </c>
      <c r="I1494" s="141">
        <f>ROUND((F1494*G1494),0)</f>
        <v>3974</v>
      </c>
      <c r="J1494" s="47"/>
      <c r="K1494" s="143"/>
    </row>
    <row r="1495" spans="2:11" ht="24.9" customHeight="1" x14ac:dyDescent="0.2">
      <c r="B1495" s="672"/>
      <c r="C1495" s="108" t="str">
        <f>+'LISTA DE INSUMOS'!A93</f>
        <v>MAT051</v>
      </c>
      <c r="D1495" s="139" t="str">
        <f>+'LISTA DE INSUMOS'!B93</f>
        <v>Antisol blanco</v>
      </c>
      <c r="E1495" s="108" t="str">
        <f>+'LISTA DE INSUMOS'!C93</f>
        <v>Kg</v>
      </c>
      <c r="F1495" s="140">
        <v>2.5</v>
      </c>
      <c r="G1495" s="141">
        <f>+'LISTA DE INSUMOS'!E93</f>
        <v>11510.734499999999</v>
      </c>
      <c r="H1495" s="108">
        <v>1.03</v>
      </c>
      <c r="I1495" s="141">
        <f>ROUND((F1495*G1495*H1495),0)</f>
        <v>29640</v>
      </c>
      <c r="J1495" s="47"/>
      <c r="K1495" s="143"/>
    </row>
    <row r="1496" spans="2:11" ht="24.9" customHeight="1" thickBot="1" x14ac:dyDescent="0.25">
      <c r="B1496" s="673"/>
      <c r="C1496" s="108" t="str">
        <f>+'LISTA DE INSUMOS'!A67</f>
        <v>MAT034</v>
      </c>
      <c r="D1496" s="139" t="str">
        <f>+'LISTA DE INSUMOS'!B67</f>
        <v>ACPM</v>
      </c>
      <c r="E1496" s="108" t="str">
        <f>+'LISTA DE INSUMOS'!C67</f>
        <v>Gl</v>
      </c>
      <c r="F1496" s="140">
        <v>0.1</v>
      </c>
      <c r="G1496" s="141">
        <f>'LISTA DE INSUMOS'!E67</f>
        <v>9681.4499999999989</v>
      </c>
      <c r="H1496" s="108">
        <v>0</v>
      </c>
      <c r="I1496" s="141">
        <f>ROUND((F1496*G1496),0)</f>
        <v>968</v>
      </c>
      <c r="J1496" s="47"/>
      <c r="K1496" s="143"/>
    </row>
    <row r="1497" spans="2:11" ht="24.9" customHeight="1" thickTop="1" thickBot="1" x14ac:dyDescent="0.25">
      <c r="B1497" s="191" t="s">
        <v>1310</v>
      </c>
      <c r="C1497" s="108" t="str">
        <f>+B1448</f>
        <v>ITE160</v>
      </c>
      <c r="D1497" s="139" t="str">
        <f>+D1448</f>
        <v>Concreto ciclópeo (producción)</v>
      </c>
      <c r="E1497" s="108" t="str">
        <f>+E1448</f>
        <v>M3</v>
      </c>
      <c r="F1497" s="140">
        <v>1</v>
      </c>
      <c r="G1497" s="141">
        <f>G1448</f>
        <v>505570</v>
      </c>
      <c r="H1497" s="108">
        <v>1.05</v>
      </c>
      <c r="I1497" s="141">
        <f>ROUND((F1497*G1497*H1497),0)</f>
        <v>530849</v>
      </c>
      <c r="J1497" s="47"/>
      <c r="K1497" s="143"/>
    </row>
    <row r="1498" spans="2:11" ht="24.9" customHeight="1" thickTop="1" thickBot="1" x14ac:dyDescent="0.25">
      <c r="B1498" s="158" t="s">
        <v>1034</v>
      </c>
      <c r="C1498" s="108" t="str">
        <f>+'LISTA DE INSUMOS'!A9</f>
        <v>MOB006</v>
      </c>
      <c r="D1498" s="139" t="str">
        <f>+'LISTA DE INSUMOS'!B9</f>
        <v>Cuadrilla A 1 Of + 4 Ay (jornal + prestaciones)</v>
      </c>
      <c r="E1498" s="108" t="str">
        <f>+'LISTA DE INSUMOS'!C9</f>
        <v>Día</v>
      </c>
      <c r="F1498" s="140">
        <v>1</v>
      </c>
      <c r="G1498" s="141">
        <f>'LISTA DE INSUMOS'!E9</f>
        <v>491167</v>
      </c>
      <c r="H1498" s="108">
        <f>1/2</f>
        <v>0.5</v>
      </c>
      <c r="I1498" s="141">
        <f>ROUND((F1498*G1498*H1498),0)</f>
        <v>245584</v>
      </c>
      <c r="J1498" s="47"/>
      <c r="K1498" s="143"/>
    </row>
    <row r="1499" spans="2:11" ht="24.9" customHeight="1" thickTop="1" thickBot="1" x14ac:dyDescent="0.25">
      <c r="B1499" s="150" t="s">
        <v>1033</v>
      </c>
      <c r="C1499" s="151" t="str">
        <f>+'LISTA DE INSUMOS'!A758</f>
        <v>EQU002</v>
      </c>
      <c r="D1499" s="146" t="str">
        <f>+'LISTA DE INSUMOS'!B758</f>
        <v>Herramienta menor (% mano obra)</v>
      </c>
      <c r="E1499" s="145" t="str">
        <f>+'LISTA DE INSUMOS'!C758</f>
        <v>%MO</v>
      </c>
      <c r="F1499" s="147">
        <v>0.1</v>
      </c>
      <c r="G1499" s="148">
        <f>I1498</f>
        <v>245584</v>
      </c>
      <c r="H1499" s="145">
        <v>0</v>
      </c>
      <c r="I1499" s="148">
        <f>ROUND((F1499*G1499),0)</f>
        <v>24558</v>
      </c>
      <c r="J1499" s="47"/>
      <c r="K1499" s="143"/>
    </row>
    <row r="1500" spans="2:11" ht="24.9" customHeight="1" x14ac:dyDescent="0.2">
      <c r="B1500" s="117" t="s">
        <v>1803</v>
      </c>
      <c r="C1500" s="117"/>
      <c r="D1500" s="112" t="s">
        <v>1862</v>
      </c>
      <c r="E1500" s="117" t="s">
        <v>2586</v>
      </c>
      <c r="F1500" s="118"/>
      <c r="G1500" s="119">
        <f>ROUND(SUM(I1500:I1510),0)</f>
        <v>1017891</v>
      </c>
      <c r="H1500" s="120"/>
      <c r="I1500" s="119"/>
      <c r="J1500" s="47"/>
      <c r="K1500" s="143"/>
    </row>
    <row r="1501" spans="2:11" ht="24.9" customHeight="1" x14ac:dyDescent="0.2">
      <c r="B1501" s="672" t="s">
        <v>1035</v>
      </c>
      <c r="C1501" s="108" t="str">
        <f>+'LISTA DE INSUMOS'!A46</f>
        <v>MAT017</v>
      </c>
      <c r="D1501" s="139" t="str">
        <f>+'LISTA DE INSUMOS'!B46</f>
        <v>Tabla para formaleta de 1" x 10" x 2,9 m</v>
      </c>
      <c r="E1501" s="108" t="str">
        <f>+'LISTA DE INSUMOS'!C46</f>
        <v>M</v>
      </c>
      <c r="F1501" s="140">
        <v>38.200000000000003</v>
      </c>
      <c r="G1501" s="141">
        <f>'LISTA DE INSUMOS'!E46</f>
        <v>8112.0359999999991</v>
      </c>
      <c r="H1501" s="108">
        <f>1/3</f>
        <v>0.33333333333333331</v>
      </c>
      <c r="I1501" s="141">
        <f>ROUND((F1501*G1501*H1501),0)</f>
        <v>103293</v>
      </c>
      <c r="J1501" s="47"/>
      <c r="K1501" s="143"/>
    </row>
    <row r="1502" spans="2:11" ht="24.9" customHeight="1" x14ac:dyDescent="0.2">
      <c r="B1502" s="672"/>
      <c r="C1502" s="108" t="str">
        <f>+'LISTA DE INSUMOS'!A49</f>
        <v>MAT018</v>
      </c>
      <c r="D1502" s="139" t="str">
        <f>+'LISTA DE INSUMOS'!B49</f>
        <v>Cuartón de sajo 2" x 4" x 2,9 m</v>
      </c>
      <c r="E1502" s="108" t="str">
        <f>+'LISTA DE INSUMOS'!C49</f>
        <v>M</v>
      </c>
      <c r="F1502" s="140">
        <v>17</v>
      </c>
      <c r="G1502" s="141">
        <f>'LISTA DE INSUMOS'!E49</f>
        <v>11944.810644542158</v>
      </c>
      <c r="H1502" s="108">
        <f>1/3</f>
        <v>0.33333333333333331</v>
      </c>
      <c r="I1502" s="141">
        <f>ROUND((F1502*G1502*H1502),0)</f>
        <v>67687</v>
      </c>
      <c r="J1502" s="47"/>
      <c r="K1502" s="143"/>
    </row>
    <row r="1503" spans="2:11" ht="24.9" customHeight="1" x14ac:dyDescent="0.2">
      <c r="B1503" s="672"/>
      <c r="C1503" s="108" t="str">
        <f>+'LISTA DE INSUMOS'!A51</f>
        <v>MAT020</v>
      </c>
      <c r="D1503" s="139" t="str">
        <f>+'LISTA DE INSUMOS'!B51</f>
        <v>Guadua basa longitud promedio = 5 m</v>
      </c>
      <c r="E1503" s="108" t="str">
        <f>+'LISTA DE INSUMOS'!C51</f>
        <v>Un</v>
      </c>
      <c r="F1503" s="140">
        <v>3</v>
      </c>
      <c r="G1503" s="141">
        <f>'LISTA DE INSUMOS'!E51</f>
        <v>8662.3499999999985</v>
      </c>
      <c r="H1503" s="108">
        <f>1/3</f>
        <v>0.33333333333333331</v>
      </c>
      <c r="I1503" s="141">
        <f>ROUND((F1503*G1503*H1503),0)</f>
        <v>8662</v>
      </c>
      <c r="J1503" s="47"/>
      <c r="K1503" s="143"/>
    </row>
    <row r="1504" spans="2:11" ht="24.9" customHeight="1" x14ac:dyDescent="0.2">
      <c r="B1504" s="672"/>
      <c r="C1504" s="108" t="str">
        <f>+'LISTA DE INSUMOS'!A52</f>
        <v>MAT021</v>
      </c>
      <c r="D1504" s="139" t="str">
        <f>+'LISTA DE INSUMOS'!B52</f>
        <v>Puntilla (promedio)</v>
      </c>
      <c r="E1504" s="108" t="str">
        <f>+'LISTA DE INSUMOS'!C52</f>
        <v>Lb</v>
      </c>
      <c r="F1504" s="140">
        <v>0.4</v>
      </c>
      <c r="G1504" s="141">
        <f>'LISTA DE INSUMOS'!E52</f>
        <v>6690.6972299999998</v>
      </c>
      <c r="H1504" s="108">
        <v>0</v>
      </c>
      <c r="I1504" s="141">
        <f>ROUND((F1504*G1504),0)</f>
        <v>2676</v>
      </c>
      <c r="J1504" s="47"/>
      <c r="K1504" s="143"/>
    </row>
    <row r="1505" spans="2:11" ht="24.9" customHeight="1" x14ac:dyDescent="0.2">
      <c r="B1505" s="672"/>
      <c r="C1505" s="108" t="str">
        <f>+'LISTA DE INSUMOS'!A53</f>
        <v>MAT022</v>
      </c>
      <c r="D1505" s="139" t="str">
        <f>+'LISTA DE INSUMOS'!B53</f>
        <v>Alambre negro calibre 17</v>
      </c>
      <c r="E1505" s="108" t="str">
        <f>+'LISTA DE INSUMOS'!C53</f>
        <v>Kg</v>
      </c>
      <c r="F1505" s="140">
        <v>0.5</v>
      </c>
      <c r="G1505" s="141">
        <f>'LISTA DE INSUMOS'!E53</f>
        <v>7948.98</v>
      </c>
      <c r="H1505" s="108">
        <v>0</v>
      </c>
      <c r="I1505" s="141">
        <f>ROUND((F1505*G1505),0)</f>
        <v>3974</v>
      </c>
      <c r="J1505" s="47"/>
      <c r="K1505" s="143"/>
    </row>
    <row r="1506" spans="2:11" ht="24.9" customHeight="1" x14ac:dyDescent="0.2">
      <c r="B1506" s="672"/>
      <c r="C1506" s="108" t="str">
        <f>+'LISTA DE INSUMOS'!A93</f>
        <v>MAT051</v>
      </c>
      <c r="D1506" s="139" t="str">
        <f>+'LISTA DE INSUMOS'!B93</f>
        <v>Antisol blanco</v>
      </c>
      <c r="E1506" s="108" t="str">
        <f>+'LISTA DE INSUMOS'!C93</f>
        <v>Kg</v>
      </c>
      <c r="F1506" s="140">
        <v>2.5</v>
      </c>
      <c r="G1506" s="141">
        <f>+'LISTA DE INSUMOS'!E93</f>
        <v>11510.734499999999</v>
      </c>
      <c r="H1506" s="108">
        <v>1.03</v>
      </c>
      <c r="I1506" s="141">
        <f>ROUND((F1506*G1506*H1506),0)</f>
        <v>29640</v>
      </c>
      <c r="J1506" s="47"/>
      <c r="K1506" s="143"/>
    </row>
    <row r="1507" spans="2:11" ht="24.9" customHeight="1" thickBot="1" x14ac:dyDescent="0.25">
      <c r="B1507" s="673"/>
      <c r="C1507" s="108" t="str">
        <f>+'LISTA DE INSUMOS'!A67</f>
        <v>MAT034</v>
      </c>
      <c r="D1507" s="139" t="str">
        <f>+'LISTA DE INSUMOS'!B67</f>
        <v>ACPM</v>
      </c>
      <c r="E1507" s="108" t="str">
        <f>+'LISTA DE INSUMOS'!C67</f>
        <v>Gl</v>
      </c>
      <c r="F1507" s="140">
        <v>0.1</v>
      </c>
      <c r="G1507" s="141">
        <f>'LISTA DE INSUMOS'!E67</f>
        <v>9681.4499999999989</v>
      </c>
      <c r="H1507" s="108">
        <v>0</v>
      </c>
      <c r="I1507" s="141">
        <f>ROUND((F1507*G1507),0)</f>
        <v>968</v>
      </c>
      <c r="J1507" s="47"/>
      <c r="K1507" s="143"/>
    </row>
    <row r="1508" spans="2:11" ht="24.9" customHeight="1" thickTop="1" thickBot="1" x14ac:dyDescent="0.25">
      <c r="B1508" s="191" t="s">
        <v>1310</v>
      </c>
      <c r="C1508" s="108" t="str">
        <f>+B1448</f>
        <v>ITE160</v>
      </c>
      <c r="D1508" s="139" t="str">
        <f>+D1448</f>
        <v>Concreto ciclópeo (producción)</v>
      </c>
      <c r="E1508" s="108" t="str">
        <f>+E1448</f>
        <v>M3</v>
      </c>
      <c r="F1508" s="140">
        <v>1</v>
      </c>
      <c r="G1508" s="141">
        <f>G1448</f>
        <v>505570</v>
      </c>
      <c r="H1508" s="108">
        <v>1.05</v>
      </c>
      <c r="I1508" s="141">
        <f>ROUND((F1508*G1508*H1508),0)</f>
        <v>530849</v>
      </c>
      <c r="J1508" s="47"/>
      <c r="K1508" s="143"/>
    </row>
    <row r="1509" spans="2:11" ht="24.9" customHeight="1" thickTop="1" thickBot="1" x14ac:dyDescent="0.25">
      <c r="B1509" s="158" t="s">
        <v>1034</v>
      </c>
      <c r="C1509" s="108" t="str">
        <f>+'LISTA DE INSUMOS'!A9</f>
        <v>MOB006</v>
      </c>
      <c r="D1509" s="139" t="str">
        <f>+'LISTA DE INSUMOS'!B9</f>
        <v>Cuadrilla A 1 Of + 4 Ay (jornal + prestaciones)</v>
      </c>
      <c r="E1509" s="108" t="str">
        <f>+'LISTA DE INSUMOS'!C9</f>
        <v>Día</v>
      </c>
      <c r="F1509" s="140">
        <v>1</v>
      </c>
      <c r="G1509" s="141">
        <f>'LISTA DE INSUMOS'!E9</f>
        <v>491167</v>
      </c>
      <c r="H1509" s="108">
        <f>1/2</f>
        <v>0.5</v>
      </c>
      <c r="I1509" s="141">
        <f>ROUND((F1509*G1509*H1509),0)</f>
        <v>245584</v>
      </c>
      <c r="J1509" s="47"/>
      <c r="K1509" s="143"/>
    </row>
    <row r="1510" spans="2:11" ht="24.9" customHeight="1" thickTop="1" thickBot="1" x14ac:dyDescent="0.25">
      <c r="B1510" s="150" t="s">
        <v>1033</v>
      </c>
      <c r="C1510" s="151" t="str">
        <f>+'LISTA DE INSUMOS'!A758</f>
        <v>EQU002</v>
      </c>
      <c r="D1510" s="146" t="str">
        <f>+'LISTA DE INSUMOS'!B758</f>
        <v>Herramienta menor (% mano obra)</v>
      </c>
      <c r="E1510" s="145" t="str">
        <f>+'LISTA DE INSUMOS'!C758</f>
        <v>%MO</v>
      </c>
      <c r="F1510" s="147">
        <v>0.1</v>
      </c>
      <c r="G1510" s="148">
        <f>I1509</f>
        <v>245584</v>
      </c>
      <c r="H1510" s="145">
        <v>0</v>
      </c>
      <c r="I1510" s="148">
        <f>ROUND((F1510*G1510),0)</f>
        <v>24558</v>
      </c>
      <c r="J1510" s="47"/>
      <c r="K1510" s="143"/>
    </row>
    <row r="1511" spans="2:11" ht="24.9" customHeight="1" x14ac:dyDescent="0.2">
      <c r="B1511" s="117" t="s">
        <v>1802</v>
      </c>
      <c r="C1511" s="117"/>
      <c r="D1511" s="112" t="s">
        <v>1779</v>
      </c>
      <c r="E1511" s="117" t="s">
        <v>2585</v>
      </c>
      <c r="F1511" s="149"/>
      <c r="G1511" s="119">
        <f>SUM(I1512:I1518)</f>
        <v>93257</v>
      </c>
      <c r="H1511" s="120"/>
      <c r="I1511" s="119"/>
      <c r="J1511" s="47"/>
      <c r="K1511" s="143"/>
    </row>
    <row r="1512" spans="2:11" ht="24.9" customHeight="1" x14ac:dyDescent="0.2">
      <c r="B1512" s="657" t="s">
        <v>1325</v>
      </c>
      <c r="C1512" s="108" t="str">
        <f>+'LISTA DE INSUMOS'!A54</f>
        <v>MAT023</v>
      </c>
      <c r="D1512" s="139" t="str">
        <f>+'LISTA DE INSUMOS'!B54</f>
        <v>Ladrillo tolete común</v>
      </c>
      <c r="E1512" s="108" t="str">
        <f>+'LISTA DE INSUMOS'!C54</f>
        <v>Un</v>
      </c>
      <c r="F1512" s="140">
        <v>55</v>
      </c>
      <c r="G1512" s="141">
        <f>'LISTA DE INSUMOS'!E54</f>
        <v>815.28</v>
      </c>
      <c r="H1512" s="108">
        <v>1.05</v>
      </c>
      <c r="I1512" s="141">
        <f>ROUND((F1512*G1512*H1512),0)</f>
        <v>47082</v>
      </c>
      <c r="J1512" s="47"/>
      <c r="K1512" s="143"/>
    </row>
    <row r="1513" spans="2:11" ht="24.9" customHeight="1" thickBot="1" x14ac:dyDescent="0.25">
      <c r="B1513" s="659"/>
      <c r="C1513" s="108" t="str">
        <f>+'LISTA DE INSUMOS'!A42</f>
        <v>MAT013</v>
      </c>
      <c r="D1513" s="139" t="str">
        <f>+'LISTA DE INSUMOS'!B42</f>
        <v xml:space="preserve">Agua </v>
      </c>
      <c r="E1513" s="108" t="str">
        <f>+'LISTA DE INSUMOS'!C42</f>
        <v>Lt</v>
      </c>
      <c r="F1513" s="140">
        <v>50</v>
      </c>
      <c r="G1513" s="141">
        <f>'LISTA DE INSUMOS'!E42</f>
        <v>96.828790046226644</v>
      </c>
      <c r="H1513" s="108">
        <v>0</v>
      </c>
      <c r="I1513" s="141">
        <f>ROUND((F1513*G1513),0)</f>
        <v>4841</v>
      </c>
      <c r="J1513" s="47"/>
      <c r="K1513" s="143"/>
    </row>
    <row r="1514" spans="2:11" ht="24.9" customHeight="1" thickTop="1" thickBot="1" x14ac:dyDescent="0.25">
      <c r="B1514" s="191" t="s">
        <v>1310</v>
      </c>
      <c r="C1514" s="108" t="str">
        <f>+B574</f>
        <v>ITE96</v>
      </c>
      <c r="D1514" s="139" t="str">
        <f>+D574</f>
        <v>Mortero 1:3 (producción)</v>
      </c>
      <c r="E1514" s="108" t="str">
        <f>+E574</f>
        <v>M3</v>
      </c>
      <c r="F1514" s="152">
        <v>2.5999999999999999E-2</v>
      </c>
      <c r="G1514" s="141">
        <f>G574</f>
        <v>580906</v>
      </c>
      <c r="H1514" s="108">
        <v>1.05</v>
      </c>
      <c r="I1514" s="141">
        <f>ROUND((F1514*G1514*H1514),0)</f>
        <v>15859</v>
      </c>
      <c r="J1514" s="47"/>
      <c r="K1514" s="143"/>
    </row>
    <row r="1515" spans="2:11" ht="24.9" customHeight="1" thickTop="1" thickBot="1" x14ac:dyDescent="0.25">
      <c r="B1515" s="158" t="s">
        <v>1034</v>
      </c>
      <c r="C1515" s="108" t="str">
        <f>+'LISTA DE INSUMOS'!A18</f>
        <v>MOB015</v>
      </c>
      <c r="D1515" s="139" t="str">
        <f>+'LISTA DE INSUMOS'!B18</f>
        <v>Cuadrilla E 1 Of + 1 Ay (jornal + prestaciones)</v>
      </c>
      <c r="E1515" s="108" t="str">
        <f>+'LISTA DE INSUMOS'!C18</f>
        <v>Día</v>
      </c>
      <c r="F1515" s="140">
        <v>1</v>
      </c>
      <c r="G1515" s="141">
        <f>'LISTA DE INSUMOS'!E18</f>
        <v>245584</v>
      </c>
      <c r="H1515" s="108">
        <f>1/12</f>
        <v>8.3333333333333329E-2</v>
      </c>
      <c r="I1515" s="141">
        <f>ROUND((F1515*G1515*H1515),0)</f>
        <v>20465</v>
      </c>
      <c r="J1515" s="47"/>
      <c r="K1515" s="143"/>
    </row>
    <row r="1516" spans="2:11" ht="24.9" customHeight="1" thickTop="1" x14ac:dyDescent="0.2">
      <c r="B1516" s="674" t="s">
        <v>1033</v>
      </c>
      <c r="C1516" s="108" t="str">
        <f>+'LISTA DE INSUMOS'!A758</f>
        <v>EQU002</v>
      </c>
      <c r="D1516" s="139" t="str">
        <f>+'LISTA DE INSUMOS'!B758</f>
        <v>Herramienta menor (% mano obra)</v>
      </c>
      <c r="E1516" s="108" t="str">
        <f>+'LISTA DE INSUMOS'!C758</f>
        <v>%MO</v>
      </c>
      <c r="F1516" s="140">
        <v>0.05</v>
      </c>
      <c r="G1516" s="141">
        <f>I1515</f>
        <v>20465</v>
      </c>
      <c r="H1516" s="108">
        <v>0</v>
      </c>
      <c r="I1516" s="141">
        <f>ROUND((F1516*G1516),0)</f>
        <v>1023</v>
      </c>
      <c r="J1516" s="47"/>
      <c r="K1516" s="143"/>
    </row>
    <row r="1517" spans="2:11" ht="24.9" customHeight="1" x14ac:dyDescent="0.2">
      <c r="B1517" s="679"/>
      <c r="C1517" s="108" t="s">
        <v>3145</v>
      </c>
      <c r="D1517" s="139" t="s">
        <v>3150</v>
      </c>
      <c r="E1517" s="108" t="s">
        <v>1074</v>
      </c>
      <c r="F1517" s="140">
        <v>1</v>
      </c>
      <c r="G1517" s="141">
        <v>14822.4</v>
      </c>
      <c r="H1517" s="108">
        <v>0.2</v>
      </c>
      <c r="I1517" s="141">
        <v>2964</v>
      </c>
      <c r="J1517" s="47"/>
      <c r="K1517" s="143"/>
    </row>
    <row r="1518" spans="2:11" ht="24.9" customHeight="1" thickBot="1" x14ac:dyDescent="0.25">
      <c r="B1518" s="709"/>
      <c r="C1518" s="145" t="str">
        <f>+'LISTA DE INSUMOS'!A762</f>
        <v>EQU006</v>
      </c>
      <c r="D1518" s="146" t="str">
        <f>+'LISTA DE INSUMOS'!B762</f>
        <v>Andamio (% mano obra)</v>
      </c>
      <c r="E1518" s="145" t="str">
        <f>+'LISTA DE INSUMOS'!C762</f>
        <v>%MO</v>
      </c>
      <c r="F1518" s="147">
        <v>0.05</v>
      </c>
      <c r="G1518" s="148">
        <f>I1515</f>
        <v>20465</v>
      </c>
      <c r="H1518" s="145">
        <v>0</v>
      </c>
      <c r="I1518" s="148">
        <f>ROUND((F1518*G1518),0)</f>
        <v>1023</v>
      </c>
      <c r="J1518" s="47"/>
      <c r="K1518" s="143"/>
    </row>
    <row r="1519" spans="2:11" ht="24.9" customHeight="1" x14ac:dyDescent="0.2">
      <c r="B1519" s="117" t="s">
        <v>478</v>
      </c>
      <c r="C1519" s="117"/>
      <c r="D1519" s="112" t="s">
        <v>1777</v>
      </c>
      <c r="E1519" s="117" t="s">
        <v>2585</v>
      </c>
      <c r="F1519" s="149"/>
      <c r="G1519" s="119">
        <f>SUM(I1520:I1526)</f>
        <v>63823</v>
      </c>
      <c r="H1519" s="120"/>
      <c r="I1519" s="119"/>
      <c r="J1519" s="47"/>
      <c r="K1519" s="143"/>
    </row>
    <row r="1520" spans="2:11" ht="24.9" customHeight="1" x14ac:dyDescent="0.2">
      <c r="B1520" s="657" t="s">
        <v>1325</v>
      </c>
      <c r="C1520" s="108" t="str">
        <f>+'LISTA DE INSUMOS'!A54</f>
        <v>MAT023</v>
      </c>
      <c r="D1520" s="139" t="str">
        <f>+'LISTA DE INSUMOS'!B54</f>
        <v>Ladrillo tolete común</v>
      </c>
      <c r="E1520" s="108" t="str">
        <f>+'LISTA DE INSUMOS'!C54</f>
        <v>Un</v>
      </c>
      <c r="F1520" s="140">
        <v>33</v>
      </c>
      <c r="G1520" s="141">
        <f>'LISTA DE INSUMOS'!E54</f>
        <v>815.28</v>
      </c>
      <c r="H1520" s="108">
        <v>1.05</v>
      </c>
      <c r="I1520" s="141">
        <f>ROUND((F1520*G1520*H1520),0)</f>
        <v>28249</v>
      </c>
      <c r="J1520" s="47"/>
      <c r="K1520" s="143"/>
    </row>
    <row r="1521" spans="2:11" ht="24.9" customHeight="1" thickBot="1" x14ac:dyDescent="0.25">
      <c r="B1521" s="659"/>
      <c r="C1521" s="108" t="str">
        <f>+'LISTA DE INSUMOS'!A42</f>
        <v>MAT013</v>
      </c>
      <c r="D1521" s="139" t="str">
        <f>+'LISTA DE INSUMOS'!B42</f>
        <v xml:space="preserve">Agua </v>
      </c>
      <c r="E1521" s="108" t="str">
        <f>+'LISTA DE INSUMOS'!C42</f>
        <v>Lt</v>
      </c>
      <c r="F1521" s="140">
        <v>50</v>
      </c>
      <c r="G1521" s="141">
        <f>'LISTA DE INSUMOS'!E42</f>
        <v>96.828790046226644</v>
      </c>
      <c r="H1521" s="108">
        <v>0</v>
      </c>
      <c r="I1521" s="141">
        <f>ROUND((F1521*G1521),0)</f>
        <v>4841</v>
      </c>
      <c r="J1521" s="47"/>
      <c r="K1521" s="143"/>
    </row>
    <row r="1522" spans="2:11" ht="24.9" customHeight="1" thickTop="1" thickBot="1" x14ac:dyDescent="0.25">
      <c r="B1522" s="191" t="s">
        <v>1310</v>
      </c>
      <c r="C1522" s="108" t="str">
        <f>+B574</f>
        <v>ITE96</v>
      </c>
      <c r="D1522" s="139" t="str">
        <f>+D574</f>
        <v>Mortero 1:3 (producción)</v>
      </c>
      <c r="E1522" s="108" t="str">
        <f>+E574</f>
        <v>M3</v>
      </c>
      <c r="F1522" s="152">
        <v>1.6E-2</v>
      </c>
      <c r="G1522" s="141">
        <f>G574</f>
        <v>580906</v>
      </c>
      <c r="H1522" s="108">
        <v>1.05</v>
      </c>
      <c r="I1522" s="141">
        <f>ROUND((F1522*G1522*H1522),0)</f>
        <v>9759</v>
      </c>
      <c r="J1522" s="47"/>
      <c r="K1522" s="143"/>
    </row>
    <row r="1523" spans="2:11" ht="24.9" customHeight="1" thickTop="1" thickBot="1" x14ac:dyDescent="0.25">
      <c r="B1523" s="158" t="s">
        <v>1034</v>
      </c>
      <c r="C1523" s="108" t="str">
        <f>+'LISTA DE INSUMOS'!A18</f>
        <v>MOB015</v>
      </c>
      <c r="D1523" s="139" t="str">
        <f>+'LISTA DE INSUMOS'!B18</f>
        <v>Cuadrilla E 1 Of + 1 Ay (jornal + prestaciones)</v>
      </c>
      <c r="E1523" s="108" t="str">
        <f>+'LISTA DE INSUMOS'!C18</f>
        <v>Día</v>
      </c>
      <c r="F1523" s="140">
        <v>1</v>
      </c>
      <c r="G1523" s="141">
        <f>'LISTA DE INSUMOS'!E18</f>
        <v>245584</v>
      </c>
      <c r="H1523" s="108">
        <f>1/15</f>
        <v>6.6666666666666666E-2</v>
      </c>
      <c r="I1523" s="141">
        <f>ROUND((F1523*G1523*H1523),0)</f>
        <v>16372</v>
      </c>
      <c r="J1523" s="47"/>
      <c r="K1523" s="143"/>
    </row>
    <row r="1524" spans="2:11" ht="24.9" customHeight="1" thickTop="1" x14ac:dyDescent="0.2">
      <c r="B1524" s="674" t="s">
        <v>1033</v>
      </c>
      <c r="C1524" s="108" t="str">
        <f>+'LISTA DE INSUMOS'!A758</f>
        <v>EQU002</v>
      </c>
      <c r="D1524" s="139" t="str">
        <f>+'LISTA DE INSUMOS'!B758</f>
        <v>Herramienta menor (% mano obra)</v>
      </c>
      <c r="E1524" s="108" t="str">
        <f>+'LISTA DE INSUMOS'!C758</f>
        <v>%MO</v>
      </c>
      <c r="F1524" s="140">
        <v>0.05</v>
      </c>
      <c r="G1524" s="141">
        <f>I1523</f>
        <v>16372</v>
      </c>
      <c r="H1524" s="108">
        <v>0</v>
      </c>
      <c r="I1524" s="141">
        <f>ROUND((F1524*G1524),0)</f>
        <v>819</v>
      </c>
      <c r="J1524" s="47"/>
      <c r="K1524" s="143"/>
    </row>
    <row r="1525" spans="2:11" ht="24.9" customHeight="1" x14ac:dyDescent="0.2">
      <c r="B1525" s="679"/>
      <c r="C1525" s="108" t="s">
        <v>3145</v>
      </c>
      <c r="D1525" s="139" t="s">
        <v>3150</v>
      </c>
      <c r="E1525" s="108" t="s">
        <v>1074</v>
      </c>
      <c r="F1525" s="140">
        <v>1</v>
      </c>
      <c r="G1525" s="141">
        <v>14822.4</v>
      </c>
      <c r="H1525" s="108">
        <v>0.2</v>
      </c>
      <c r="I1525" s="141">
        <v>2964</v>
      </c>
      <c r="J1525" s="47"/>
      <c r="K1525" s="143"/>
    </row>
    <row r="1526" spans="2:11" ht="24.9" customHeight="1" thickBot="1" x14ac:dyDescent="0.25">
      <c r="B1526" s="709"/>
      <c r="C1526" s="145" t="str">
        <f>+'LISTA DE INSUMOS'!A762</f>
        <v>EQU006</v>
      </c>
      <c r="D1526" s="146" t="str">
        <f>+'LISTA DE INSUMOS'!B762</f>
        <v>Andamio (% mano obra)</v>
      </c>
      <c r="E1526" s="145" t="str">
        <f>+'LISTA DE INSUMOS'!C762</f>
        <v>%MO</v>
      </c>
      <c r="F1526" s="147">
        <v>0.05</v>
      </c>
      <c r="G1526" s="148">
        <f>I1523</f>
        <v>16372</v>
      </c>
      <c r="H1526" s="145">
        <v>0</v>
      </c>
      <c r="I1526" s="148">
        <f>ROUND((F1526*G1526),0)</f>
        <v>819</v>
      </c>
      <c r="J1526" s="47"/>
      <c r="K1526" s="143"/>
    </row>
    <row r="1527" spans="2:11" s="317" customFormat="1" ht="24.9" hidden="1" customHeight="1" x14ac:dyDescent="0.2">
      <c r="B1527" s="319" t="s">
        <v>1529</v>
      </c>
      <c r="C1527" s="319"/>
      <c r="D1527" s="320" t="s">
        <v>1781</v>
      </c>
      <c r="E1527" s="319" t="s">
        <v>2585</v>
      </c>
      <c r="F1527" s="332"/>
      <c r="G1527" s="312">
        <f>ROUND(SUM(I1527:I1534),0)</f>
        <v>137723</v>
      </c>
      <c r="H1527" s="322"/>
      <c r="I1527" s="312"/>
      <c r="J1527" s="313"/>
      <c r="K1527" s="323"/>
    </row>
    <row r="1528" spans="2:11" s="317" customFormat="1" ht="24.9" hidden="1" customHeight="1" x14ac:dyDescent="0.2">
      <c r="B1528" s="658" t="s">
        <v>1325</v>
      </c>
      <c r="C1528" s="322" t="str">
        <f>+'LISTA DE INSUMOS'!A54</f>
        <v>MAT023</v>
      </c>
      <c r="D1528" s="324" t="str">
        <f>+'LISTA DE INSUMOS'!B54</f>
        <v>Ladrillo tolete común</v>
      </c>
      <c r="E1528" s="322" t="str">
        <f>+'LISTA DE INSUMOS'!C54</f>
        <v>Un</v>
      </c>
      <c r="F1528" s="325">
        <v>33</v>
      </c>
      <c r="G1528" s="312">
        <f>'LISTA DE INSUMOS'!E54</f>
        <v>815.28</v>
      </c>
      <c r="H1528" s="322">
        <v>1.05</v>
      </c>
      <c r="I1528" s="312">
        <f>ROUND((F1528*G1528*H1528),0)</f>
        <v>28249</v>
      </c>
      <c r="J1528" s="313"/>
      <c r="K1528" s="323"/>
    </row>
    <row r="1529" spans="2:11" s="317" customFormat="1" ht="24.9" hidden="1" customHeight="1" thickBot="1" x14ac:dyDescent="0.25">
      <c r="B1529" s="668"/>
      <c r="C1529" s="322" t="str">
        <f>+'LISTA DE INSUMOS'!A42</f>
        <v>MAT013</v>
      </c>
      <c r="D1529" s="324" t="str">
        <f>+'LISTA DE INSUMOS'!B42</f>
        <v xml:space="preserve">Agua </v>
      </c>
      <c r="E1529" s="322" t="str">
        <f>+'LISTA DE INSUMOS'!C42</f>
        <v>Lt</v>
      </c>
      <c r="F1529" s="325">
        <v>50</v>
      </c>
      <c r="G1529" s="312">
        <f>'LISTA DE INSUMOS'!E42</f>
        <v>96.828790046226644</v>
      </c>
      <c r="H1529" s="322">
        <v>0</v>
      </c>
      <c r="I1529" s="312">
        <f>ROUND((F1529*G1529),0)</f>
        <v>4841</v>
      </c>
      <c r="J1529" s="313"/>
      <c r="K1529" s="323"/>
    </row>
    <row r="1530" spans="2:11" s="317" customFormat="1" ht="24.9" hidden="1" customHeight="1" thickTop="1" x14ac:dyDescent="0.2">
      <c r="B1530" s="714" t="s">
        <v>1310</v>
      </c>
      <c r="C1530" s="322" t="str">
        <f>+B1519</f>
        <v>ITE170</v>
      </c>
      <c r="D1530" s="324" t="str">
        <f>+D1519</f>
        <v>Muro en ladrillo tolete en pandereta</v>
      </c>
      <c r="E1530" s="322" t="str">
        <f>+E1519</f>
        <v>M2</v>
      </c>
      <c r="F1530" s="325">
        <v>1</v>
      </c>
      <c r="G1530" s="312">
        <f>+G1519</f>
        <v>63823</v>
      </c>
      <c r="H1530" s="322">
        <v>0</v>
      </c>
      <c r="I1530" s="312">
        <f>ROUND((F1530*G1530),0)</f>
        <v>63823</v>
      </c>
      <c r="J1530" s="313"/>
      <c r="K1530" s="323"/>
    </row>
    <row r="1531" spans="2:11" s="317" customFormat="1" ht="24.9" hidden="1" customHeight="1" thickBot="1" x14ac:dyDescent="0.25">
      <c r="B1531" s="732"/>
      <c r="C1531" s="322" t="str">
        <f>+B574</f>
        <v>ITE96</v>
      </c>
      <c r="D1531" s="324" t="str">
        <f>+D574</f>
        <v>Mortero 1:3 (producción)</v>
      </c>
      <c r="E1531" s="322" t="str">
        <f>+E574</f>
        <v>M3</v>
      </c>
      <c r="F1531" s="325">
        <v>0.03</v>
      </c>
      <c r="G1531" s="312">
        <f>+G574</f>
        <v>580906</v>
      </c>
      <c r="H1531" s="322">
        <v>1.05</v>
      </c>
      <c r="I1531" s="312">
        <f>ROUND((F1531*G1531*H1531),0)</f>
        <v>18299</v>
      </c>
      <c r="J1531" s="313"/>
      <c r="K1531" s="323"/>
    </row>
    <row r="1532" spans="2:11" s="317" customFormat="1" ht="24.9" hidden="1" customHeight="1" thickTop="1" thickBot="1" x14ac:dyDescent="0.25">
      <c r="B1532" s="342" t="s">
        <v>1034</v>
      </c>
      <c r="C1532" s="322" t="str">
        <f>+'LISTA DE INSUMOS'!A18</f>
        <v>MOB015</v>
      </c>
      <c r="D1532" s="324" t="str">
        <f>+'LISTA DE INSUMOS'!B18</f>
        <v>Cuadrilla E 1 Of + 1 Ay (jornal + prestaciones)</v>
      </c>
      <c r="E1532" s="322" t="str">
        <f>+'LISTA DE INSUMOS'!C18</f>
        <v>Día</v>
      </c>
      <c r="F1532" s="325">
        <v>1</v>
      </c>
      <c r="G1532" s="312">
        <f>'LISTA DE INSUMOS'!E18</f>
        <v>245584</v>
      </c>
      <c r="H1532" s="322">
        <f>1/12</f>
        <v>8.3333333333333329E-2</v>
      </c>
      <c r="I1532" s="312">
        <f>ROUND((F1532*G1532*H1532),0)</f>
        <v>20465</v>
      </c>
      <c r="J1532" s="313"/>
      <c r="K1532" s="323"/>
    </row>
    <row r="1533" spans="2:11" s="317" customFormat="1" ht="24.9" hidden="1" customHeight="1" thickTop="1" x14ac:dyDescent="0.2">
      <c r="B1533" s="693" t="s">
        <v>1033</v>
      </c>
      <c r="C1533" s="322" t="str">
        <f>+'LISTA DE INSUMOS'!A758</f>
        <v>EQU002</v>
      </c>
      <c r="D1533" s="324" t="str">
        <f>+'LISTA DE INSUMOS'!B758</f>
        <v>Herramienta menor (% mano obra)</v>
      </c>
      <c r="E1533" s="322" t="str">
        <f>+'LISTA DE INSUMOS'!C758</f>
        <v>%MO</v>
      </c>
      <c r="F1533" s="325">
        <v>0.05</v>
      </c>
      <c r="G1533" s="312">
        <f>I1532</f>
        <v>20465</v>
      </c>
      <c r="H1533" s="322">
        <v>0</v>
      </c>
      <c r="I1533" s="312">
        <f>ROUND((F1533*G1533),0)</f>
        <v>1023</v>
      </c>
      <c r="J1533" s="313"/>
      <c r="K1533" s="323"/>
    </row>
    <row r="1534" spans="2:11" s="317" customFormat="1" ht="24.9" hidden="1" customHeight="1" thickBot="1" x14ac:dyDescent="0.25">
      <c r="B1534" s="694"/>
      <c r="C1534" s="329" t="str">
        <f>+'LISTA DE INSUMOS'!A762</f>
        <v>EQU006</v>
      </c>
      <c r="D1534" s="328" t="str">
        <f>+'LISTA DE INSUMOS'!B762</f>
        <v>Andamio (% mano obra)</v>
      </c>
      <c r="E1534" s="329" t="str">
        <f>+'LISTA DE INSUMOS'!C762</f>
        <v>%MO</v>
      </c>
      <c r="F1534" s="330">
        <v>0.05</v>
      </c>
      <c r="G1534" s="331">
        <f>I1532</f>
        <v>20465</v>
      </c>
      <c r="H1534" s="329">
        <v>0</v>
      </c>
      <c r="I1534" s="331">
        <f>ROUND((F1534*G1534),0)</f>
        <v>1023</v>
      </c>
      <c r="J1534" s="313"/>
      <c r="K1534" s="323"/>
    </row>
    <row r="1535" spans="2:11" ht="24.9" customHeight="1" x14ac:dyDescent="0.2">
      <c r="B1535" s="117" t="s">
        <v>1804</v>
      </c>
      <c r="C1535" s="117"/>
      <c r="D1535" s="112" t="s">
        <v>1772</v>
      </c>
      <c r="E1535" s="117" t="s">
        <v>2585</v>
      </c>
      <c r="F1535" s="149"/>
      <c r="G1535" s="119">
        <f>ROUND(SUM(I1535:I1542),0)</f>
        <v>69352</v>
      </c>
      <c r="H1535" s="120"/>
      <c r="I1535" s="119"/>
      <c r="J1535" s="47"/>
      <c r="K1535" s="143"/>
    </row>
    <row r="1536" spans="2:11" ht="24.9" customHeight="1" x14ac:dyDescent="0.2">
      <c r="B1536" s="657" t="s">
        <v>1325</v>
      </c>
      <c r="C1536" s="108" t="str">
        <f>+'LISTA DE INSUMOS'!A71</f>
        <v>MAT038</v>
      </c>
      <c r="D1536" s="139" t="str">
        <f>+'LISTA DE INSUMOS'!B71</f>
        <v>Ladrillo farol rayado de 0,10 x 0,20 x 0,30 m</v>
      </c>
      <c r="E1536" s="108" t="str">
        <f>+'LISTA DE INSUMOS'!C71</f>
        <v>Un</v>
      </c>
      <c r="F1536" s="140">
        <v>15</v>
      </c>
      <c r="G1536" s="141">
        <f>'LISTA DE INSUMOS'!E71</f>
        <v>1936.2899999999997</v>
      </c>
      <c r="H1536" s="108">
        <v>1.05</v>
      </c>
      <c r="I1536" s="141">
        <f>ROUND((F1536*G1536*H1536),0)</f>
        <v>30497</v>
      </c>
      <c r="J1536" s="47"/>
      <c r="K1536" s="143"/>
    </row>
    <row r="1537" spans="2:11" ht="24.9" customHeight="1" thickBot="1" x14ac:dyDescent="0.25">
      <c r="B1537" s="659"/>
      <c r="C1537" s="108" t="str">
        <f>+'LISTA DE INSUMOS'!A42</f>
        <v>MAT013</v>
      </c>
      <c r="D1537" s="139" t="str">
        <f>+'LISTA DE INSUMOS'!B42</f>
        <v xml:space="preserve">Agua </v>
      </c>
      <c r="E1537" s="108" t="str">
        <f>+'LISTA DE INSUMOS'!C42</f>
        <v>Lt</v>
      </c>
      <c r="F1537" s="140">
        <v>50</v>
      </c>
      <c r="G1537" s="141">
        <f>'LISTA DE INSUMOS'!E42</f>
        <v>96.828790046226644</v>
      </c>
      <c r="H1537" s="108">
        <v>0</v>
      </c>
      <c r="I1537" s="141">
        <f>ROUND((F1537*G1537),0)</f>
        <v>4841</v>
      </c>
      <c r="J1537" s="47"/>
      <c r="K1537" s="143"/>
    </row>
    <row r="1538" spans="2:11" ht="24.9" customHeight="1" thickTop="1" thickBot="1" x14ac:dyDescent="0.25">
      <c r="B1538" s="191" t="s">
        <v>1310</v>
      </c>
      <c r="C1538" s="108" t="str">
        <f>+B574</f>
        <v>ITE96</v>
      </c>
      <c r="D1538" s="139" t="str">
        <f>+D574</f>
        <v>Mortero 1:3 (producción)</v>
      </c>
      <c r="E1538" s="108" t="str">
        <f>+E574</f>
        <v>M3</v>
      </c>
      <c r="F1538" s="152">
        <v>1.4E-2</v>
      </c>
      <c r="G1538" s="141">
        <f>G574</f>
        <v>580906</v>
      </c>
      <c r="H1538" s="108">
        <v>1.05</v>
      </c>
      <c r="I1538" s="141">
        <f>ROUND((F1538*G1538*H1538),0)</f>
        <v>8539</v>
      </c>
      <c r="J1538" s="47"/>
      <c r="K1538" s="143"/>
    </row>
    <row r="1539" spans="2:11" ht="24.9" customHeight="1" thickTop="1" thickBot="1" x14ac:dyDescent="0.25">
      <c r="B1539" s="158" t="s">
        <v>1034</v>
      </c>
      <c r="C1539" s="108" t="str">
        <f>+'LISTA DE INSUMOS'!A18</f>
        <v>MOB015</v>
      </c>
      <c r="D1539" s="139" t="str">
        <f>+'LISTA DE INSUMOS'!B18</f>
        <v>Cuadrilla E 1 Of + 1 Ay (jornal + prestaciones)</v>
      </c>
      <c r="E1539" s="108" t="str">
        <f>+'LISTA DE INSUMOS'!C18</f>
        <v>Día</v>
      </c>
      <c r="F1539" s="140">
        <v>1</v>
      </c>
      <c r="G1539" s="141">
        <f>'LISTA DE INSUMOS'!E18</f>
        <v>245584</v>
      </c>
      <c r="H1539" s="108">
        <f>1/12</f>
        <v>8.3333333333333329E-2</v>
      </c>
      <c r="I1539" s="141">
        <f>ROUND((F1539*G1539*H1539),0)</f>
        <v>20465</v>
      </c>
      <c r="J1539" s="47"/>
      <c r="K1539" s="143"/>
    </row>
    <row r="1540" spans="2:11" ht="24.9" customHeight="1" thickTop="1" x14ac:dyDescent="0.2">
      <c r="B1540" s="674" t="s">
        <v>1033</v>
      </c>
      <c r="C1540" s="108" t="str">
        <f>+'LISTA DE INSUMOS'!A758</f>
        <v>EQU002</v>
      </c>
      <c r="D1540" s="139" t="str">
        <f>+'LISTA DE INSUMOS'!B758</f>
        <v>Herramienta menor (% mano obra)</v>
      </c>
      <c r="E1540" s="108" t="str">
        <f>+'LISTA DE INSUMOS'!C758</f>
        <v>%MO</v>
      </c>
      <c r="F1540" s="140">
        <v>0.05</v>
      </c>
      <c r="G1540" s="141">
        <f>I1539</f>
        <v>20465</v>
      </c>
      <c r="H1540" s="108">
        <v>0</v>
      </c>
      <c r="I1540" s="141">
        <f>ROUND((F1540*G1540),0)</f>
        <v>1023</v>
      </c>
      <c r="J1540" s="47"/>
      <c r="K1540" s="143"/>
    </row>
    <row r="1541" spans="2:11" ht="24.9" customHeight="1" x14ac:dyDescent="0.2">
      <c r="B1541" s="679"/>
      <c r="C1541" s="108" t="s">
        <v>3145</v>
      </c>
      <c r="D1541" s="139" t="s">
        <v>3150</v>
      </c>
      <c r="E1541" s="108" t="s">
        <v>1074</v>
      </c>
      <c r="F1541" s="140">
        <v>1</v>
      </c>
      <c r="G1541" s="141">
        <v>14822.4</v>
      </c>
      <c r="H1541" s="108">
        <v>0.2</v>
      </c>
      <c r="I1541" s="141">
        <v>2964</v>
      </c>
      <c r="J1541" s="47"/>
      <c r="K1541" s="143"/>
    </row>
    <row r="1542" spans="2:11" ht="24.9" customHeight="1" thickBot="1" x14ac:dyDescent="0.25">
      <c r="B1542" s="709"/>
      <c r="C1542" s="145" t="str">
        <f>+'LISTA DE INSUMOS'!A762</f>
        <v>EQU006</v>
      </c>
      <c r="D1542" s="146" t="str">
        <f>+'LISTA DE INSUMOS'!B762</f>
        <v>Andamio (% mano obra)</v>
      </c>
      <c r="E1542" s="145" t="str">
        <f>+'LISTA DE INSUMOS'!C762</f>
        <v>%MO</v>
      </c>
      <c r="F1542" s="147">
        <v>0.05</v>
      </c>
      <c r="G1542" s="148">
        <f>I1539</f>
        <v>20465</v>
      </c>
      <c r="H1542" s="145">
        <v>0</v>
      </c>
      <c r="I1542" s="148">
        <f>ROUND((F1542*G1542),0)</f>
        <v>1023</v>
      </c>
      <c r="J1542" s="47"/>
      <c r="K1542" s="143"/>
    </row>
    <row r="1543" spans="2:11" ht="24.9" customHeight="1" x14ac:dyDescent="0.2">
      <c r="B1543" s="117" t="s">
        <v>1806</v>
      </c>
      <c r="C1543" s="117"/>
      <c r="D1543" s="112" t="s">
        <v>249</v>
      </c>
      <c r="E1543" s="117" t="s">
        <v>2585</v>
      </c>
      <c r="F1543" s="149"/>
      <c r="G1543" s="119">
        <f>ROUND(SUM(I1543:I1551),0)</f>
        <v>104238</v>
      </c>
      <c r="H1543" s="120"/>
      <c r="I1543" s="119"/>
      <c r="J1543" s="47"/>
      <c r="K1543" s="143"/>
    </row>
    <row r="1544" spans="2:11" ht="24.9" customHeight="1" x14ac:dyDescent="0.2">
      <c r="B1544" s="657" t="s">
        <v>1325</v>
      </c>
      <c r="C1544" s="108" t="str">
        <f>+'LISTA DE INSUMOS'!A72</f>
        <v>MAT039</v>
      </c>
      <c r="D1544" s="139" t="str">
        <f>+'LISTA DE INSUMOS'!B72</f>
        <v>Ladrillo liviano prensado  24x 12 x 5,5 cm</v>
      </c>
      <c r="E1544" s="108" t="str">
        <f>+'LISTA DE INSUMOS'!C72</f>
        <v>Un</v>
      </c>
      <c r="F1544" s="140">
        <v>55</v>
      </c>
      <c r="G1544" s="141">
        <f>'LISTA DE INSUMOS'!E72</f>
        <v>756.58310111999992</v>
      </c>
      <c r="H1544" s="108">
        <v>1.05</v>
      </c>
      <c r="I1544" s="141">
        <f>ROUND((F1544*G1544*H1544),0)</f>
        <v>43693</v>
      </c>
      <c r="J1544" s="47"/>
      <c r="K1544" s="143"/>
    </row>
    <row r="1545" spans="2:11" ht="24.9" customHeight="1" x14ac:dyDescent="0.2">
      <c r="B1545" s="657"/>
      <c r="C1545" s="108" t="str">
        <f>+'LISTA DE INSUMOS'!A632</f>
        <v>MAT648</v>
      </c>
      <c r="D1545" s="139" t="str">
        <f>+'LISTA DE INSUMOS'!B632</f>
        <v>Grafil 5,5 mm</v>
      </c>
      <c r="E1545" s="108" t="str">
        <f>+'LISTA DE INSUMOS'!C632</f>
        <v>kg</v>
      </c>
      <c r="F1545" s="140">
        <v>0.4</v>
      </c>
      <c r="G1545" s="141">
        <f>'LISTA DE INSUMOS'!E632</f>
        <v>7931.5641109319986</v>
      </c>
      <c r="H1545" s="108">
        <v>1.05</v>
      </c>
      <c r="I1545" s="141">
        <f>ROUND((F1545*G1545*H1545),0)</f>
        <v>3331</v>
      </c>
      <c r="J1545" s="47"/>
      <c r="K1545" s="143"/>
    </row>
    <row r="1546" spans="2:11" ht="24.9" customHeight="1" thickBot="1" x14ac:dyDescent="0.25">
      <c r="B1546" s="659"/>
      <c r="C1546" s="108" t="str">
        <f>+'LISTA DE INSUMOS'!A42</f>
        <v>MAT013</v>
      </c>
      <c r="D1546" s="139" t="str">
        <f>+'LISTA DE INSUMOS'!B42</f>
        <v xml:space="preserve">Agua </v>
      </c>
      <c r="E1546" s="108" t="str">
        <f>+'LISTA DE INSUMOS'!C42</f>
        <v>Lt</v>
      </c>
      <c r="F1546" s="140">
        <v>50</v>
      </c>
      <c r="G1546" s="141">
        <f>'LISTA DE INSUMOS'!E42</f>
        <v>96.828790046226644</v>
      </c>
      <c r="H1546" s="108">
        <v>0</v>
      </c>
      <c r="I1546" s="141">
        <f>ROUND((F1546*G1546),0)</f>
        <v>4841</v>
      </c>
      <c r="J1546" s="47"/>
      <c r="K1546" s="143"/>
    </row>
    <row r="1547" spans="2:11" ht="24.9" customHeight="1" thickTop="1" thickBot="1" x14ac:dyDescent="0.25">
      <c r="B1547" s="191" t="s">
        <v>1310</v>
      </c>
      <c r="C1547" s="108" t="str">
        <f>+B574</f>
        <v>ITE96</v>
      </c>
      <c r="D1547" s="139" t="str">
        <f>+D574</f>
        <v>Mortero 1:3 (producción)</v>
      </c>
      <c r="E1547" s="108" t="str">
        <f>+E574</f>
        <v>M3</v>
      </c>
      <c r="F1547" s="152">
        <v>1.9E-2</v>
      </c>
      <c r="G1547" s="141">
        <f>G574</f>
        <v>580906</v>
      </c>
      <c r="H1547" s="108">
        <v>1.05</v>
      </c>
      <c r="I1547" s="141">
        <f>ROUND((F1547*G1547*H1547),0)</f>
        <v>11589</v>
      </c>
      <c r="J1547" s="47"/>
      <c r="K1547" s="143"/>
    </row>
    <row r="1548" spans="2:11" ht="24.9" customHeight="1" thickTop="1" thickBot="1" x14ac:dyDescent="0.25">
      <c r="B1548" s="158" t="s">
        <v>1034</v>
      </c>
      <c r="C1548" s="108" t="str">
        <f>+'LISTA DE INSUMOS'!A18</f>
        <v>MOB015</v>
      </c>
      <c r="D1548" s="139" t="str">
        <f>+'LISTA DE INSUMOS'!B18</f>
        <v>Cuadrilla E 1 Of + 1 Ay (jornal + prestaciones)</v>
      </c>
      <c r="E1548" s="108" t="str">
        <f>+'LISTA DE INSUMOS'!C18</f>
        <v>Día</v>
      </c>
      <c r="F1548" s="140">
        <v>1</v>
      </c>
      <c r="G1548" s="141">
        <f>'LISTA DE INSUMOS'!E18</f>
        <v>245584</v>
      </c>
      <c r="H1548" s="108">
        <v>0.14000000000000001</v>
      </c>
      <c r="I1548" s="141">
        <f>ROUND((F1548*G1548*H1548),0)</f>
        <v>34382</v>
      </c>
      <c r="J1548" s="47"/>
      <c r="K1548" s="143"/>
    </row>
    <row r="1549" spans="2:11" ht="24.9" customHeight="1" thickTop="1" x14ac:dyDescent="0.2">
      <c r="B1549" s="674" t="s">
        <v>1033</v>
      </c>
      <c r="C1549" s="108" t="str">
        <f>+'LISTA DE INSUMOS'!A758</f>
        <v>EQU002</v>
      </c>
      <c r="D1549" s="139" t="str">
        <f>+'LISTA DE INSUMOS'!B758</f>
        <v>Herramienta menor (% mano obra)</v>
      </c>
      <c r="E1549" s="108" t="str">
        <f>+'LISTA DE INSUMOS'!C758</f>
        <v>%MO</v>
      </c>
      <c r="F1549" s="140">
        <v>0.05</v>
      </c>
      <c r="G1549" s="141">
        <f>I1548</f>
        <v>34382</v>
      </c>
      <c r="H1549" s="108">
        <v>0</v>
      </c>
      <c r="I1549" s="141">
        <f>ROUND((F1549*G1549),0)</f>
        <v>1719</v>
      </c>
      <c r="J1549" s="47"/>
      <c r="K1549" s="143"/>
    </row>
    <row r="1550" spans="2:11" ht="24.9" customHeight="1" x14ac:dyDescent="0.2">
      <c r="B1550" s="679"/>
      <c r="C1550" s="108" t="s">
        <v>3145</v>
      </c>
      <c r="D1550" s="139" t="s">
        <v>3150</v>
      </c>
      <c r="E1550" s="108" t="s">
        <v>1074</v>
      </c>
      <c r="F1550" s="140">
        <v>1</v>
      </c>
      <c r="G1550" s="141">
        <v>14822.4</v>
      </c>
      <c r="H1550" s="108">
        <v>0.2</v>
      </c>
      <c r="I1550" s="141">
        <v>2964</v>
      </c>
      <c r="J1550" s="47"/>
      <c r="K1550" s="143"/>
    </row>
    <row r="1551" spans="2:11" ht="24.9" customHeight="1" thickBot="1" x14ac:dyDescent="0.25">
      <c r="B1551" s="709"/>
      <c r="C1551" s="145" t="str">
        <f>+'LISTA DE INSUMOS'!A762</f>
        <v>EQU006</v>
      </c>
      <c r="D1551" s="146" t="str">
        <f>+'LISTA DE INSUMOS'!B762</f>
        <v>Andamio (% mano obra)</v>
      </c>
      <c r="E1551" s="145" t="str">
        <f>+'LISTA DE INSUMOS'!C762</f>
        <v>%MO</v>
      </c>
      <c r="F1551" s="147">
        <v>0.05</v>
      </c>
      <c r="G1551" s="148">
        <f>I1548</f>
        <v>34382</v>
      </c>
      <c r="H1551" s="145">
        <v>0</v>
      </c>
      <c r="I1551" s="148">
        <f>ROUND((F1551*G1551),0)</f>
        <v>1719</v>
      </c>
      <c r="J1551" s="47"/>
      <c r="K1551" s="143"/>
    </row>
    <row r="1552" spans="2:11" s="317" customFormat="1" ht="24.9" hidden="1" customHeight="1" x14ac:dyDescent="0.2">
      <c r="B1552" s="319" t="s">
        <v>1757</v>
      </c>
      <c r="C1552" s="319"/>
      <c r="D1552" s="320" t="s">
        <v>69</v>
      </c>
      <c r="E1552" s="319" t="s">
        <v>1412</v>
      </c>
      <c r="F1552" s="332"/>
      <c r="G1552" s="312">
        <f>ROUND(SUM(I1552:I1557),0)</f>
        <v>73327</v>
      </c>
      <c r="H1552" s="322"/>
      <c r="I1552" s="312"/>
      <c r="J1552" s="313"/>
      <c r="K1552" s="323"/>
    </row>
    <row r="1553" spans="2:11" s="317" customFormat="1" ht="24.9" hidden="1" customHeight="1" x14ac:dyDescent="0.2">
      <c r="B1553" s="658" t="s">
        <v>1325</v>
      </c>
      <c r="C1553" s="322" t="str">
        <f>+'LISTA DE INSUMOS'!A54</f>
        <v>MAT023</v>
      </c>
      <c r="D1553" s="324" t="str">
        <f>+'LISTA DE INSUMOS'!B54</f>
        <v>Ladrillo tolete común</v>
      </c>
      <c r="E1553" s="322" t="str">
        <f>+'LISTA DE INSUMOS'!C54</f>
        <v>Un</v>
      </c>
      <c r="F1553" s="325">
        <v>10</v>
      </c>
      <c r="G1553" s="312">
        <f>'LISTA DE INSUMOS'!E54</f>
        <v>815.28</v>
      </c>
      <c r="H1553" s="322">
        <v>1.05</v>
      </c>
      <c r="I1553" s="312">
        <f>ROUND((F1553*G1553*H1553),0)</f>
        <v>8560</v>
      </c>
      <c r="J1553" s="313"/>
      <c r="K1553" s="323"/>
    </row>
    <row r="1554" spans="2:11" s="317" customFormat="1" ht="24.9" hidden="1" customHeight="1" thickBot="1" x14ac:dyDescent="0.25">
      <c r="B1554" s="668"/>
      <c r="C1554" s="322" t="str">
        <f>+'LISTA DE INSUMOS'!A42</f>
        <v>MAT013</v>
      </c>
      <c r="D1554" s="324" t="str">
        <f>+'LISTA DE INSUMOS'!B42</f>
        <v xml:space="preserve">Agua </v>
      </c>
      <c r="E1554" s="322" t="str">
        <f>+'LISTA DE INSUMOS'!C42</f>
        <v>Lt</v>
      </c>
      <c r="F1554" s="325">
        <v>10</v>
      </c>
      <c r="G1554" s="312">
        <f>'LISTA DE INSUMOS'!E42</f>
        <v>96.828790046226644</v>
      </c>
      <c r="H1554" s="322">
        <v>0</v>
      </c>
      <c r="I1554" s="312">
        <f>ROUND((F1554*G1554),0)</f>
        <v>968</v>
      </c>
      <c r="J1554" s="313"/>
      <c r="K1554" s="323"/>
    </row>
    <row r="1555" spans="2:11" s="317" customFormat="1" ht="24.9" hidden="1" customHeight="1" thickTop="1" thickBot="1" x14ac:dyDescent="0.25">
      <c r="B1555" s="347" t="s">
        <v>1310</v>
      </c>
      <c r="C1555" s="322" t="str">
        <f>+B1465</f>
        <v>ITE163</v>
      </c>
      <c r="D1555" s="324" t="str">
        <f>+D1465</f>
        <v>Mortero 1:3 impermeabilizado (producción)</v>
      </c>
      <c r="E1555" s="322" t="str">
        <f>+E1465</f>
        <v>M3</v>
      </c>
      <c r="F1555" s="325">
        <v>0.06</v>
      </c>
      <c r="G1555" s="312">
        <f>G1465</f>
        <v>583886</v>
      </c>
      <c r="H1555" s="322">
        <v>1.05</v>
      </c>
      <c r="I1555" s="312">
        <f>ROUND((F1555*G1555*H1555),0)</f>
        <v>36785</v>
      </c>
      <c r="J1555" s="313"/>
      <c r="K1555" s="323"/>
    </row>
    <row r="1556" spans="2:11" s="317" customFormat="1" ht="24.9" hidden="1" customHeight="1" thickTop="1" thickBot="1" x14ac:dyDescent="0.25">
      <c r="B1556" s="342" t="s">
        <v>1034</v>
      </c>
      <c r="C1556" s="322" t="str">
        <f>+'LISTA DE INSUMOS'!A18</f>
        <v>MOB015</v>
      </c>
      <c r="D1556" s="324" t="str">
        <f>+'LISTA DE INSUMOS'!B18</f>
        <v>Cuadrilla E 1 Of + 1 Ay (jornal + prestaciones)</v>
      </c>
      <c r="E1556" s="322" t="str">
        <f>+'LISTA DE INSUMOS'!C18</f>
        <v>Día</v>
      </c>
      <c r="F1556" s="325">
        <v>1</v>
      </c>
      <c r="G1556" s="312">
        <f>'LISTA DE INSUMOS'!E18</f>
        <v>245584</v>
      </c>
      <c r="H1556" s="322">
        <f>1/10</f>
        <v>0.1</v>
      </c>
      <c r="I1556" s="312">
        <f>ROUND((F1556*G1556*H1556),0)</f>
        <v>24558</v>
      </c>
      <c r="J1556" s="313"/>
      <c r="K1556" s="323"/>
    </row>
    <row r="1557" spans="2:11" s="317" customFormat="1" ht="24.9" hidden="1" customHeight="1" thickTop="1" thickBot="1" x14ac:dyDescent="0.25">
      <c r="B1557" s="255" t="s">
        <v>1033</v>
      </c>
      <c r="C1557" s="327" t="str">
        <f>+'LISTA DE INSUMOS'!A758</f>
        <v>EQU002</v>
      </c>
      <c r="D1557" s="328" t="str">
        <f>+'LISTA DE INSUMOS'!B758</f>
        <v>Herramienta menor (% mano obra)</v>
      </c>
      <c r="E1557" s="329" t="str">
        <f>+'LISTA DE INSUMOS'!C758</f>
        <v>%MO</v>
      </c>
      <c r="F1557" s="330">
        <v>0.1</v>
      </c>
      <c r="G1557" s="331">
        <f>I1556</f>
        <v>24558</v>
      </c>
      <c r="H1557" s="329">
        <v>0</v>
      </c>
      <c r="I1557" s="331">
        <f>ROUND((F1557*G1557),0)</f>
        <v>2456</v>
      </c>
      <c r="J1557" s="313"/>
      <c r="K1557" s="323"/>
    </row>
    <row r="1558" spans="2:11" ht="24.9" customHeight="1" x14ac:dyDescent="0.2">
      <c r="B1558" s="117" t="s">
        <v>1935</v>
      </c>
      <c r="C1558" s="117"/>
      <c r="D1558" s="112" t="s">
        <v>1926</v>
      </c>
      <c r="E1558" s="117" t="s">
        <v>2585</v>
      </c>
      <c r="F1558" s="149"/>
      <c r="G1558" s="119">
        <f>SUM(I1559:I1563)</f>
        <v>31865</v>
      </c>
      <c r="H1558" s="120"/>
      <c r="I1558" s="119"/>
      <c r="J1558" s="47"/>
      <c r="K1558" s="143"/>
    </row>
    <row r="1559" spans="2:11" ht="24.9" customHeight="1" thickBot="1" x14ac:dyDescent="0.25">
      <c r="B1559" s="191" t="s">
        <v>1310</v>
      </c>
      <c r="C1559" s="108" t="str">
        <f>+B574</f>
        <v>ITE96</v>
      </c>
      <c r="D1559" s="139" t="str">
        <f>+D574</f>
        <v>Mortero 1:3 (producción)</v>
      </c>
      <c r="E1559" s="108" t="str">
        <f>+E574</f>
        <v>M3</v>
      </c>
      <c r="F1559" s="140">
        <v>0.03</v>
      </c>
      <c r="G1559" s="141">
        <f>G574</f>
        <v>580906</v>
      </c>
      <c r="H1559" s="108">
        <v>1.05</v>
      </c>
      <c r="I1559" s="141">
        <f>ROUND((F1559*G1559*H1559),0)</f>
        <v>18299</v>
      </c>
      <c r="J1559" s="47"/>
      <c r="K1559" s="143"/>
    </row>
    <row r="1560" spans="2:11" ht="24.9" customHeight="1" thickTop="1" thickBot="1" x14ac:dyDescent="0.25">
      <c r="B1560" s="158" t="s">
        <v>1034</v>
      </c>
      <c r="C1560" s="108" t="str">
        <f>+'LISTA DE INSUMOS'!A18</f>
        <v>MOB015</v>
      </c>
      <c r="D1560" s="139" t="str">
        <f>+'LISTA DE INSUMOS'!B18</f>
        <v>Cuadrilla E 1 Of + 1 Ay (jornal + prestaciones)</v>
      </c>
      <c r="E1560" s="108" t="str">
        <f>+'LISTA DE INSUMOS'!C18</f>
        <v>Día</v>
      </c>
      <c r="F1560" s="140">
        <v>1</v>
      </c>
      <c r="G1560" s="141">
        <f>'LISTA DE INSUMOS'!E18</f>
        <v>245584</v>
      </c>
      <c r="H1560" s="108">
        <f>1/30</f>
        <v>3.3333333333333333E-2</v>
      </c>
      <c r="I1560" s="141">
        <f>ROUND((F1560*G1560*H1560),0)</f>
        <v>8186</v>
      </c>
      <c r="J1560" s="47"/>
      <c r="K1560" s="143"/>
    </row>
    <row r="1561" spans="2:11" ht="24.9" customHeight="1" thickTop="1" x14ac:dyDescent="0.2">
      <c r="B1561" s="674" t="s">
        <v>1033</v>
      </c>
      <c r="C1561" s="108" t="str">
        <f>+'LISTA DE INSUMOS'!A762</f>
        <v>EQU006</v>
      </c>
      <c r="D1561" s="139" t="str">
        <f>+'LISTA DE INSUMOS'!B762</f>
        <v>Andamio (% mano obra)</v>
      </c>
      <c r="E1561" s="108" t="str">
        <f>+'LISTA DE INSUMOS'!C762</f>
        <v>%MO</v>
      </c>
      <c r="F1561" s="140">
        <v>0.05</v>
      </c>
      <c r="G1561" s="141">
        <f>I1560</f>
        <v>8186</v>
      </c>
      <c r="H1561" s="108">
        <v>0</v>
      </c>
      <c r="I1561" s="141">
        <f>ROUND((F1561*G1561),0)</f>
        <v>409</v>
      </c>
      <c r="J1561" s="47"/>
      <c r="K1561" s="143"/>
    </row>
    <row r="1562" spans="2:11" ht="24.9" customHeight="1" x14ac:dyDescent="0.2">
      <c r="B1562" s="679"/>
      <c r="C1562" s="108" t="str">
        <f>'LISTA DE INSUMOS'!A820</f>
        <v>EQU065</v>
      </c>
      <c r="D1562" s="139" t="str">
        <f>'LISTA DE INSUMOS'!B820</f>
        <v>eslinga y arnes</v>
      </c>
      <c r="E1562" s="108" t="str">
        <f>'LISTA DE INSUMOS'!C820</f>
        <v>Dia</v>
      </c>
      <c r="F1562" s="140">
        <v>1</v>
      </c>
      <c r="G1562" s="141">
        <f>'LISTA DE INSUMOS'!E820</f>
        <v>20757.962193407995</v>
      </c>
      <c r="H1562" s="108">
        <v>0.2</v>
      </c>
      <c r="I1562" s="141">
        <f>ROUND((F1562*G1562*H1562),0)</f>
        <v>4152</v>
      </c>
      <c r="J1562" s="47"/>
      <c r="K1562" s="143"/>
    </row>
    <row r="1563" spans="2:11" ht="24.9" customHeight="1" thickBot="1" x14ac:dyDescent="0.25">
      <c r="B1563" s="709"/>
      <c r="C1563" s="145" t="str">
        <f>+'LISTA DE INSUMOS'!A758</f>
        <v>EQU002</v>
      </c>
      <c r="D1563" s="146" t="str">
        <f>+'LISTA DE INSUMOS'!B758</f>
        <v>Herramienta menor (% mano obra)</v>
      </c>
      <c r="E1563" s="145" t="str">
        <f>+'LISTA DE INSUMOS'!C758</f>
        <v>%MO</v>
      </c>
      <c r="F1563" s="147">
        <v>0.1</v>
      </c>
      <c r="G1563" s="148">
        <f>I1560</f>
        <v>8186</v>
      </c>
      <c r="H1563" s="145">
        <v>0</v>
      </c>
      <c r="I1563" s="148">
        <f>ROUND((F1563*G1563),0)</f>
        <v>819</v>
      </c>
      <c r="J1563" s="47"/>
      <c r="K1563" s="143"/>
    </row>
    <row r="1564" spans="2:11" ht="24.9" customHeight="1" x14ac:dyDescent="0.2">
      <c r="B1564" s="117" t="s">
        <v>1469</v>
      </c>
      <c r="C1564" s="117"/>
      <c r="D1564" s="112" t="s">
        <v>1651</v>
      </c>
      <c r="E1564" s="117" t="s">
        <v>1412</v>
      </c>
      <c r="F1564" s="118"/>
      <c r="G1564" s="119">
        <f>ROUND(SUM(I1564:I1569),0)</f>
        <v>8229</v>
      </c>
      <c r="H1564" s="120"/>
      <c r="I1564" s="119"/>
      <c r="J1564" s="47"/>
      <c r="K1564" s="143"/>
    </row>
    <row r="1565" spans="2:11" ht="24.9" customHeight="1" thickBot="1" x14ac:dyDescent="0.25">
      <c r="B1565" s="191" t="s">
        <v>1310</v>
      </c>
      <c r="C1565" s="108" t="str">
        <f>+B574</f>
        <v>ITE96</v>
      </c>
      <c r="D1565" s="139" t="str">
        <f>+D574</f>
        <v>Mortero 1:3 (producción)</v>
      </c>
      <c r="E1565" s="108" t="str">
        <f>+E574</f>
        <v>M3</v>
      </c>
      <c r="F1565" s="152">
        <v>4.0000000000000001E-3</v>
      </c>
      <c r="G1565" s="141">
        <f>+G574</f>
        <v>580906</v>
      </c>
      <c r="H1565" s="108">
        <v>1.05</v>
      </c>
      <c r="I1565" s="141">
        <f>ROUND((F1565*G1565*H1565),0)</f>
        <v>2440</v>
      </c>
      <c r="J1565" s="47"/>
      <c r="K1565" s="143"/>
    </row>
    <row r="1566" spans="2:11" ht="24.9" customHeight="1" thickTop="1" thickBot="1" x14ac:dyDescent="0.25">
      <c r="B1566" s="158" t="s">
        <v>1034</v>
      </c>
      <c r="C1566" s="108" t="str">
        <f>+'LISTA DE INSUMOS'!A18</f>
        <v>MOB015</v>
      </c>
      <c r="D1566" s="139" t="str">
        <f>+'LISTA DE INSUMOS'!B18</f>
        <v>Cuadrilla E 1 Of + 1 Ay (jornal + prestaciones)</v>
      </c>
      <c r="E1566" s="108" t="str">
        <f>+'LISTA DE INSUMOS'!C18</f>
        <v>Día</v>
      </c>
      <c r="F1566" s="140">
        <v>1</v>
      </c>
      <c r="G1566" s="141">
        <f>+'LISTA DE INSUMOS'!E18</f>
        <v>245584</v>
      </c>
      <c r="H1566" s="108">
        <f>1/100</f>
        <v>0.01</v>
      </c>
      <c r="I1566" s="141">
        <f>ROUND((F1566*G1566*H1566),0)</f>
        <v>2456</v>
      </c>
      <c r="J1566" s="47"/>
      <c r="K1566" s="143"/>
    </row>
    <row r="1567" spans="2:11" ht="24.9" customHeight="1" thickTop="1" x14ac:dyDescent="0.2">
      <c r="B1567" s="674" t="s">
        <v>1033</v>
      </c>
      <c r="C1567" s="108" t="str">
        <f>+'LISTA DE INSUMOS'!A762</f>
        <v>EQU006</v>
      </c>
      <c r="D1567" s="139" t="str">
        <f>+'LISTA DE INSUMOS'!B762</f>
        <v>Andamio (% mano obra)</v>
      </c>
      <c r="E1567" s="108" t="str">
        <f>+'LISTA DE INSUMOS'!C762</f>
        <v>%MO</v>
      </c>
      <c r="F1567" s="140">
        <v>0.05</v>
      </c>
      <c r="G1567" s="141">
        <f>I1566</f>
        <v>2456</v>
      </c>
      <c r="H1567" s="108">
        <v>0</v>
      </c>
      <c r="I1567" s="141">
        <f>ROUND((F1567*G1567),0)</f>
        <v>123</v>
      </c>
      <c r="J1567" s="47"/>
      <c r="K1567" s="143"/>
    </row>
    <row r="1568" spans="2:11" ht="24.9" customHeight="1" x14ac:dyDescent="0.2">
      <c r="B1568" s="679"/>
      <c r="C1568" s="108" t="s">
        <v>3145</v>
      </c>
      <c r="D1568" s="139" t="s">
        <v>3150</v>
      </c>
      <c r="E1568" s="108" t="s">
        <v>1074</v>
      </c>
      <c r="F1568" s="140">
        <v>1</v>
      </c>
      <c r="G1568" s="141">
        <v>14822.4</v>
      </c>
      <c r="H1568" s="108">
        <v>0.2</v>
      </c>
      <c r="I1568" s="141">
        <v>2964</v>
      </c>
      <c r="J1568" s="47"/>
      <c r="K1568" s="143"/>
    </row>
    <row r="1569" spans="2:14" ht="24.9" customHeight="1" thickBot="1" x14ac:dyDescent="0.25">
      <c r="B1569" s="709"/>
      <c r="C1569" s="145" t="str">
        <f>+'LISTA DE INSUMOS'!A758</f>
        <v>EQU002</v>
      </c>
      <c r="D1569" s="146" t="str">
        <f>+'LISTA DE INSUMOS'!B758</f>
        <v>Herramienta menor (% mano obra)</v>
      </c>
      <c r="E1569" s="145" t="str">
        <f>+'LISTA DE INSUMOS'!C758</f>
        <v>%MO</v>
      </c>
      <c r="F1569" s="147">
        <v>0.1</v>
      </c>
      <c r="G1569" s="148">
        <f>I1566</f>
        <v>2456</v>
      </c>
      <c r="H1569" s="145">
        <v>0</v>
      </c>
      <c r="I1569" s="148">
        <f>ROUND((F1569*G1569),0)</f>
        <v>246</v>
      </c>
      <c r="J1569" s="47"/>
      <c r="K1569" s="143"/>
    </row>
    <row r="1570" spans="2:14" ht="24.9" customHeight="1" x14ac:dyDescent="0.2">
      <c r="B1570" s="117" t="s">
        <v>1805</v>
      </c>
      <c r="C1570" s="117"/>
      <c r="D1570" s="112" t="s">
        <v>1920</v>
      </c>
      <c r="E1570" s="117" t="s">
        <v>2585</v>
      </c>
      <c r="F1570" s="149"/>
      <c r="G1570" s="119">
        <f>ROUND(SUM(I1570:I1575),0)</f>
        <v>52643</v>
      </c>
      <c r="H1570" s="120"/>
      <c r="I1570" s="119"/>
      <c r="J1570" s="47"/>
      <c r="K1570" s="143"/>
    </row>
    <row r="1571" spans="2:14" ht="24.9" customHeight="1" thickBot="1" x14ac:dyDescent="0.25">
      <c r="B1571" s="191" t="s">
        <v>1310</v>
      </c>
      <c r="C1571" s="108" t="str">
        <f>+B574</f>
        <v>ITE96</v>
      </c>
      <c r="D1571" s="139" t="str">
        <f>+D574</f>
        <v>Mortero 1:3 (producción)</v>
      </c>
      <c r="E1571" s="108" t="str">
        <f>+E574</f>
        <v>M3</v>
      </c>
      <c r="F1571" s="140">
        <v>0.03</v>
      </c>
      <c r="G1571" s="141">
        <f>+G574</f>
        <v>580906</v>
      </c>
      <c r="H1571" s="108">
        <v>1.05</v>
      </c>
      <c r="I1571" s="141">
        <f>ROUND((F1571*G1571*H1571),0)</f>
        <v>18299</v>
      </c>
      <c r="J1571" s="47"/>
      <c r="K1571" s="143"/>
    </row>
    <row r="1572" spans="2:14" ht="24.9" customHeight="1" thickTop="1" thickBot="1" x14ac:dyDescent="0.25">
      <c r="B1572" s="158" t="s">
        <v>1034</v>
      </c>
      <c r="C1572" s="108" t="str">
        <f>+'LISTA DE INSUMOS'!A18</f>
        <v>MOB015</v>
      </c>
      <c r="D1572" s="139" t="str">
        <f>+'LISTA DE INSUMOS'!B18</f>
        <v>Cuadrilla E 1 Of + 1 Ay (jornal + prestaciones)</v>
      </c>
      <c r="E1572" s="108" t="str">
        <f>+'LISTA DE INSUMOS'!C18</f>
        <v>Día</v>
      </c>
      <c r="F1572" s="140">
        <v>1</v>
      </c>
      <c r="G1572" s="141">
        <f>'LISTA DE INSUMOS'!E18</f>
        <v>245584</v>
      </c>
      <c r="H1572" s="108">
        <f>1/9</f>
        <v>0.1111111111111111</v>
      </c>
      <c r="I1572" s="141">
        <f>ROUND((F1572*G1572*H1572),0)</f>
        <v>27287</v>
      </c>
      <c r="J1572" s="47"/>
      <c r="K1572" s="108"/>
      <c r="L1572" s="108"/>
      <c r="M1572" s="108"/>
    </row>
    <row r="1573" spans="2:14" ht="24.9" customHeight="1" thickTop="1" x14ac:dyDescent="0.2">
      <c r="B1573" s="674" t="s">
        <v>1033</v>
      </c>
      <c r="C1573" s="108" t="str">
        <f>+'LISTA DE INSUMOS'!A758</f>
        <v>EQU002</v>
      </c>
      <c r="D1573" s="139" t="str">
        <f>+'LISTA DE INSUMOS'!B758</f>
        <v>Herramienta menor (% mano obra)</v>
      </c>
      <c r="E1573" s="108" t="str">
        <f>+'LISTA DE INSUMOS'!C758</f>
        <v>%MO</v>
      </c>
      <c r="F1573" s="140">
        <v>0.1</v>
      </c>
      <c r="G1573" s="141">
        <f>I1572</f>
        <v>27287</v>
      </c>
      <c r="H1573" s="108">
        <v>0</v>
      </c>
      <c r="I1573" s="141">
        <f>ROUND((F1573*G1573),0)</f>
        <v>2729</v>
      </c>
      <c r="J1573" s="47"/>
      <c r="K1573" s="143"/>
    </row>
    <row r="1574" spans="2:14" ht="24.9" customHeight="1" x14ac:dyDescent="0.2">
      <c r="B1574" s="679"/>
      <c r="C1574" s="108" t="s">
        <v>3145</v>
      </c>
      <c r="D1574" s="139" t="s">
        <v>3150</v>
      </c>
      <c r="E1574" s="108" t="s">
        <v>1074</v>
      </c>
      <c r="F1574" s="140">
        <v>1</v>
      </c>
      <c r="G1574" s="141">
        <v>14822.4</v>
      </c>
      <c r="H1574" s="108">
        <v>0.2</v>
      </c>
      <c r="I1574" s="141">
        <v>2964</v>
      </c>
      <c r="J1574" s="47"/>
      <c r="K1574" s="143"/>
    </row>
    <row r="1575" spans="2:14" ht="24.9" customHeight="1" thickBot="1" x14ac:dyDescent="0.25">
      <c r="B1575" s="709"/>
      <c r="C1575" s="145" t="str">
        <f>+'LISTA DE INSUMOS'!A762</f>
        <v>EQU006</v>
      </c>
      <c r="D1575" s="146" t="str">
        <f>+'LISTA DE INSUMOS'!B762</f>
        <v>Andamio (% mano obra)</v>
      </c>
      <c r="E1575" s="145" t="str">
        <f>+'LISTA DE INSUMOS'!C762</f>
        <v>%MO</v>
      </c>
      <c r="F1575" s="147">
        <v>0.05</v>
      </c>
      <c r="G1575" s="148">
        <f>I1572</f>
        <v>27287</v>
      </c>
      <c r="H1575" s="145">
        <v>0</v>
      </c>
      <c r="I1575" s="148">
        <f>ROUND((F1575*G1575),0)</f>
        <v>1364</v>
      </c>
      <c r="J1575" s="47"/>
      <c r="K1575" s="143"/>
    </row>
    <row r="1576" spans="2:14" ht="24.9" customHeight="1" x14ac:dyDescent="0.2">
      <c r="B1576" s="117" t="s">
        <v>1665</v>
      </c>
      <c r="C1576" s="117"/>
      <c r="D1576" s="112" t="s">
        <v>1924</v>
      </c>
      <c r="E1576" s="117" t="s">
        <v>2585</v>
      </c>
      <c r="F1576" s="149"/>
      <c r="G1576" s="119">
        <f>ROUND(SUM(I1576:I1581),0)</f>
        <v>43950</v>
      </c>
      <c r="H1576" s="120"/>
      <c r="I1576" s="119"/>
      <c r="J1576" s="47"/>
      <c r="K1576" s="143"/>
    </row>
    <row r="1577" spans="2:14" ht="24.9" customHeight="1" thickBot="1" x14ac:dyDescent="0.25">
      <c r="B1577" s="191" t="s">
        <v>1310</v>
      </c>
      <c r="C1577" s="108" t="str">
        <f>+B1465</f>
        <v>ITE163</v>
      </c>
      <c r="D1577" s="139" t="str">
        <f>+D1465</f>
        <v>Mortero 1:3 impermeabilizado (producción)</v>
      </c>
      <c r="E1577" s="108" t="str">
        <f>+E1465</f>
        <v>M3</v>
      </c>
      <c r="F1577" s="140">
        <v>0.03</v>
      </c>
      <c r="G1577" s="141">
        <f>G1465</f>
        <v>583886</v>
      </c>
      <c r="H1577" s="205">
        <v>1.05</v>
      </c>
      <c r="I1577" s="141">
        <f>ROUND((F1577*G1577*H1577),0)</f>
        <v>18392</v>
      </c>
      <c r="J1577" s="47"/>
      <c r="K1577" s="143"/>
    </row>
    <row r="1578" spans="2:14" ht="24.9" customHeight="1" thickTop="1" thickBot="1" x14ac:dyDescent="0.25">
      <c r="B1578" s="158" t="s">
        <v>1034</v>
      </c>
      <c r="C1578" s="108" t="str">
        <f>+'LISTA DE INSUMOS'!A18</f>
        <v>MOB015</v>
      </c>
      <c r="D1578" s="139" t="str">
        <f>+'LISTA DE INSUMOS'!B18</f>
        <v>Cuadrilla E 1 Of + 1 Ay (jornal + prestaciones)</v>
      </c>
      <c r="E1578" s="108" t="str">
        <f>+'LISTA DE INSUMOS'!C18</f>
        <v>Día</v>
      </c>
      <c r="F1578" s="140">
        <v>1</v>
      </c>
      <c r="G1578" s="141">
        <f>'LISTA DE INSUMOS'!E18</f>
        <v>245584</v>
      </c>
      <c r="H1578" s="205">
        <v>0.08</v>
      </c>
      <c r="I1578" s="141">
        <f>ROUND((F1578*G1578*H1578),0)</f>
        <v>19647</v>
      </c>
      <c r="J1578" s="47"/>
      <c r="K1578" s="143"/>
    </row>
    <row r="1579" spans="2:14" ht="24.9" customHeight="1" thickTop="1" x14ac:dyDescent="0.2">
      <c r="B1579" s="674" t="s">
        <v>1033</v>
      </c>
      <c r="C1579" s="108" t="str">
        <f>+'LISTA DE INSUMOS'!A762</f>
        <v>EQU006</v>
      </c>
      <c r="D1579" s="139" t="str">
        <f>+'LISTA DE INSUMOS'!B762</f>
        <v>Andamio (% mano obra)</v>
      </c>
      <c r="E1579" s="108" t="str">
        <f>+'LISTA DE INSUMOS'!C762</f>
        <v>%MO</v>
      </c>
      <c r="F1579" s="140">
        <v>0.05</v>
      </c>
      <c r="G1579" s="141">
        <f>I1578</f>
        <v>19647</v>
      </c>
      <c r="H1579" s="205">
        <v>0</v>
      </c>
      <c r="I1579" s="141">
        <f>ROUND((F1579*G1579),0)</f>
        <v>982</v>
      </c>
      <c r="J1579" s="47"/>
      <c r="K1579" s="143"/>
    </row>
    <row r="1580" spans="2:14" ht="24.9" customHeight="1" x14ac:dyDescent="0.2">
      <c r="B1580" s="679"/>
      <c r="C1580" s="108" t="s">
        <v>3145</v>
      </c>
      <c r="D1580" s="139" t="s">
        <v>3150</v>
      </c>
      <c r="E1580" s="108" t="s">
        <v>1074</v>
      </c>
      <c r="F1580" s="140">
        <v>1</v>
      </c>
      <c r="G1580" s="141">
        <v>14822.4</v>
      </c>
      <c r="H1580" s="205">
        <v>0.2</v>
      </c>
      <c r="I1580" s="141">
        <v>2964</v>
      </c>
      <c r="J1580" s="47"/>
      <c r="K1580" s="143"/>
    </row>
    <row r="1581" spans="2:14" ht="24.75" customHeight="1" thickBot="1" x14ac:dyDescent="0.25">
      <c r="B1581" s="709"/>
      <c r="C1581" s="145" t="str">
        <f>+'LISTA DE INSUMOS'!A758</f>
        <v>EQU002</v>
      </c>
      <c r="D1581" s="146" t="str">
        <f>+'LISTA DE INSUMOS'!B758</f>
        <v>Herramienta menor (% mano obra)</v>
      </c>
      <c r="E1581" s="145" t="str">
        <f>+'LISTA DE INSUMOS'!C758</f>
        <v>%MO</v>
      </c>
      <c r="F1581" s="147">
        <v>0.1</v>
      </c>
      <c r="G1581" s="148">
        <f>I1578</f>
        <v>19647</v>
      </c>
      <c r="H1581" s="206">
        <v>0</v>
      </c>
      <c r="I1581" s="148">
        <f>ROUND((F1581*G1581),0)</f>
        <v>1965</v>
      </c>
      <c r="J1581" s="47"/>
      <c r="K1581" s="143"/>
      <c r="N1581" s="108"/>
    </row>
    <row r="1582" spans="2:14" s="317" customFormat="1" ht="25.5" customHeight="1" x14ac:dyDescent="0.2">
      <c r="B1582" s="117" t="s">
        <v>2051</v>
      </c>
      <c r="C1582" s="117"/>
      <c r="D1582" s="494" t="s">
        <v>1922</v>
      </c>
      <c r="E1582" s="117" t="s">
        <v>1412</v>
      </c>
      <c r="F1582" s="117"/>
      <c r="G1582" s="117">
        <f>ROUND(SUM(I1582:I1588),0)</f>
        <v>30034</v>
      </c>
      <c r="H1582" s="117"/>
      <c r="I1582" s="117"/>
      <c r="J1582" s="313"/>
      <c r="K1582" s="323"/>
    </row>
    <row r="1583" spans="2:14" s="317" customFormat="1" ht="17.25" customHeight="1" thickBot="1" x14ac:dyDescent="0.25">
      <c r="B1583" s="175" t="s">
        <v>1325</v>
      </c>
      <c r="C1583" s="108" t="str">
        <f>+'LISTA DE INSUMOS'!A378</f>
        <v>MAT372</v>
      </c>
      <c r="D1583" s="436" t="str">
        <f>+'LISTA DE INSUMOS'!B378</f>
        <v>MALLA VENA 0.60x2mt Cal. 34</v>
      </c>
      <c r="E1583" s="108" t="str">
        <f>+'LISTA DE INSUMOS'!C378</f>
        <v>M2</v>
      </c>
      <c r="F1583" s="108">
        <v>0.5</v>
      </c>
      <c r="G1583" s="108">
        <f>+'LISTA DE INSUMOS'!E378</f>
        <v>7377.6778902749993</v>
      </c>
      <c r="H1583" s="108">
        <v>1.03</v>
      </c>
      <c r="I1583" s="108">
        <f>ROUND((F1583*G1583*H1583),0)</f>
        <v>3800</v>
      </c>
      <c r="J1583" s="313"/>
      <c r="K1583" s="323"/>
    </row>
    <row r="1584" spans="2:14" s="317" customFormat="1" ht="27.75" customHeight="1" thickTop="1" thickBot="1" x14ac:dyDescent="0.25">
      <c r="B1584" s="191" t="s">
        <v>1310</v>
      </c>
      <c r="C1584" s="108" t="str">
        <f>+B574</f>
        <v>ITE96</v>
      </c>
      <c r="D1584" s="436" t="str">
        <f>+D574</f>
        <v>Mortero 1:3 (producción)</v>
      </c>
      <c r="E1584" s="108" t="str">
        <f>+E574</f>
        <v>M3</v>
      </c>
      <c r="F1584" s="108">
        <v>1.4999999999999999E-2</v>
      </c>
      <c r="G1584" s="108">
        <f>G574</f>
        <v>580906</v>
      </c>
      <c r="H1584" s="108">
        <v>1.05</v>
      </c>
      <c r="I1584" s="108">
        <f>ROUND((F1584*G1584*H1584),0)</f>
        <v>9149</v>
      </c>
      <c r="J1584" s="313"/>
      <c r="K1584" s="323"/>
    </row>
    <row r="1585" spans="2:11" s="317" customFormat="1" ht="23.25" customHeight="1" thickTop="1" thickBot="1" x14ac:dyDescent="0.25">
      <c r="B1585" s="158" t="s">
        <v>1034</v>
      </c>
      <c r="C1585" s="108" t="str">
        <f>+'LISTA DE INSUMOS'!A18</f>
        <v>MOB015</v>
      </c>
      <c r="D1585" s="436" t="str">
        <f>+'LISTA DE INSUMOS'!B18</f>
        <v>Cuadrilla E 1 Of + 1 Ay (jornal + prestaciones)</v>
      </c>
      <c r="E1585" s="108" t="str">
        <f>+'LISTA DE INSUMOS'!C18</f>
        <v>Día</v>
      </c>
      <c r="F1585" s="108">
        <v>1</v>
      </c>
      <c r="G1585" s="108">
        <f>'LISTA DE INSUMOS'!E18</f>
        <v>245584</v>
      </c>
      <c r="H1585" s="108">
        <f>1/20</f>
        <v>0.05</v>
      </c>
      <c r="I1585" s="108">
        <f>ROUND((F1585*G1585*H1585),0)</f>
        <v>12279</v>
      </c>
      <c r="J1585" s="313"/>
      <c r="K1585" s="323"/>
    </row>
    <row r="1586" spans="2:11" s="317" customFormat="1" ht="23.25" customHeight="1" thickTop="1" x14ac:dyDescent="0.2">
      <c r="B1586" s="693" t="s">
        <v>1033</v>
      </c>
      <c r="C1586" s="108" t="str">
        <f>+'LISTA DE INSUMOS'!A758</f>
        <v>EQU002</v>
      </c>
      <c r="D1586" s="436" t="str">
        <f>+'LISTA DE INSUMOS'!B758</f>
        <v>Herramienta menor (% mano obra)</v>
      </c>
      <c r="E1586" s="108" t="str">
        <f>+'LISTA DE INSUMOS'!C758</f>
        <v>%MO</v>
      </c>
      <c r="F1586" s="108">
        <v>0.1</v>
      </c>
      <c r="G1586" s="108">
        <f>I1585</f>
        <v>12279</v>
      </c>
      <c r="H1586" s="108">
        <v>0</v>
      </c>
      <c r="I1586" s="108">
        <f>ROUND((F1586*G1586),0)</f>
        <v>1228</v>
      </c>
      <c r="J1586" s="313"/>
      <c r="K1586" s="323"/>
    </row>
    <row r="1587" spans="2:11" s="317" customFormat="1" ht="23.25" customHeight="1" x14ac:dyDescent="0.2">
      <c r="B1587" s="658"/>
      <c r="C1587" s="108" t="s">
        <v>3145</v>
      </c>
      <c r="D1587" s="436" t="s">
        <v>3150</v>
      </c>
      <c r="E1587" s="108" t="s">
        <v>1074</v>
      </c>
      <c r="F1587" s="108">
        <v>1</v>
      </c>
      <c r="G1587" s="108">
        <v>14822.4</v>
      </c>
      <c r="H1587" s="108">
        <v>0.2</v>
      </c>
      <c r="I1587" s="108">
        <v>2964</v>
      </c>
      <c r="J1587" s="313"/>
      <c r="K1587" s="323"/>
    </row>
    <row r="1588" spans="2:11" s="317" customFormat="1" ht="21" customHeight="1" thickBot="1" x14ac:dyDescent="0.25">
      <c r="B1588" s="694"/>
      <c r="C1588" s="108" t="str">
        <f>+'LISTA DE INSUMOS'!A762</f>
        <v>EQU006</v>
      </c>
      <c r="D1588" s="436" t="str">
        <f>+'LISTA DE INSUMOS'!B762</f>
        <v>Andamio (% mano obra)</v>
      </c>
      <c r="E1588" s="108" t="str">
        <f>+'LISTA DE INSUMOS'!C762</f>
        <v>%MO</v>
      </c>
      <c r="F1588" s="108">
        <v>0.05</v>
      </c>
      <c r="G1588" s="108">
        <f>I1585</f>
        <v>12279</v>
      </c>
      <c r="H1588" s="108">
        <v>0</v>
      </c>
      <c r="I1588" s="108">
        <f>ROUND((F1588*G1588),0)</f>
        <v>614</v>
      </c>
      <c r="J1588" s="313"/>
      <c r="K1588" s="323"/>
    </row>
    <row r="1589" spans="2:11" ht="24.9" customHeight="1" x14ac:dyDescent="0.2">
      <c r="B1589" s="193" t="s">
        <v>1519</v>
      </c>
      <c r="C1589" s="117"/>
      <c r="D1589" s="112" t="s">
        <v>1618</v>
      </c>
      <c r="E1589" s="117" t="s">
        <v>2585</v>
      </c>
      <c r="F1589" s="149"/>
      <c r="G1589" s="119">
        <f>ROUND(SUM(I1589:I1596),0)</f>
        <v>116216</v>
      </c>
      <c r="H1589" s="120"/>
      <c r="I1589" s="119"/>
      <c r="J1589" s="47"/>
      <c r="K1589" s="143"/>
    </row>
    <row r="1590" spans="2:11" ht="24.9" customHeight="1" x14ac:dyDescent="0.2">
      <c r="B1590" s="672" t="s">
        <v>1035</v>
      </c>
      <c r="C1590" s="108" t="str">
        <f>+'LISTA DE INSUMOS'!A31</f>
        <v>MAT002</v>
      </c>
      <c r="D1590" s="139" t="str">
        <f>+'LISTA DE INSUMOS'!B31</f>
        <v>Cemento blanco</v>
      </c>
      <c r="E1590" s="108" t="str">
        <f>+'LISTA DE INSUMOS'!C31</f>
        <v>Kg</v>
      </c>
      <c r="F1590" s="140">
        <v>2</v>
      </c>
      <c r="G1590" s="141">
        <f>'LISTA DE INSUMOS'!E31</f>
        <v>2900</v>
      </c>
      <c r="H1590" s="108">
        <v>1.05</v>
      </c>
      <c r="I1590" s="141">
        <f>ROUND((F1590*G1590*H1590),0)</f>
        <v>6090</v>
      </c>
      <c r="J1590" s="47"/>
      <c r="K1590" s="143"/>
    </row>
    <row r="1591" spans="2:11" ht="24.9" customHeight="1" x14ac:dyDescent="0.2">
      <c r="B1591" s="672"/>
      <c r="C1591" s="108" t="str">
        <f>+'LISTA DE INSUMOS'!A347</f>
        <v>MAT337</v>
      </c>
      <c r="D1591" s="139" t="str">
        <f>+'LISTA DE INSUMOS'!B347</f>
        <v xml:space="preserve">Cerámica blanca </v>
      </c>
      <c r="E1591" s="108" t="str">
        <f>+'LISTA DE INSUMOS'!C347</f>
        <v>M2</v>
      </c>
      <c r="F1591" s="140">
        <v>1</v>
      </c>
      <c r="G1591" s="141">
        <f>+'LISTA DE INSUMOS'!E347</f>
        <v>59516.102414999994</v>
      </c>
      <c r="H1591" s="108">
        <v>1.1000000000000001</v>
      </c>
      <c r="I1591" s="141">
        <f>ROUND((F1591*G1591*H1591),0)</f>
        <v>65468</v>
      </c>
      <c r="J1591" s="47"/>
      <c r="K1591" s="143"/>
    </row>
    <row r="1592" spans="2:11" ht="24.9" customHeight="1" x14ac:dyDescent="0.2">
      <c r="B1592" s="672"/>
      <c r="C1592" s="125" t="str">
        <f>+'LISTA DE INSUMOS'!A618</f>
        <v>MAT634</v>
      </c>
      <c r="D1592" s="155" t="str">
        <f>+'LISTA DE INSUMOS'!B618</f>
        <v>Boquilla para enchape</v>
      </c>
      <c r="E1592" s="108" t="str">
        <f>+'LISTA DE INSUMOS'!C618</f>
        <v>Kg</v>
      </c>
      <c r="F1592" s="140">
        <v>0.5</v>
      </c>
      <c r="G1592" s="141">
        <f>'LISTA DE INSUMOS'!E618</f>
        <v>6158.7571953599981</v>
      </c>
      <c r="H1592" s="108">
        <v>1.05</v>
      </c>
      <c r="I1592" s="141">
        <f>ROUND((F1592*G1592*H1592),0)</f>
        <v>3233</v>
      </c>
      <c r="J1592" s="47"/>
      <c r="K1592" s="143"/>
    </row>
    <row r="1593" spans="2:11" ht="24.9" customHeight="1" thickBot="1" x14ac:dyDescent="0.25">
      <c r="B1593" s="673"/>
      <c r="C1593" s="108" t="str">
        <f>+'LISTA DE INSUMOS'!A515</f>
        <v>MAT532</v>
      </c>
      <c r="D1593" s="139" t="str">
        <f>+'LISTA DE INSUMOS'!B515</f>
        <v>Fijador de cerámica tipo pegacor o similar</v>
      </c>
      <c r="E1593" s="108" t="str">
        <f>+'LISTA DE INSUMOS'!C515</f>
        <v>Kg</v>
      </c>
      <c r="F1593" s="140">
        <v>4</v>
      </c>
      <c r="G1593" s="141">
        <f>'LISTA DE INSUMOS'!E515</f>
        <v>1457.6318472728572</v>
      </c>
      <c r="H1593" s="108">
        <v>1.05</v>
      </c>
      <c r="I1593" s="141">
        <f>ROUND((F1593*G1593*H1593),0)</f>
        <v>6122</v>
      </c>
      <c r="J1593" s="47"/>
      <c r="K1593" s="143"/>
    </row>
    <row r="1594" spans="2:11" ht="24.9" customHeight="1" thickTop="1" thickBot="1" x14ac:dyDescent="0.25">
      <c r="B1594" s="153" t="s">
        <v>1034</v>
      </c>
      <c r="C1594" s="108" t="str">
        <f>+'LISTA DE INSUMOS'!A18</f>
        <v>MOB015</v>
      </c>
      <c r="D1594" s="139" t="str">
        <f>+'LISTA DE INSUMOS'!B18</f>
        <v>Cuadrilla E 1 Of + 1 Ay (jornal + prestaciones)</v>
      </c>
      <c r="E1594" s="108" t="str">
        <f>+'LISTA DE INSUMOS'!C18</f>
        <v>Día</v>
      </c>
      <c r="F1594" s="140">
        <v>1</v>
      </c>
      <c r="G1594" s="141">
        <f>'LISTA DE INSUMOS'!E18</f>
        <v>245584</v>
      </c>
      <c r="H1594" s="108">
        <f>1/8</f>
        <v>0.125</v>
      </c>
      <c r="I1594" s="141">
        <f>ROUND((F1594*G1594*H1594),0)</f>
        <v>30698</v>
      </c>
      <c r="J1594" s="47"/>
      <c r="K1594" s="143"/>
    </row>
    <row r="1595" spans="2:11" ht="24.9" customHeight="1" thickTop="1" x14ac:dyDescent="0.2">
      <c r="B1595" s="674" t="s">
        <v>1033</v>
      </c>
      <c r="C1595" s="108" t="str">
        <f>+'LISTA DE INSUMOS'!A762</f>
        <v>EQU006</v>
      </c>
      <c r="D1595" s="139" t="str">
        <f>+'LISTA DE INSUMOS'!B762</f>
        <v>Andamio (% mano obra)</v>
      </c>
      <c r="E1595" s="108" t="str">
        <f>+'LISTA DE INSUMOS'!C762</f>
        <v>%MO</v>
      </c>
      <c r="F1595" s="140">
        <v>0.05</v>
      </c>
      <c r="G1595" s="141">
        <f>I1594</f>
        <v>30698</v>
      </c>
      <c r="H1595" s="108">
        <v>0</v>
      </c>
      <c r="I1595" s="141">
        <f>ROUND((F1595*G1595),0)</f>
        <v>1535</v>
      </c>
      <c r="J1595" s="47"/>
      <c r="K1595" s="143"/>
    </row>
    <row r="1596" spans="2:11" ht="24.9" customHeight="1" thickBot="1" x14ac:dyDescent="0.25">
      <c r="B1596" s="709"/>
      <c r="C1596" s="145" t="str">
        <f>+'LISTA DE INSUMOS'!A758</f>
        <v>EQU002</v>
      </c>
      <c r="D1596" s="146" t="str">
        <f>+'LISTA DE INSUMOS'!B758</f>
        <v>Herramienta menor (% mano obra)</v>
      </c>
      <c r="E1596" s="145" t="str">
        <f>+'LISTA DE INSUMOS'!C758</f>
        <v>%MO</v>
      </c>
      <c r="F1596" s="147">
        <v>0.1</v>
      </c>
      <c r="G1596" s="148">
        <f>I1594</f>
        <v>30698</v>
      </c>
      <c r="H1596" s="145">
        <v>0</v>
      </c>
      <c r="I1596" s="148">
        <f>ROUND((F1596*G1596),0)</f>
        <v>3070</v>
      </c>
      <c r="J1596" s="47"/>
      <c r="K1596" s="143"/>
    </row>
    <row r="1597" spans="2:11" s="317" customFormat="1" ht="24.9" hidden="1" customHeight="1" x14ac:dyDescent="0.2">
      <c r="B1597" s="319" t="s">
        <v>1776</v>
      </c>
      <c r="C1597" s="319"/>
      <c r="D1597" s="320" t="s">
        <v>1621</v>
      </c>
      <c r="E1597" s="319" t="s">
        <v>2585</v>
      </c>
      <c r="F1597" s="332"/>
      <c r="G1597" s="312">
        <f>ROUND(SUM(I1597:I1604),0)</f>
        <v>97662</v>
      </c>
      <c r="H1597" s="322"/>
      <c r="I1597" s="312"/>
      <c r="J1597" s="313"/>
      <c r="K1597" s="323"/>
    </row>
    <row r="1598" spans="2:11" s="317" customFormat="1" ht="24.9" hidden="1" customHeight="1" x14ac:dyDescent="0.2">
      <c r="B1598" s="691" t="s">
        <v>1035</v>
      </c>
      <c r="C1598" s="322" t="str">
        <f>+'LISTA DE INSUMOS'!A31</f>
        <v>MAT002</v>
      </c>
      <c r="D1598" s="324" t="str">
        <f>+'LISTA DE INSUMOS'!B31</f>
        <v>Cemento blanco</v>
      </c>
      <c r="E1598" s="322" t="str">
        <f>+'LISTA DE INSUMOS'!C31</f>
        <v>Kg</v>
      </c>
      <c r="F1598" s="325">
        <v>2</v>
      </c>
      <c r="G1598" s="312">
        <f>'LISTA DE INSUMOS'!E31</f>
        <v>2900</v>
      </c>
      <c r="H1598" s="322">
        <v>1.05</v>
      </c>
      <c r="I1598" s="312">
        <f>ROUND((F1598*G1598*H1598),0)</f>
        <v>6090</v>
      </c>
      <c r="J1598" s="313"/>
      <c r="K1598" s="323"/>
    </row>
    <row r="1599" spans="2:11" s="317" customFormat="1" ht="24.9" hidden="1" customHeight="1" x14ac:dyDescent="0.2">
      <c r="B1599" s="691"/>
      <c r="C1599" s="322" t="str">
        <f>+'LISTA DE INSUMOS'!A133</f>
        <v>MAT093</v>
      </c>
      <c r="D1599" s="324" t="str">
        <f>+'LISTA DE INSUMOS'!B133</f>
        <v>Cerámica color 1ra. de 25 x 25 cm tipo Macedonia</v>
      </c>
      <c r="E1599" s="322" t="str">
        <f>+'LISTA DE INSUMOS'!C133</f>
        <v>M2</v>
      </c>
      <c r="F1599" s="325">
        <v>1</v>
      </c>
      <c r="G1599" s="312">
        <f>'LISTA DE INSUMOS'!E133</f>
        <v>42649.334999999999</v>
      </c>
      <c r="H1599" s="322">
        <v>1.1000000000000001</v>
      </c>
      <c r="I1599" s="312">
        <f>ROUND((F1599*G1599*H1599),0)</f>
        <v>46914</v>
      </c>
      <c r="J1599" s="313"/>
      <c r="K1599" s="323"/>
    </row>
    <row r="1600" spans="2:11" s="317" customFormat="1" ht="24.9" hidden="1" customHeight="1" x14ac:dyDescent="0.2">
      <c r="B1600" s="691"/>
      <c r="C1600" s="338" t="str">
        <f>+'LISTA DE INSUMOS'!A618</f>
        <v>MAT634</v>
      </c>
      <c r="D1600" s="339" t="str">
        <f>+'LISTA DE INSUMOS'!B618</f>
        <v>Boquilla para enchape</v>
      </c>
      <c r="E1600" s="322" t="str">
        <f>+'LISTA DE INSUMOS'!C618</f>
        <v>Kg</v>
      </c>
      <c r="F1600" s="325">
        <v>0.5</v>
      </c>
      <c r="G1600" s="312">
        <f>'LISTA DE INSUMOS'!E618</f>
        <v>6158.7571953599981</v>
      </c>
      <c r="H1600" s="322">
        <v>1.05</v>
      </c>
      <c r="I1600" s="312">
        <f>ROUND((F1600*G1600*H1600),0)</f>
        <v>3233</v>
      </c>
      <c r="J1600" s="313"/>
      <c r="K1600" s="323"/>
    </row>
    <row r="1601" spans="2:33" s="317" customFormat="1" ht="24.9" hidden="1" customHeight="1" thickBot="1" x14ac:dyDescent="0.25">
      <c r="B1601" s="692"/>
      <c r="C1601" s="322" t="str">
        <f>+'LISTA DE INSUMOS'!A515</f>
        <v>MAT532</v>
      </c>
      <c r="D1601" s="324" t="str">
        <f>+'LISTA DE INSUMOS'!B515</f>
        <v>Fijador de cerámica tipo pegacor o similar</v>
      </c>
      <c r="E1601" s="322" t="str">
        <f>+'LISTA DE INSUMOS'!C515</f>
        <v>Kg</v>
      </c>
      <c r="F1601" s="325">
        <v>4</v>
      </c>
      <c r="G1601" s="312">
        <f>'LISTA DE INSUMOS'!E515</f>
        <v>1457.6318472728572</v>
      </c>
      <c r="H1601" s="322">
        <v>1.05</v>
      </c>
      <c r="I1601" s="312">
        <f>ROUND((F1601*G1601*H1601),0)</f>
        <v>6122</v>
      </c>
      <c r="J1601" s="313"/>
      <c r="K1601" s="323"/>
    </row>
    <row r="1602" spans="2:33" s="317" customFormat="1" ht="24.9" hidden="1" customHeight="1" thickTop="1" thickBot="1" x14ac:dyDescent="0.25">
      <c r="B1602" s="363" t="s">
        <v>1034</v>
      </c>
      <c r="C1602" s="322" t="str">
        <f>+'LISTA DE INSUMOS'!A18</f>
        <v>MOB015</v>
      </c>
      <c r="D1602" s="324" t="str">
        <f>+'LISTA DE INSUMOS'!B18</f>
        <v>Cuadrilla E 1 Of + 1 Ay (jornal + prestaciones)</v>
      </c>
      <c r="E1602" s="322" t="str">
        <f>+'LISTA DE INSUMOS'!C18</f>
        <v>Día</v>
      </c>
      <c r="F1602" s="325">
        <v>1</v>
      </c>
      <c r="G1602" s="312">
        <f>'LISTA DE INSUMOS'!E18</f>
        <v>245584</v>
      </c>
      <c r="H1602" s="322">
        <f>1/8</f>
        <v>0.125</v>
      </c>
      <c r="I1602" s="312">
        <f>ROUND((F1602*G1602*H1602),0)</f>
        <v>30698</v>
      </c>
      <c r="J1602" s="313"/>
      <c r="K1602" s="323"/>
    </row>
    <row r="1603" spans="2:33" s="317" customFormat="1" ht="24.9" hidden="1" customHeight="1" thickTop="1" x14ac:dyDescent="0.2">
      <c r="B1603" s="693" t="s">
        <v>1033</v>
      </c>
      <c r="C1603" s="322" t="str">
        <f>+'LISTA DE INSUMOS'!A762</f>
        <v>EQU006</v>
      </c>
      <c r="D1603" s="324" t="str">
        <f>+'LISTA DE INSUMOS'!B762</f>
        <v>Andamio (% mano obra)</v>
      </c>
      <c r="E1603" s="322" t="str">
        <f>+'LISTA DE INSUMOS'!C762</f>
        <v>%MO</v>
      </c>
      <c r="F1603" s="325">
        <v>0.05</v>
      </c>
      <c r="G1603" s="312">
        <f>I1602</f>
        <v>30698</v>
      </c>
      <c r="H1603" s="322">
        <v>0</v>
      </c>
      <c r="I1603" s="312">
        <f>ROUND((F1603*G1603),0)</f>
        <v>1535</v>
      </c>
      <c r="J1603" s="313"/>
      <c r="K1603" s="323"/>
    </row>
    <row r="1604" spans="2:33" s="317" customFormat="1" ht="24.9" hidden="1" customHeight="1" thickBot="1" x14ac:dyDescent="0.25">
      <c r="B1604" s="694"/>
      <c r="C1604" s="329" t="str">
        <f>+'LISTA DE INSUMOS'!A758</f>
        <v>EQU002</v>
      </c>
      <c r="D1604" s="328" t="str">
        <f>+'LISTA DE INSUMOS'!B758</f>
        <v>Herramienta menor (% mano obra)</v>
      </c>
      <c r="E1604" s="329" t="str">
        <f>+'LISTA DE INSUMOS'!C758</f>
        <v>%MO</v>
      </c>
      <c r="F1604" s="330">
        <v>0.1</v>
      </c>
      <c r="G1604" s="331">
        <f>I1602</f>
        <v>30698</v>
      </c>
      <c r="H1604" s="329">
        <v>0</v>
      </c>
      <c r="I1604" s="331">
        <f>ROUND((F1604*G1604),0)</f>
        <v>3070</v>
      </c>
      <c r="J1604" s="313"/>
      <c r="K1604" s="323"/>
    </row>
    <row r="1605" spans="2:33" ht="24.9" customHeight="1" x14ac:dyDescent="0.2">
      <c r="B1605" s="117" t="s">
        <v>1520</v>
      </c>
      <c r="C1605" s="117"/>
      <c r="D1605" s="112" t="s">
        <v>1762</v>
      </c>
      <c r="E1605" s="117" t="s">
        <v>2585</v>
      </c>
      <c r="F1605" s="149"/>
      <c r="G1605" s="119">
        <f>ROUND(SUM(I1605:I1608),0)</f>
        <v>45506</v>
      </c>
      <c r="H1605" s="120"/>
      <c r="I1605" s="119"/>
      <c r="J1605" s="47"/>
      <c r="K1605" s="143"/>
      <c r="AG1605" s="104">
        <v>62519</v>
      </c>
    </row>
    <row r="1606" spans="2:33" ht="24.9" customHeight="1" thickBot="1" x14ac:dyDescent="0.25">
      <c r="B1606" s="191" t="s">
        <v>1310</v>
      </c>
      <c r="C1606" s="108" t="str">
        <f>+B574</f>
        <v>ITE96</v>
      </c>
      <c r="D1606" s="139" t="str">
        <f>+D574</f>
        <v>Mortero 1:3 (producción)</v>
      </c>
      <c r="E1606" s="108" t="str">
        <f>E574</f>
        <v>M3</v>
      </c>
      <c r="F1606" s="140">
        <v>0.05</v>
      </c>
      <c r="G1606" s="141">
        <f>G574</f>
        <v>580906</v>
      </c>
      <c r="H1606" s="108">
        <v>1.05</v>
      </c>
      <c r="I1606" s="141">
        <f>ROUND((F1606*G1606*H1606),0)</f>
        <v>30498</v>
      </c>
      <c r="J1606" s="47"/>
      <c r="K1606" s="143"/>
    </row>
    <row r="1607" spans="2:33" ht="24.9" customHeight="1" thickTop="1" thickBot="1" x14ac:dyDescent="0.25">
      <c r="B1607" s="158" t="s">
        <v>1034</v>
      </c>
      <c r="C1607" s="108" t="str">
        <f>'LISTA DE INSUMOS'!A18</f>
        <v>MOB015</v>
      </c>
      <c r="D1607" s="139" t="str">
        <f>'LISTA DE INSUMOS'!B18</f>
        <v>Cuadrilla E 1 Of + 1 Ay (jornal + prestaciones)</v>
      </c>
      <c r="E1607" s="108" t="str">
        <f>'LISTA DE INSUMOS'!C18</f>
        <v>Día</v>
      </c>
      <c r="F1607" s="140">
        <v>1</v>
      </c>
      <c r="G1607" s="141">
        <f>'LISTA DE INSUMOS'!E18</f>
        <v>245584</v>
      </c>
      <c r="H1607" s="108">
        <f>1/18</f>
        <v>5.5555555555555552E-2</v>
      </c>
      <c r="I1607" s="141">
        <f>ROUND((F1607*G1607*H1607),0)</f>
        <v>13644</v>
      </c>
      <c r="J1607" s="47"/>
      <c r="K1607" s="143"/>
    </row>
    <row r="1608" spans="2:33" ht="24.9" customHeight="1" thickTop="1" thickBot="1" x14ac:dyDescent="0.25">
      <c r="B1608" s="150" t="s">
        <v>1033</v>
      </c>
      <c r="C1608" s="151" t="str">
        <f>+'LISTA DE INSUMOS'!A758</f>
        <v>EQU002</v>
      </c>
      <c r="D1608" s="146" t="str">
        <f>+'LISTA DE INSUMOS'!B758</f>
        <v>Herramienta menor (% mano obra)</v>
      </c>
      <c r="E1608" s="145" t="str">
        <f>+'LISTA DE INSUMOS'!C758</f>
        <v>%MO</v>
      </c>
      <c r="F1608" s="147">
        <v>0.1</v>
      </c>
      <c r="G1608" s="148">
        <f>I1607</f>
        <v>13644</v>
      </c>
      <c r="H1608" s="145">
        <v>0</v>
      </c>
      <c r="I1608" s="148">
        <f>ROUND((F1608*G1608),0)</f>
        <v>1364</v>
      </c>
      <c r="J1608" s="47"/>
      <c r="K1608" s="143"/>
    </row>
    <row r="1609" spans="2:33" s="317" customFormat="1" ht="24.9" hidden="1" customHeight="1" x14ac:dyDescent="0.2">
      <c r="B1609" s="319" t="s">
        <v>1771</v>
      </c>
      <c r="C1609" s="319"/>
      <c r="D1609" s="320" t="s">
        <v>1824</v>
      </c>
      <c r="E1609" s="319" t="s">
        <v>2585</v>
      </c>
      <c r="F1609" s="332"/>
      <c r="G1609" s="312">
        <f>ROUND(SUM(I1609:I1615),0)</f>
        <v>145382</v>
      </c>
      <c r="H1609" s="322"/>
      <c r="I1609" s="312"/>
      <c r="J1609" s="313"/>
      <c r="K1609" s="323"/>
    </row>
    <row r="1610" spans="2:33" s="317" customFormat="1" ht="24.9" hidden="1" customHeight="1" x14ac:dyDescent="0.2">
      <c r="B1610" s="691" t="s">
        <v>1035</v>
      </c>
      <c r="C1610" s="322" t="str">
        <f>'LISTA DE INSUMOS'!A30</f>
        <v>MAT001</v>
      </c>
      <c r="D1610" s="324" t="str">
        <f>'LISTA DE INSUMOS'!B30</f>
        <v>Cemento gris saco por 50 kilos, incluye cargue, descargue y transporte</v>
      </c>
      <c r="E1610" s="322" t="str">
        <f>'LISTA DE INSUMOS'!C30</f>
        <v>Sc</v>
      </c>
      <c r="F1610" s="325">
        <v>0.15</v>
      </c>
      <c r="G1610" s="312">
        <f>'LISTA DE INSUMOS'!E30</f>
        <v>34500</v>
      </c>
      <c r="H1610" s="322">
        <v>1.05</v>
      </c>
      <c r="I1610" s="312">
        <f>ROUND((F1610*G1610*H1610),0)</f>
        <v>5434</v>
      </c>
      <c r="J1610" s="313"/>
      <c r="K1610" s="323"/>
    </row>
    <row r="1611" spans="2:33" s="317" customFormat="1" ht="24.9" hidden="1" customHeight="1" x14ac:dyDescent="0.2">
      <c r="B1611" s="691"/>
      <c r="C1611" s="322" t="str">
        <f>'LISTA DE INSUMOS'!A164</f>
        <v>MAT119</v>
      </c>
      <c r="D1611" s="324" t="str">
        <f>'LISTA DE INSUMOS'!B164</f>
        <v>Piso Baldosa Roseta Negra 30x30cm</v>
      </c>
      <c r="E1611" s="322" t="str">
        <f>'LISTA DE INSUMOS'!C164</f>
        <v>M2</v>
      </c>
      <c r="F1611" s="325">
        <v>1</v>
      </c>
      <c r="G1611" s="312">
        <f>'LISTA DE INSUMOS'!E164</f>
        <v>80495.804564999984</v>
      </c>
      <c r="H1611" s="322">
        <v>1.1000000000000001</v>
      </c>
      <c r="I1611" s="312">
        <f>ROUND((F1611*G1611*H1611),0)</f>
        <v>88545</v>
      </c>
      <c r="J1611" s="313"/>
      <c r="K1611" s="323"/>
    </row>
    <row r="1612" spans="2:33" s="317" customFormat="1" ht="24.9" hidden="1" customHeight="1" thickBot="1" x14ac:dyDescent="0.25">
      <c r="B1612" s="692"/>
      <c r="C1612" s="322" t="str">
        <f>'LISTA DE INSUMOS'!A31</f>
        <v>MAT002</v>
      </c>
      <c r="D1612" s="324" t="str">
        <f>'LISTA DE INSUMOS'!B31</f>
        <v>Cemento blanco</v>
      </c>
      <c r="E1612" s="322" t="str">
        <f>'LISTA DE INSUMOS'!C31</f>
        <v>Kg</v>
      </c>
      <c r="F1612" s="325">
        <v>2</v>
      </c>
      <c r="G1612" s="312">
        <f>'LISTA DE INSUMOS'!E31</f>
        <v>2900</v>
      </c>
      <c r="H1612" s="322">
        <v>1.05</v>
      </c>
      <c r="I1612" s="312">
        <f>ROUND((F1612*G1612*H1612),0)</f>
        <v>6090</v>
      </c>
      <c r="J1612" s="313"/>
      <c r="K1612" s="323"/>
    </row>
    <row r="1613" spans="2:33" s="317" customFormat="1" ht="30" hidden="1" customHeight="1" thickTop="1" thickBot="1" x14ac:dyDescent="0.25">
      <c r="B1613" s="347" t="s">
        <v>1310</v>
      </c>
      <c r="C1613" s="322" t="str">
        <f>+B574</f>
        <v>ITE96</v>
      </c>
      <c r="D1613" s="324" t="str">
        <f>+D574</f>
        <v>Mortero 1:3 (producción)</v>
      </c>
      <c r="E1613" s="322" t="str">
        <f>E574</f>
        <v>M3</v>
      </c>
      <c r="F1613" s="325">
        <v>0.03</v>
      </c>
      <c r="G1613" s="312">
        <f>G574</f>
        <v>580906</v>
      </c>
      <c r="H1613" s="322">
        <v>1.05</v>
      </c>
      <c r="I1613" s="312">
        <f>ROUND((F1613*G1613*H1613),0)</f>
        <v>18299</v>
      </c>
      <c r="J1613" s="313"/>
      <c r="K1613" s="323"/>
    </row>
    <row r="1614" spans="2:33" s="317" customFormat="1" ht="30" hidden="1" customHeight="1" thickTop="1" thickBot="1" x14ac:dyDescent="0.25">
      <c r="B1614" s="342" t="s">
        <v>1034</v>
      </c>
      <c r="C1614" s="322" t="str">
        <f>'LISTA DE INSUMOS'!A18</f>
        <v>MOB015</v>
      </c>
      <c r="D1614" s="324" t="str">
        <f>'LISTA DE INSUMOS'!B18</f>
        <v>Cuadrilla E 1 Of + 1 Ay (jornal + prestaciones)</v>
      </c>
      <c r="E1614" s="322" t="str">
        <f>'LISTA DE INSUMOS'!C18</f>
        <v>Día</v>
      </c>
      <c r="F1614" s="325">
        <v>1</v>
      </c>
      <c r="G1614" s="312">
        <f>'LISTA DE INSUMOS'!E18</f>
        <v>245584</v>
      </c>
      <c r="H1614" s="322">
        <f>1/10</f>
        <v>0.1</v>
      </c>
      <c r="I1614" s="312">
        <f>ROUND((F1614*G1614*H1614),0)</f>
        <v>24558</v>
      </c>
      <c r="J1614" s="313"/>
      <c r="K1614" s="323"/>
    </row>
    <row r="1615" spans="2:33" s="317" customFormat="1" ht="30" hidden="1" customHeight="1" thickTop="1" thickBot="1" x14ac:dyDescent="0.25">
      <c r="B1615" s="255" t="s">
        <v>1033</v>
      </c>
      <c r="C1615" s="327" t="str">
        <f>+'LISTA DE INSUMOS'!A758</f>
        <v>EQU002</v>
      </c>
      <c r="D1615" s="328" t="str">
        <f>+'LISTA DE INSUMOS'!B758</f>
        <v>Herramienta menor (% mano obra)</v>
      </c>
      <c r="E1615" s="329" t="str">
        <f>+'LISTA DE INSUMOS'!C758</f>
        <v>%MO</v>
      </c>
      <c r="F1615" s="330">
        <v>0.1</v>
      </c>
      <c r="G1615" s="331">
        <f>I1614</f>
        <v>24558</v>
      </c>
      <c r="H1615" s="329">
        <v>0</v>
      </c>
      <c r="I1615" s="331">
        <f>ROUND((F1615*G1615),0)</f>
        <v>2456</v>
      </c>
      <c r="J1615" s="313"/>
      <c r="K1615" s="323"/>
    </row>
    <row r="1616" spans="2:33" s="317" customFormat="1" ht="24.9" hidden="1" customHeight="1" x14ac:dyDescent="0.2">
      <c r="B1616" s="319" t="s">
        <v>1775</v>
      </c>
      <c r="C1616" s="319"/>
      <c r="D1616" s="320" t="s">
        <v>1831</v>
      </c>
      <c r="E1616" s="319" t="s">
        <v>2585</v>
      </c>
      <c r="F1616" s="332"/>
      <c r="G1616" s="312">
        <f>ROUND(SUM(I1616:I1622),0)</f>
        <v>84122</v>
      </c>
      <c r="H1616" s="322"/>
      <c r="I1616" s="312"/>
      <c r="J1616" s="313"/>
      <c r="K1616" s="323"/>
    </row>
    <row r="1617" spans="2:11" s="317" customFormat="1" ht="24.9" hidden="1" customHeight="1" x14ac:dyDescent="0.2">
      <c r="B1617" s="691" t="s">
        <v>1035</v>
      </c>
      <c r="C1617" s="322" t="str">
        <f>'LISTA DE INSUMOS'!A31</f>
        <v>MAT002</v>
      </c>
      <c r="D1617" s="324" t="str">
        <f>'LISTA DE INSUMOS'!B31</f>
        <v>Cemento blanco</v>
      </c>
      <c r="E1617" s="322" t="str">
        <f>'LISTA DE INSUMOS'!C31</f>
        <v>Kg</v>
      </c>
      <c r="F1617" s="325">
        <v>2</v>
      </c>
      <c r="G1617" s="312">
        <f>'LISTA DE INSUMOS'!E31</f>
        <v>2900</v>
      </c>
      <c r="H1617" s="322">
        <v>1.05</v>
      </c>
      <c r="I1617" s="312">
        <f>ROUND((F1617*G1617*H1617),0)</f>
        <v>6090</v>
      </c>
      <c r="J1617" s="313"/>
      <c r="K1617" s="323"/>
    </row>
    <row r="1618" spans="2:11" s="317" customFormat="1" ht="24.9" hidden="1" customHeight="1" x14ac:dyDescent="0.2">
      <c r="B1618" s="691"/>
      <c r="C1618" s="322" t="str">
        <f>'LISTA DE INSUMOS'!A151</f>
        <v>MAT110</v>
      </c>
      <c r="D1618" s="324" t="str">
        <f>'LISTA DE INSUMOS'!B151</f>
        <v>Piso Cerámica Carmina Terracota 45.8x45.8 cm caja 1.89 m2</v>
      </c>
      <c r="E1618" s="322" t="str">
        <f>'LISTA DE INSUMOS'!C151</f>
        <v>M2</v>
      </c>
      <c r="F1618" s="325">
        <v>1</v>
      </c>
      <c r="G1618" s="312">
        <f>'LISTA DE INSUMOS'!E151</f>
        <v>38757.239234999994</v>
      </c>
      <c r="H1618" s="322">
        <v>1.1000000000000001</v>
      </c>
      <c r="I1618" s="312">
        <f>ROUND((F1618*G1618*H1618),0)</f>
        <v>42633</v>
      </c>
      <c r="J1618" s="313"/>
      <c r="K1618" s="323"/>
    </row>
    <row r="1619" spans="2:11" s="317" customFormat="1" ht="24.9" hidden="1" customHeight="1" x14ac:dyDescent="0.2">
      <c r="B1619" s="691"/>
      <c r="C1619" s="338" t="str">
        <f>'LISTA DE INSUMOS'!A618</f>
        <v>MAT634</v>
      </c>
      <c r="D1619" s="339" t="str">
        <f>'LISTA DE INSUMOS'!B618</f>
        <v>Boquilla para enchape</v>
      </c>
      <c r="E1619" s="322" t="str">
        <f>'LISTA DE INSUMOS'!C618</f>
        <v>Kg</v>
      </c>
      <c r="F1619" s="325">
        <v>0.35</v>
      </c>
      <c r="G1619" s="312">
        <f>'LISTA DE INSUMOS'!E618</f>
        <v>6158.7571953599981</v>
      </c>
      <c r="H1619" s="322">
        <v>1.05</v>
      </c>
      <c r="I1619" s="312">
        <f>ROUND((F1619*G1619*H1619),0)</f>
        <v>2263</v>
      </c>
      <c r="J1619" s="313"/>
      <c r="K1619" s="323"/>
    </row>
    <row r="1620" spans="2:11" s="317" customFormat="1" ht="24.9" hidden="1" customHeight="1" thickBot="1" x14ac:dyDescent="0.25">
      <c r="B1620" s="692"/>
      <c r="C1620" s="322" t="str">
        <f>'LISTA DE INSUMOS'!A515</f>
        <v>MAT532</v>
      </c>
      <c r="D1620" s="324" t="str">
        <f>'LISTA DE INSUMOS'!B515</f>
        <v>Fijador de cerámica tipo pegacor o similar</v>
      </c>
      <c r="E1620" s="322" t="str">
        <f>'LISTA DE INSUMOS'!C515</f>
        <v>Kg</v>
      </c>
      <c r="F1620" s="325">
        <v>4</v>
      </c>
      <c r="G1620" s="312">
        <f>'LISTA DE INSUMOS'!E515</f>
        <v>1457.6318472728572</v>
      </c>
      <c r="H1620" s="322">
        <v>1.05</v>
      </c>
      <c r="I1620" s="312">
        <f>ROUND((F1620*G1620*H1620),0)</f>
        <v>6122</v>
      </c>
      <c r="J1620" s="313"/>
      <c r="K1620" s="323"/>
    </row>
    <row r="1621" spans="2:11" s="317" customFormat="1" ht="24.9" hidden="1" customHeight="1" thickTop="1" thickBot="1" x14ac:dyDescent="0.25">
      <c r="B1621" s="342" t="s">
        <v>1034</v>
      </c>
      <c r="C1621" s="322" t="str">
        <f>'LISTA DE INSUMOS'!A18</f>
        <v>MOB015</v>
      </c>
      <c r="D1621" s="324" t="str">
        <f>'LISTA DE INSUMOS'!B18</f>
        <v>Cuadrilla E 1 Of + 1 Ay (jornal + prestaciones)</v>
      </c>
      <c r="E1621" s="322" t="str">
        <f>'LISTA DE INSUMOS'!C18</f>
        <v>Día</v>
      </c>
      <c r="F1621" s="325">
        <v>1</v>
      </c>
      <c r="G1621" s="312">
        <f>'LISTA DE INSUMOS'!E18</f>
        <v>245584</v>
      </c>
      <c r="H1621" s="322">
        <f>1/10</f>
        <v>0.1</v>
      </c>
      <c r="I1621" s="312">
        <f>ROUND((F1621*G1621*H1621),0)</f>
        <v>24558</v>
      </c>
      <c r="J1621" s="313"/>
      <c r="K1621" s="323"/>
    </row>
    <row r="1622" spans="2:11" s="317" customFormat="1" ht="24.9" hidden="1" customHeight="1" thickTop="1" thickBot="1" x14ac:dyDescent="0.25">
      <c r="B1622" s="255" t="s">
        <v>1033</v>
      </c>
      <c r="C1622" s="327" t="str">
        <f>+'LISTA DE INSUMOS'!A758</f>
        <v>EQU002</v>
      </c>
      <c r="D1622" s="328" t="str">
        <f>+'LISTA DE INSUMOS'!B758</f>
        <v>Herramienta menor (% mano obra)</v>
      </c>
      <c r="E1622" s="329" t="str">
        <f>+'LISTA DE INSUMOS'!C758</f>
        <v>%MO</v>
      </c>
      <c r="F1622" s="330">
        <v>0.1</v>
      </c>
      <c r="G1622" s="331">
        <f>I1621</f>
        <v>24558</v>
      </c>
      <c r="H1622" s="329">
        <v>0</v>
      </c>
      <c r="I1622" s="331">
        <f>ROUND((F1622*G1622),0)</f>
        <v>2456</v>
      </c>
      <c r="J1622" s="313"/>
      <c r="K1622" s="323"/>
    </row>
    <row r="1623" spans="2:11" s="317" customFormat="1" ht="24.9" hidden="1" customHeight="1" x14ac:dyDescent="0.2">
      <c r="B1623" s="319" t="s">
        <v>1940</v>
      </c>
      <c r="C1623" s="319"/>
      <c r="D1623" s="320" t="s">
        <v>1838</v>
      </c>
      <c r="E1623" s="319" t="s">
        <v>2585</v>
      </c>
      <c r="F1623" s="332"/>
      <c r="G1623" s="312">
        <f>ROUND(SUM(I1623:I1628),0)</f>
        <v>137829</v>
      </c>
      <c r="H1623" s="322"/>
      <c r="I1623" s="312"/>
      <c r="J1623" s="313"/>
      <c r="K1623" s="323"/>
    </row>
    <row r="1624" spans="2:11" s="317" customFormat="1" ht="24.9" hidden="1" customHeight="1" x14ac:dyDescent="0.2">
      <c r="B1624" s="691" t="s">
        <v>1035</v>
      </c>
      <c r="C1624" s="322" t="str">
        <f>'LISTA DE INSUMOS'!A300</f>
        <v>MAT273</v>
      </c>
      <c r="D1624" s="324" t="str">
        <f>'LISTA DE INSUMOS'!B300</f>
        <v>Piso tipo Mayólica</v>
      </c>
      <c r="E1624" s="322" t="str">
        <f>'LISTA DE INSUMOS'!C300</f>
        <v>M2</v>
      </c>
      <c r="F1624" s="325">
        <v>1</v>
      </c>
      <c r="G1624" s="312">
        <f>'LISTA DE INSUMOS'!E300</f>
        <v>92236.169557963192</v>
      </c>
      <c r="H1624" s="322">
        <v>1.1000000000000001</v>
      </c>
      <c r="I1624" s="312">
        <f>ROUND((F1624*G1624*H1624),0)</f>
        <v>101460</v>
      </c>
      <c r="J1624" s="313"/>
      <c r="K1624" s="323"/>
    </row>
    <row r="1625" spans="2:11" s="317" customFormat="1" ht="24.9" hidden="1" customHeight="1" x14ac:dyDescent="0.2">
      <c r="B1625" s="691"/>
      <c r="C1625" s="338" t="str">
        <f>'LISTA DE INSUMOS'!A618</f>
        <v>MAT634</v>
      </c>
      <c r="D1625" s="339" t="str">
        <f>'LISTA DE INSUMOS'!B618</f>
        <v>Boquilla para enchape</v>
      </c>
      <c r="E1625" s="322" t="str">
        <f>'LISTA DE INSUMOS'!C618</f>
        <v>Kg</v>
      </c>
      <c r="F1625" s="325">
        <v>0.5</v>
      </c>
      <c r="G1625" s="312">
        <f>'LISTA DE INSUMOS'!E618</f>
        <v>6158.7571953599981</v>
      </c>
      <c r="H1625" s="322">
        <v>1.05</v>
      </c>
      <c r="I1625" s="312">
        <f>ROUND((F1625*G1625*H1625),0)</f>
        <v>3233</v>
      </c>
      <c r="J1625" s="313"/>
      <c r="K1625" s="323"/>
    </row>
    <row r="1626" spans="2:11" s="317" customFormat="1" ht="24.9" hidden="1" customHeight="1" thickBot="1" x14ac:dyDescent="0.25">
      <c r="B1626" s="692"/>
      <c r="C1626" s="322" t="str">
        <f>'LISTA DE INSUMOS'!A515</f>
        <v>MAT532</v>
      </c>
      <c r="D1626" s="324" t="str">
        <f>'LISTA DE INSUMOS'!B515</f>
        <v>Fijador de cerámica tipo pegacor o similar</v>
      </c>
      <c r="E1626" s="322" t="str">
        <f>'LISTA DE INSUMOS'!C515</f>
        <v>Kg</v>
      </c>
      <c r="F1626" s="325">
        <v>4</v>
      </c>
      <c r="G1626" s="312">
        <f>'LISTA DE INSUMOS'!E515</f>
        <v>1457.6318472728572</v>
      </c>
      <c r="H1626" s="322">
        <v>1.05</v>
      </c>
      <c r="I1626" s="312">
        <f>ROUND((F1626*G1626*H1626),0)</f>
        <v>6122</v>
      </c>
      <c r="J1626" s="313"/>
      <c r="K1626" s="323"/>
    </row>
    <row r="1627" spans="2:11" s="317" customFormat="1" ht="24.9" hidden="1" customHeight="1" thickTop="1" thickBot="1" x14ac:dyDescent="0.25">
      <c r="B1627" s="363" t="s">
        <v>1034</v>
      </c>
      <c r="C1627" s="322" t="str">
        <f>'LISTA DE INSUMOS'!A18</f>
        <v>MOB015</v>
      </c>
      <c r="D1627" s="324" t="str">
        <f>'LISTA DE INSUMOS'!B18</f>
        <v>Cuadrilla E 1 Of + 1 Ay (jornal + prestaciones)</v>
      </c>
      <c r="E1627" s="322" t="str">
        <f>'LISTA DE INSUMOS'!C18</f>
        <v>Día</v>
      </c>
      <c r="F1627" s="325">
        <v>1</v>
      </c>
      <c r="G1627" s="312">
        <f>'LISTA DE INSUMOS'!E18</f>
        <v>245584</v>
      </c>
      <c r="H1627" s="322">
        <f>1/10</f>
        <v>0.1</v>
      </c>
      <c r="I1627" s="312">
        <f>ROUND((F1627*G1627*H1627),0)</f>
        <v>24558</v>
      </c>
      <c r="J1627" s="313"/>
      <c r="K1627" s="323"/>
    </row>
    <row r="1628" spans="2:11" s="317" customFormat="1" ht="24.9" hidden="1" customHeight="1" thickTop="1" thickBot="1" x14ac:dyDescent="0.25">
      <c r="B1628" s="255" t="s">
        <v>1033</v>
      </c>
      <c r="C1628" s="327" t="str">
        <f>+'LISTA DE INSUMOS'!A758</f>
        <v>EQU002</v>
      </c>
      <c r="D1628" s="328" t="str">
        <f>+'LISTA DE INSUMOS'!B758</f>
        <v>Herramienta menor (% mano obra)</v>
      </c>
      <c r="E1628" s="329" t="str">
        <f>+'LISTA DE INSUMOS'!C758</f>
        <v>%MO</v>
      </c>
      <c r="F1628" s="330">
        <v>0.1</v>
      </c>
      <c r="G1628" s="331">
        <f>I1627</f>
        <v>24558</v>
      </c>
      <c r="H1628" s="329">
        <v>0</v>
      </c>
      <c r="I1628" s="331">
        <f>ROUND((F1628*G1628),0)</f>
        <v>2456</v>
      </c>
      <c r="J1628" s="313"/>
      <c r="K1628" s="323"/>
    </row>
    <row r="1629" spans="2:11" s="317" customFormat="1" ht="24.9" hidden="1" customHeight="1" x14ac:dyDescent="0.2">
      <c r="B1629" s="319" t="s">
        <v>1925</v>
      </c>
      <c r="C1629" s="319"/>
      <c r="D1629" s="320" t="s">
        <v>250</v>
      </c>
      <c r="E1629" s="319" t="s">
        <v>2585</v>
      </c>
      <c r="F1629" s="321"/>
      <c r="G1629" s="312">
        <f>ROUND(SUM(I1629:I1637),0)</f>
        <v>121830</v>
      </c>
      <c r="H1629" s="322"/>
      <c r="I1629" s="312"/>
      <c r="J1629" s="313"/>
      <c r="K1629" s="323"/>
    </row>
    <row r="1630" spans="2:11" s="317" customFormat="1" ht="24.9" hidden="1" customHeight="1" x14ac:dyDescent="0.2">
      <c r="B1630" s="691" t="s">
        <v>1035</v>
      </c>
      <c r="C1630" s="322" t="str">
        <f>'LISTA DE INSUMOS'!A31</f>
        <v>MAT002</v>
      </c>
      <c r="D1630" s="324" t="str">
        <f>'LISTA DE INSUMOS'!B31</f>
        <v>Cemento blanco</v>
      </c>
      <c r="E1630" s="322" t="str">
        <f>'LISTA DE INSUMOS'!C31</f>
        <v>Kg</v>
      </c>
      <c r="F1630" s="325">
        <v>2</v>
      </c>
      <c r="G1630" s="312">
        <f>'LISTA DE INSUMOS'!E31</f>
        <v>2900</v>
      </c>
      <c r="H1630" s="349">
        <v>1.05</v>
      </c>
      <c r="I1630" s="312">
        <f>ROUND((F1630*G1630*H1630),0)</f>
        <v>6090</v>
      </c>
      <c r="J1630" s="313"/>
      <c r="K1630" s="323"/>
    </row>
    <row r="1631" spans="2:11" s="317" customFormat="1" ht="24.9" hidden="1" customHeight="1" x14ac:dyDescent="0.2">
      <c r="B1631" s="691"/>
      <c r="C1631" s="322" t="str">
        <f>'LISTA DE INSUMOS'!A227</f>
        <v>MAT195</v>
      </c>
      <c r="D1631" s="324" t="str">
        <f>'LISTA DE INSUMOS'!B227</f>
        <v>Cera</v>
      </c>
      <c r="E1631" s="322" t="str">
        <f>'LISTA DE INSUMOS'!C227</f>
        <v>Lb</v>
      </c>
      <c r="F1631" s="325">
        <v>0.04</v>
      </c>
      <c r="G1631" s="312">
        <f>'LISTA DE INSUMOS'!E227</f>
        <v>8043.979980220799</v>
      </c>
      <c r="H1631" s="349">
        <v>0</v>
      </c>
      <c r="I1631" s="312">
        <f>ROUND((F1631*G1631),0)</f>
        <v>322</v>
      </c>
      <c r="J1631" s="313"/>
      <c r="K1631" s="323"/>
    </row>
    <row r="1632" spans="2:11" s="317" customFormat="1" ht="24.9" hidden="1" customHeight="1" x14ac:dyDescent="0.2">
      <c r="B1632" s="691"/>
      <c r="C1632" s="322" t="str">
        <f>'LISTA DE INSUMOS'!A364</f>
        <v>MAT357</v>
      </c>
      <c r="D1632" s="324" t="str">
        <f>'LISTA DE INSUMOS'!B364</f>
        <v>Baldosa tipo TORAZO BEIGE 60X60</v>
      </c>
      <c r="E1632" s="322" t="str">
        <f>'LISTA DE INSUMOS'!C364</f>
        <v>M2</v>
      </c>
      <c r="F1632" s="325">
        <v>1</v>
      </c>
      <c r="G1632" s="312">
        <f>'LISTA DE INSUMOS'!E364</f>
        <v>46221.596420999995</v>
      </c>
      <c r="H1632" s="349">
        <v>1.1000000000000001</v>
      </c>
      <c r="I1632" s="312">
        <f>ROUND((F1632*G1632*H1632),0)</f>
        <v>50844</v>
      </c>
      <c r="J1632" s="313"/>
      <c r="K1632" s="323"/>
    </row>
    <row r="1633" spans="2:11" s="317" customFormat="1" ht="24.9" hidden="1" customHeight="1" x14ac:dyDescent="0.2">
      <c r="B1633" s="691"/>
      <c r="C1633" s="338" t="str">
        <f>'LISTA DE INSUMOS'!A618</f>
        <v>MAT634</v>
      </c>
      <c r="D1633" s="339" t="str">
        <f>'LISTA DE INSUMOS'!B618</f>
        <v>Boquilla para enchape</v>
      </c>
      <c r="E1633" s="322" t="str">
        <f>'LISTA DE INSUMOS'!C618</f>
        <v>Kg</v>
      </c>
      <c r="F1633" s="325">
        <v>0.35</v>
      </c>
      <c r="G1633" s="312">
        <f>'LISTA DE INSUMOS'!E618</f>
        <v>6158.7571953599981</v>
      </c>
      <c r="H1633" s="322">
        <v>1.05</v>
      </c>
      <c r="I1633" s="312">
        <f>ROUND((F1633*G1633*H1633),0)</f>
        <v>2263</v>
      </c>
      <c r="J1633" s="313"/>
      <c r="K1633" s="323"/>
    </row>
    <row r="1634" spans="2:11" s="317" customFormat="1" ht="24.9" hidden="1" customHeight="1" thickBot="1" x14ac:dyDescent="0.25">
      <c r="B1634" s="692"/>
      <c r="C1634" s="322" t="str">
        <f>'LISTA DE INSUMOS'!A515</f>
        <v>MAT532</v>
      </c>
      <c r="D1634" s="324" t="str">
        <f>'LISTA DE INSUMOS'!B515</f>
        <v>Fijador de cerámica tipo pegacor o similar</v>
      </c>
      <c r="E1634" s="322" t="str">
        <f>'LISTA DE INSUMOS'!C515</f>
        <v>Kg</v>
      </c>
      <c r="F1634" s="325">
        <v>4</v>
      </c>
      <c r="G1634" s="312">
        <f>'LISTA DE INSUMOS'!E515</f>
        <v>1457.6318472728572</v>
      </c>
      <c r="H1634" s="322">
        <v>1.05</v>
      </c>
      <c r="I1634" s="312">
        <f>ROUND((F1634*G1634*H1634),0)</f>
        <v>6122</v>
      </c>
      <c r="J1634" s="313"/>
      <c r="K1634" s="323"/>
    </row>
    <row r="1635" spans="2:11" s="317" customFormat="1" ht="24.9" hidden="1" customHeight="1" thickTop="1" thickBot="1" x14ac:dyDescent="0.25">
      <c r="B1635" s="363" t="s">
        <v>1034</v>
      </c>
      <c r="C1635" s="322" t="str">
        <f>'LISTA DE INSUMOS'!A18</f>
        <v>MOB015</v>
      </c>
      <c r="D1635" s="324" t="str">
        <f>'LISTA DE INSUMOS'!B18</f>
        <v>Cuadrilla E 1 Of + 1 Ay (jornal + prestaciones)</v>
      </c>
      <c r="E1635" s="322" t="str">
        <f>'LISTA DE INSUMOS'!C18</f>
        <v>Día</v>
      </c>
      <c r="F1635" s="325">
        <v>1</v>
      </c>
      <c r="G1635" s="312">
        <f>'LISTA DE INSUMOS'!E18</f>
        <v>245584</v>
      </c>
      <c r="H1635" s="349">
        <f>1/5</f>
        <v>0.2</v>
      </c>
      <c r="I1635" s="312">
        <f>ROUND((F1635*G1635*H1635),0)</f>
        <v>49117</v>
      </c>
      <c r="J1635" s="313"/>
      <c r="K1635" s="323"/>
    </row>
    <row r="1636" spans="2:11" s="317" customFormat="1" ht="24.9" hidden="1" customHeight="1" thickTop="1" x14ac:dyDescent="0.2">
      <c r="B1636" s="693" t="s">
        <v>1033</v>
      </c>
      <c r="C1636" s="322" t="str">
        <f>+'LISTA DE INSUMOS'!A758</f>
        <v>EQU002</v>
      </c>
      <c r="D1636" s="324" t="str">
        <f>+'LISTA DE INSUMOS'!B758</f>
        <v>Herramienta menor (% mano obra)</v>
      </c>
      <c r="E1636" s="322" t="str">
        <f>+'LISTA DE INSUMOS'!C758</f>
        <v>%MO</v>
      </c>
      <c r="F1636" s="325">
        <v>0.1</v>
      </c>
      <c r="G1636" s="312">
        <f>I1635</f>
        <v>49117</v>
      </c>
      <c r="H1636" s="349">
        <v>0</v>
      </c>
      <c r="I1636" s="312">
        <f>ROUND((F1636*G1636),0)</f>
        <v>4912</v>
      </c>
      <c r="J1636" s="313"/>
      <c r="K1636" s="323"/>
    </row>
    <row r="1637" spans="2:11" s="317" customFormat="1" ht="24.9" hidden="1" customHeight="1" thickBot="1" x14ac:dyDescent="0.25">
      <c r="B1637" s="694"/>
      <c r="C1637" s="329" t="str">
        <f>+'LISTA DE INSUMOS'!A772</f>
        <v>EQU015</v>
      </c>
      <c r="D1637" s="328" t="str">
        <f>+'LISTA DE INSUMOS'!B772</f>
        <v>Pulidora sin operario</v>
      </c>
      <c r="E1637" s="329" t="str">
        <f>+'LISTA DE INSUMOS'!C772</f>
        <v>Día</v>
      </c>
      <c r="F1637" s="330">
        <v>1</v>
      </c>
      <c r="G1637" s="331">
        <f>'LISTA DE INSUMOS'!E772</f>
        <v>21598.9856859348</v>
      </c>
      <c r="H1637" s="350">
        <f>1/10</f>
        <v>0.1</v>
      </c>
      <c r="I1637" s="331">
        <f>ROUND((F1637*G1637*H1637),0)</f>
        <v>2160</v>
      </c>
      <c r="J1637" s="313"/>
      <c r="K1637" s="323"/>
    </row>
    <row r="1638" spans="2:11" s="317" customFormat="1" ht="24.9" hidden="1" customHeight="1" x14ac:dyDescent="0.2">
      <c r="B1638" s="319" t="s">
        <v>1650</v>
      </c>
      <c r="C1638" s="319"/>
      <c r="D1638" s="320" t="s">
        <v>1675</v>
      </c>
      <c r="E1638" s="319" t="s">
        <v>1412</v>
      </c>
      <c r="F1638" s="321"/>
      <c r="G1638" s="312">
        <f>ROUND(SUM(I1638:I1644),0)</f>
        <v>26737</v>
      </c>
      <c r="H1638" s="322"/>
      <c r="I1638" s="312"/>
      <c r="J1638" s="313"/>
      <c r="K1638" s="323"/>
    </row>
    <row r="1639" spans="2:11" s="317" customFormat="1" ht="24.9" hidden="1" customHeight="1" x14ac:dyDescent="0.2">
      <c r="B1639" s="691" t="s">
        <v>1035</v>
      </c>
      <c r="C1639" s="322" t="s">
        <v>2230</v>
      </c>
      <c r="D1639" s="324" t="s">
        <v>2231</v>
      </c>
      <c r="E1639" s="322" t="s">
        <v>1414</v>
      </c>
      <c r="F1639" s="325">
        <v>0.2</v>
      </c>
      <c r="G1639" s="312">
        <f>'LISTA DE INSUMOS'!E31</f>
        <v>2900</v>
      </c>
      <c r="H1639" s="322">
        <v>1.05</v>
      </c>
      <c r="I1639" s="312">
        <f>ROUND((F1639*G1639*H1639),0)</f>
        <v>609</v>
      </c>
      <c r="J1639" s="313"/>
      <c r="K1639" s="323"/>
    </row>
    <row r="1640" spans="2:11" s="317" customFormat="1" ht="24.9" hidden="1" customHeight="1" x14ac:dyDescent="0.2">
      <c r="B1640" s="691"/>
      <c r="C1640" s="322" t="s">
        <v>2240</v>
      </c>
      <c r="D1640" s="324" t="s">
        <v>484</v>
      </c>
      <c r="E1640" s="322" t="s">
        <v>2585</v>
      </c>
      <c r="F1640" s="325">
        <v>0.1</v>
      </c>
      <c r="G1640" s="312">
        <f>'LISTA DE INSUMOS'!E364</f>
        <v>46221.596420999995</v>
      </c>
      <c r="H1640" s="322">
        <v>1.1000000000000001</v>
      </c>
      <c r="I1640" s="312">
        <f>ROUND((F1640*G1640*H1640),0)</f>
        <v>5084</v>
      </c>
      <c r="J1640" s="313"/>
      <c r="K1640" s="323"/>
    </row>
    <row r="1641" spans="2:11" s="317" customFormat="1" ht="30" hidden="1" customHeight="1" x14ac:dyDescent="0.2">
      <c r="B1641" s="691"/>
      <c r="C1641" s="338" t="s">
        <v>384</v>
      </c>
      <c r="D1641" s="313" t="s">
        <v>103</v>
      </c>
      <c r="E1641" s="322" t="s">
        <v>1414</v>
      </c>
      <c r="F1641" s="325">
        <v>0.04</v>
      </c>
      <c r="G1641" s="312">
        <f>'LISTA DE INSUMOS'!E618</f>
        <v>6158.7571953599981</v>
      </c>
      <c r="H1641" s="322">
        <v>1.05</v>
      </c>
      <c r="I1641" s="312">
        <f>ROUND((F1641*G1641*H1641),0)</f>
        <v>259</v>
      </c>
      <c r="J1641" s="313"/>
      <c r="K1641" s="323"/>
    </row>
    <row r="1642" spans="2:11" s="317" customFormat="1" ht="30" hidden="1" customHeight="1" thickBot="1" x14ac:dyDescent="0.25">
      <c r="B1642" s="692"/>
      <c r="C1642" s="322" t="s">
        <v>1141</v>
      </c>
      <c r="D1642" s="324" t="s">
        <v>251</v>
      </c>
      <c r="E1642" s="322" t="s">
        <v>1414</v>
      </c>
      <c r="F1642" s="325">
        <v>0.4</v>
      </c>
      <c r="G1642" s="312">
        <f>'LISTA DE INSUMOS'!E515</f>
        <v>1457.6318472728572</v>
      </c>
      <c r="H1642" s="322">
        <v>1.05</v>
      </c>
      <c r="I1642" s="312">
        <f>ROUND((F1642*G1642*H1642),0)</f>
        <v>612</v>
      </c>
      <c r="J1642" s="313"/>
      <c r="K1642" s="323"/>
    </row>
    <row r="1643" spans="2:11" s="317" customFormat="1" ht="30" hidden="1" customHeight="1" thickTop="1" thickBot="1" x14ac:dyDescent="0.25">
      <c r="B1643" s="342" t="s">
        <v>1034</v>
      </c>
      <c r="C1643" s="322" t="s">
        <v>2159</v>
      </c>
      <c r="D1643" s="324" t="s">
        <v>2160</v>
      </c>
      <c r="E1643" s="322" t="s">
        <v>2065</v>
      </c>
      <c r="F1643" s="325">
        <v>1</v>
      </c>
      <c r="G1643" s="312">
        <f>'LISTA DE INSUMOS'!E18</f>
        <v>245584</v>
      </c>
      <c r="H1643" s="322">
        <f>1/14</f>
        <v>7.1428571428571425E-2</v>
      </c>
      <c r="I1643" s="312">
        <f>ROUND((F1643*G1643*H1643),0)</f>
        <v>17542</v>
      </c>
      <c r="J1643" s="313"/>
      <c r="K1643" s="323"/>
    </row>
    <row r="1644" spans="2:11" s="317" customFormat="1" ht="24.9" hidden="1" customHeight="1" thickTop="1" thickBot="1" x14ac:dyDescent="0.25">
      <c r="B1644" s="255" t="s">
        <v>1033</v>
      </c>
      <c r="C1644" s="327" t="str">
        <f>+'LISTA DE INSUMOS'!A758</f>
        <v>EQU002</v>
      </c>
      <c r="D1644" s="328" t="str">
        <f>+'LISTA DE INSUMOS'!B758</f>
        <v>Herramienta menor (% mano obra)</v>
      </c>
      <c r="E1644" s="329" t="str">
        <f>+'LISTA DE INSUMOS'!C758</f>
        <v>%MO</v>
      </c>
      <c r="F1644" s="330">
        <v>0.15</v>
      </c>
      <c r="G1644" s="331">
        <f>I1643</f>
        <v>17542</v>
      </c>
      <c r="H1644" s="329">
        <v>0</v>
      </c>
      <c r="I1644" s="331">
        <f>ROUND((F1644*G1644),0)</f>
        <v>2631</v>
      </c>
      <c r="J1644" s="313"/>
      <c r="K1644" s="323"/>
    </row>
    <row r="1645" spans="2:11" s="317" customFormat="1" ht="24.9" hidden="1" customHeight="1" x14ac:dyDescent="0.2">
      <c r="B1645" s="319" t="s">
        <v>1919</v>
      </c>
      <c r="C1645" s="319"/>
      <c r="D1645" s="320" t="s">
        <v>992</v>
      </c>
      <c r="E1645" s="319" t="s">
        <v>2585</v>
      </c>
      <c r="F1645" s="332"/>
      <c r="G1645" s="312">
        <f>ROUND(SUM(I1645:I1654),0)</f>
        <v>212356</v>
      </c>
      <c r="H1645" s="322"/>
      <c r="I1645" s="312"/>
      <c r="J1645" s="313"/>
      <c r="K1645" s="323"/>
    </row>
    <row r="1646" spans="2:11" s="317" customFormat="1" ht="24.9" hidden="1" customHeight="1" x14ac:dyDescent="0.2">
      <c r="B1646" s="691" t="s">
        <v>1035</v>
      </c>
      <c r="C1646" s="322" t="str">
        <f>'LISTA DE INSUMOS'!A30</f>
        <v>MAT001</v>
      </c>
      <c r="D1646" s="324" t="str">
        <f>'LISTA DE INSUMOS'!B30</f>
        <v>Cemento gris saco por 50 kilos, incluye cargue, descargue y transporte</v>
      </c>
      <c r="E1646" s="322" t="str">
        <f>'LISTA DE INSUMOS'!C30</f>
        <v>Sc</v>
      </c>
      <c r="F1646" s="325">
        <v>0.15</v>
      </c>
      <c r="G1646" s="312">
        <f>'LISTA DE INSUMOS'!E30</f>
        <v>34500</v>
      </c>
      <c r="H1646" s="322">
        <v>1.05</v>
      </c>
      <c r="I1646" s="312">
        <f>ROUND((F1646*G1646*H1646),0)</f>
        <v>5434</v>
      </c>
      <c r="J1646" s="313"/>
      <c r="K1646" s="323"/>
    </row>
    <row r="1647" spans="2:11" s="317" customFormat="1" ht="24.9" hidden="1" customHeight="1" x14ac:dyDescent="0.2">
      <c r="B1647" s="691"/>
      <c r="C1647" s="322" t="str">
        <f>'LISTA DE INSUMOS'!A31</f>
        <v>MAT002</v>
      </c>
      <c r="D1647" s="324" t="str">
        <f>'LISTA DE INSUMOS'!B31</f>
        <v>Cemento blanco</v>
      </c>
      <c r="E1647" s="322" t="str">
        <f>'LISTA DE INSUMOS'!C31</f>
        <v>Kg</v>
      </c>
      <c r="F1647" s="321">
        <v>25</v>
      </c>
      <c r="G1647" s="312">
        <f>'LISTA DE INSUMOS'!E31</f>
        <v>2900</v>
      </c>
      <c r="H1647" s="349">
        <v>1.05</v>
      </c>
      <c r="I1647" s="312">
        <f>ROUND((F1647*G1647*H1647),0)</f>
        <v>76125</v>
      </c>
      <c r="J1647" s="313"/>
      <c r="K1647" s="323"/>
    </row>
    <row r="1648" spans="2:11" s="317" customFormat="1" ht="24.9" hidden="1" customHeight="1" x14ac:dyDescent="0.2">
      <c r="B1648" s="691"/>
      <c r="C1648" s="322" t="str">
        <f>'LISTA DE INSUMOS'!A390</f>
        <v>MAT385</v>
      </c>
      <c r="D1648" s="324" t="str">
        <f>'LISTA DE INSUMOS'!B390</f>
        <v>Dilatación de bronce</v>
      </c>
      <c r="E1648" s="322" t="str">
        <f>'LISTA DE INSUMOS'!C390</f>
        <v>M</v>
      </c>
      <c r="F1648" s="321">
        <v>2</v>
      </c>
      <c r="G1648" s="312">
        <f>'LISTA DE INSUMOS'!E390</f>
        <v>14537.233129880997</v>
      </c>
      <c r="H1648" s="349">
        <v>0</v>
      </c>
      <c r="I1648" s="312">
        <f>ROUND((F1648*G1648),0)</f>
        <v>29074</v>
      </c>
      <c r="J1648" s="313"/>
      <c r="K1648" s="323"/>
    </row>
    <row r="1649" spans="2:11" s="317" customFormat="1" ht="24.9" hidden="1" customHeight="1" x14ac:dyDescent="0.2">
      <c r="B1649" s="691"/>
      <c r="C1649" s="322" t="str">
        <f>'LISTA DE INSUMOS'!A176</f>
        <v>MAT130</v>
      </c>
      <c r="D1649" s="324" t="str">
        <f>'LISTA DE INSUMOS'!B176</f>
        <v>Granito por 25 Kg</v>
      </c>
      <c r="E1649" s="322" t="str">
        <f>'LISTA DE INSUMOS'!C176</f>
        <v>Sc</v>
      </c>
      <c r="F1649" s="321">
        <v>1</v>
      </c>
      <c r="G1649" s="312">
        <f>'LISTA DE INSUMOS'!E176</f>
        <v>50396.024926932289</v>
      </c>
      <c r="H1649" s="349">
        <v>1.03</v>
      </c>
      <c r="I1649" s="312">
        <f>ROUND((F1649*G1649*H1649),0)</f>
        <v>51908</v>
      </c>
      <c r="J1649" s="313"/>
      <c r="K1649" s="323"/>
    </row>
    <row r="1650" spans="2:11" s="317" customFormat="1" ht="24.9" hidden="1" customHeight="1" x14ac:dyDescent="0.2">
      <c r="B1650" s="691"/>
      <c r="C1650" s="322" t="str">
        <f>'LISTA DE INSUMOS'!A227</f>
        <v>MAT195</v>
      </c>
      <c r="D1650" s="324" t="str">
        <f>'LISTA DE INSUMOS'!B227</f>
        <v>Cera</v>
      </c>
      <c r="E1650" s="322" t="str">
        <f>'LISTA DE INSUMOS'!C227</f>
        <v>Lb</v>
      </c>
      <c r="F1650" s="321">
        <v>0.04</v>
      </c>
      <c r="G1650" s="312">
        <f>'LISTA DE INSUMOS'!E227</f>
        <v>8043.979980220799</v>
      </c>
      <c r="H1650" s="349">
        <v>0</v>
      </c>
      <c r="I1650" s="312">
        <f>IF(H1650&gt;=0,(F1650*G1650*(1+H1650/100)),ABS(F1650*G1650/H1650))</f>
        <v>321.75919920883194</v>
      </c>
      <c r="J1650" s="313"/>
      <c r="K1650" s="323"/>
    </row>
    <row r="1651" spans="2:11" s="317" customFormat="1" ht="24.9" hidden="1" customHeight="1" thickBot="1" x14ac:dyDescent="0.25">
      <c r="B1651" s="692"/>
      <c r="C1651" s="322" t="str">
        <f>'LISTA DE INSUMOS'!A42</f>
        <v>MAT013</v>
      </c>
      <c r="D1651" s="324" t="str">
        <f>'LISTA DE INSUMOS'!B42</f>
        <v xml:space="preserve">Agua </v>
      </c>
      <c r="E1651" s="322" t="str">
        <f>'LISTA DE INSUMOS'!C42</f>
        <v>Lt</v>
      </c>
      <c r="F1651" s="321">
        <v>35</v>
      </c>
      <c r="G1651" s="312">
        <f>'LISTA DE INSUMOS'!E42</f>
        <v>96.828790046226644</v>
      </c>
      <c r="H1651" s="349">
        <v>0</v>
      </c>
      <c r="I1651" s="312">
        <f>ROUND((F1651*G1651),0)</f>
        <v>3389</v>
      </c>
      <c r="J1651" s="313"/>
      <c r="K1651" s="323"/>
    </row>
    <row r="1652" spans="2:11" s="317" customFormat="1" ht="24.9" hidden="1" customHeight="1" thickTop="1" thickBot="1" x14ac:dyDescent="0.25">
      <c r="B1652" s="363" t="s">
        <v>1034</v>
      </c>
      <c r="C1652" s="322" t="str">
        <f>'LISTA DE INSUMOS'!A18</f>
        <v>MOB015</v>
      </c>
      <c r="D1652" s="324" t="str">
        <f>'LISTA DE INSUMOS'!B18</f>
        <v>Cuadrilla E 1 Of + 1 Ay (jornal + prestaciones)</v>
      </c>
      <c r="E1652" s="322" t="str">
        <f>'LISTA DE INSUMOS'!C18</f>
        <v>Día</v>
      </c>
      <c r="F1652" s="321">
        <v>1</v>
      </c>
      <c r="G1652" s="312">
        <f>'LISTA DE INSUMOS'!E18</f>
        <v>245584</v>
      </c>
      <c r="H1652" s="349">
        <f>1/6</f>
        <v>0.16666666666666666</v>
      </c>
      <c r="I1652" s="312">
        <f>ROUND((F1652*G1652*H1652),0)</f>
        <v>40931</v>
      </c>
      <c r="J1652" s="313"/>
      <c r="K1652" s="323"/>
    </row>
    <row r="1653" spans="2:11" s="317" customFormat="1" ht="24.9" hidden="1" customHeight="1" thickTop="1" x14ac:dyDescent="0.2">
      <c r="B1653" s="693" t="s">
        <v>1033</v>
      </c>
      <c r="C1653" s="322" t="str">
        <f>+'LISTA DE INSUMOS'!A758</f>
        <v>EQU002</v>
      </c>
      <c r="D1653" s="324" t="str">
        <f>+'LISTA DE INSUMOS'!B758</f>
        <v>Herramienta menor (% mano obra)</v>
      </c>
      <c r="E1653" s="322" t="str">
        <f>+'LISTA DE INSUMOS'!C758</f>
        <v>%MO</v>
      </c>
      <c r="F1653" s="321">
        <v>0.1</v>
      </c>
      <c r="G1653" s="312">
        <f>I1652</f>
        <v>40931</v>
      </c>
      <c r="H1653" s="349">
        <v>0</v>
      </c>
      <c r="I1653" s="312">
        <f>ROUND((F1653*G1653),0)</f>
        <v>4093</v>
      </c>
      <c r="J1653" s="313"/>
      <c r="K1653" s="323"/>
    </row>
    <row r="1654" spans="2:11" s="317" customFormat="1" ht="24.9" hidden="1" customHeight="1" thickBot="1" x14ac:dyDescent="0.25">
      <c r="B1654" s="694"/>
      <c r="C1654" s="329" t="str">
        <f>+'LISTA DE INSUMOS'!A772</f>
        <v>EQU015</v>
      </c>
      <c r="D1654" s="328" t="str">
        <f>+'LISTA DE INSUMOS'!B772</f>
        <v>Pulidora sin operario</v>
      </c>
      <c r="E1654" s="329" t="str">
        <f>+'LISTA DE INSUMOS'!C772</f>
        <v>Día</v>
      </c>
      <c r="F1654" s="362">
        <v>1</v>
      </c>
      <c r="G1654" s="331">
        <f>'LISTA DE INSUMOS'!E772</f>
        <v>21598.9856859348</v>
      </c>
      <c r="H1654" s="350">
        <f>1/20</f>
        <v>0.05</v>
      </c>
      <c r="I1654" s="331">
        <f>ROUND((F1654*G1654*H1654),0)</f>
        <v>1080</v>
      </c>
      <c r="J1654" s="313"/>
      <c r="K1654" s="323"/>
    </row>
    <row r="1655" spans="2:11" s="317" customFormat="1" ht="30" hidden="1" customHeight="1" x14ac:dyDescent="0.2">
      <c r="B1655" s="319" t="s">
        <v>1923</v>
      </c>
      <c r="C1655" s="322"/>
      <c r="D1655" s="324" t="s">
        <v>1836</v>
      </c>
      <c r="E1655" s="322" t="s">
        <v>2585</v>
      </c>
      <c r="F1655" s="325"/>
      <c r="G1655" s="312">
        <f>ROUND(SUM(I1655:I1662),0)</f>
        <v>115753</v>
      </c>
      <c r="H1655" s="322"/>
      <c r="I1655" s="312"/>
      <c r="J1655" s="313"/>
      <c r="K1655" s="323"/>
    </row>
    <row r="1656" spans="2:11" s="317" customFormat="1" ht="30" hidden="1" customHeight="1" x14ac:dyDescent="0.2">
      <c r="B1656" s="691" t="s">
        <v>1035</v>
      </c>
      <c r="C1656" s="322" t="str">
        <f>'LISTA DE INSUMOS'!A30</f>
        <v>MAT001</v>
      </c>
      <c r="D1656" s="324" t="str">
        <f>'LISTA DE INSUMOS'!B30</f>
        <v>Cemento gris saco por 50 kilos, incluye cargue, descargue y transporte</v>
      </c>
      <c r="E1656" s="322" t="str">
        <f>'LISTA DE INSUMOS'!C30</f>
        <v>Sc</v>
      </c>
      <c r="F1656" s="325">
        <v>0.2</v>
      </c>
      <c r="G1656" s="312">
        <f>'LISTA DE INSUMOS'!E30</f>
        <v>34500</v>
      </c>
      <c r="H1656" s="322">
        <v>1.05</v>
      </c>
      <c r="I1656" s="312">
        <f>ROUND((F1656*G1656*H1656),0)</f>
        <v>7245</v>
      </c>
      <c r="J1656" s="313"/>
      <c r="K1656" s="323"/>
    </row>
    <row r="1657" spans="2:11" s="317" customFormat="1" ht="24.9" hidden="1" customHeight="1" x14ac:dyDescent="0.2">
      <c r="B1657" s="691"/>
      <c r="C1657" s="322" t="str">
        <f>'LISTA DE INSUMOS'!A41</f>
        <v>MAT012</v>
      </c>
      <c r="D1657" s="324" t="str">
        <f>'LISTA DE INSUMOS'!B41</f>
        <v>Gravilla #2</v>
      </c>
      <c r="E1657" s="322" t="str">
        <f>'LISTA DE INSUMOS'!C41</f>
        <v>Sc</v>
      </c>
      <c r="F1657" s="325">
        <v>1</v>
      </c>
      <c r="G1657" s="312">
        <f>'LISTA DE INSUMOS'!E41</f>
        <v>29154.431975760002</v>
      </c>
      <c r="H1657" s="322">
        <v>1.03</v>
      </c>
      <c r="I1657" s="312">
        <f>ROUND((F1657*G1657*H1657),0)</f>
        <v>30029</v>
      </c>
      <c r="J1657" s="313"/>
      <c r="K1657" s="323"/>
    </row>
    <row r="1658" spans="2:11" s="317" customFormat="1" ht="24.9" hidden="1" customHeight="1" x14ac:dyDescent="0.2">
      <c r="B1658" s="691"/>
      <c r="C1658" s="322" t="str">
        <f>'LISTA DE INSUMOS'!A172</f>
        <v>MAT126</v>
      </c>
      <c r="D1658" s="324" t="str">
        <f>'LISTA DE INSUMOS'!B172</f>
        <v>Dilatación PVC flexible ancha x 2 m</v>
      </c>
      <c r="E1658" s="322" t="str">
        <f>'LISTA DE INSUMOS'!C172</f>
        <v>M</v>
      </c>
      <c r="F1658" s="325">
        <v>1.75</v>
      </c>
      <c r="G1658" s="312">
        <f>'LISTA DE INSUMOS'!E172</f>
        <v>10209.562254275999</v>
      </c>
      <c r="H1658" s="322">
        <v>0</v>
      </c>
      <c r="I1658" s="312">
        <f>ROUND((F1658*G1658),0)</f>
        <v>17867</v>
      </c>
      <c r="J1658" s="313"/>
      <c r="K1658" s="323"/>
    </row>
    <row r="1659" spans="2:11" s="317" customFormat="1" ht="24.9" hidden="1" customHeight="1" thickBot="1" x14ac:dyDescent="0.25">
      <c r="B1659" s="692"/>
      <c r="C1659" s="322" t="str">
        <f>'LISTA DE INSUMOS'!A42</f>
        <v>MAT013</v>
      </c>
      <c r="D1659" s="324" t="str">
        <f>'LISTA DE INSUMOS'!B42</f>
        <v xml:space="preserve">Agua </v>
      </c>
      <c r="E1659" s="322" t="str">
        <f>'LISTA DE INSUMOS'!C42</f>
        <v>Lt</v>
      </c>
      <c r="F1659" s="325">
        <v>35</v>
      </c>
      <c r="G1659" s="312">
        <f>'LISTA DE INSUMOS'!E42</f>
        <v>96.828790046226644</v>
      </c>
      <c r="H1659" s="322">
        <v>0</v>
      </c>
      <c r="I1659" s="312">
        <f>ROUND((F1659*G1659),0)</f>
        <v>3389</v>
      </c>
      <c r="J1659" s="313"/>
      <c r="K1659" s="323"/>
    </row>
    <row r="1660" spans="2:11" s="317" customFormat="1" ht="24.9" hidden="1" customHeight="1" thickTop="1" thickBot="1" x14ac:dyDescent="0.25">
      <c r="B1660" s="347" t="s">
        <v>1310</v>
      </c>
      <c r="C1660" s="322" t="str">
        <f>+B574</f>
        <v>ITE96</v>
      </c>
      <c r="D1660" s="324" t="str">
        <f>+D574</f>
        <v>Mortero 1:3 (producción)</v>
      </c>
      <c r="E1660" s="322" t="str">
        <f>E574</f>
        <v>M3</v>
      </c>
      <c r="F1660" s="325">
        <v>0.02</v>
      </c>
      <c r="G1660" s="312">
        <f>G574</f>
        <v>580906</v>
      </c>
      <c r="H1660" s="322">
        <v>1.05</v>
      </c>
      <c r="I1660" s="312">
        <f>ROUND((F1660*G1660*H1660),0)</f>
        <v>12199</v>
      </c>
      <c r="J1660" s="313"/>
      <c r="K1660" s="323"/>
    </row>
    <row r="1661" spans="2:11" s="317" customFormat="1" ht="24.9" hidden="1" customHeight="1" thickTop="1" thickBot="1" x14ac:dyDescent="0.25">
      <c r="B1661" s="342" t="s">
        <v>1034</v>
      </c>
      <c r="C1661" s="322" t="str">
        <f>'LISTA DE INSUMOS'!A18</f>
        <v>MOB015</v>
      </c>
      <c r="D1661" s="324" t="str">
        <f>'LISTA DE INSUMOS'!B18</f>
        <v>Cuadrilla E 1 Of + 1 Ay (jornal + prestaciones)</v>
      </c>
      <c r="E1661" s="322" t="str">
        <f>'LISTA DE INSUMOS'!C18</f>
        <v>Día</v>
      </c>
      <c r="F1661" s="325">
        <v>1</v>
      </c>
      <c r="G1661" s="312">
        <f>'LISTA DE INSUMOS'!E18</f>
        <v>245584</v>
      </c>
      <c r="H1661" s="322">
        <f>1/6</f>
        <v>0.16666666666666666</v>
      </c>
      <c r="I1661" s="312">
        <f>ROUND((F1661*G1661*H1661),0)</f>
        <v>40931</v>
      </c>
      <c r="J1661" s="313"/>
      <c r="K1661" s="323"/>
    </row>
    <row r="1662" spans="2:11" s="317" customFormat="1" ht="24.9" hidden="1" customHeight="1" thickTop="1" thickBot="1" x14ac:dyDescent="0.25">
      <c r="B1662" s="255" t="s">
        <v>1033</v>
      </c>
      <c r="C1662" s="327" t="str">
        <f>+'LISTA DE INSUMOS'!A758</f>
        <v>EQU002</v>
      </c>
      <c r="D1662" s="328" t="str">
        <f>+'LISTA DE INSUMOS'!B758</f>
        <v>Herramienta menor (% mano obra)</v>
      </c>
      <c r="E1662" s="329" t="str">
        <f>+'LISTA DE INSUMOS'!C758</f>
        <v>%MO</v>
      </c>
      <c r="F1662" s="330">
        <v>0.1</v>
      </c>
      <c r="G1662" s="331">
        <f>I1661</f>
        <v>40931</v>
      </c>
      <c r="H1662" s="329">
        <v>0</v>
      </c>
      <c r="I1662" s="331">
        <f>ROUND((F1662*G1662),0)</f>
        <v>4093</v>
      </c>
      <c r="J1662" s="313"/>
      <c r="K1662" s="323"/>
    </row>
    <row r="1663" spans="2:11" s="317" customFormat="1" ht="24.9" hidden="1" customHeight="1" x14ac:dyDescent="0.2">
      <c r="B1663" s="319" t="s">
        <v>1921</v>
      </c>
      <c r="C1663" s="319"/>
      <c r="D1663" s="320" t="s">
        <v>2289</v>
      </c>
      <c r="E1663" s="319" t="s">
        <v>2585</v>
      </c>
      <c r="F1663" s="321"/>
      <c r="G1663" s="312">
        <f>ROUND(SUM(I1663:I1671),0)</f>
        <v>111201</v>
      </c>
      <c r="H1663" s="322"/>
      <c r="I1663" s="312"/>
      <c r="J1663" s="313"/>
      <c r="K1663" s="323"/>
    </row>
    <row r="1664" spans="2:11" s="317" customFormat="1" ht="24.9" hidden="1" customHeight="1" x14ac:dyDescent="0.2">
      <c r="B1664" s="691" t="s">
        <v>1035</v>
      </c>
      <c r="C1664" s="322" t="str">
        <f>'LISTA DE INSUMOS'!A30</f>
        <v>MAT001</v>
      </c>
      <c r="D1664" s="324" t="str">
        <f>'LISTA DE INSUMOS'!B30</f>
        <v>Cemento gris saco por 50 kilos, incluye cargue, descargue y transporte</v>
      </c>
      <c r="E1664" s="322" t="str">
        <f>'LISTA DE INSUMOS'!C30</f>
        <v>Sc</v>
      </c>
      <c r="F1664" s="325">
        <v>0.2</v>
      </c>
      <c r="G1664" s="312">
        <f>'LISTA DE INSUMOS'!E30</f>
        <v>34500</v>
      </c>
      <c r="H1664" s="322">
        <v>1.05</v>
      </c>
      <c r="I1664" s="312">
        <f>ROUND((F1664*G1664*H1664),0)</f>
        <v>7245</v>
      </c>
      <c r="J1664" s="313"/>
      <c r="K1664" s="323"/>
    </row>
    <row r="1665" spans="2:11" s="317" customFormat="1" ht="24.9" hidden="1" customHeight="1" x14ac:dyDescent="0.2">
      <c r="B1665" s="691"/>
      <c r="C1665" s="322" t="str">
        <f>'LISTA DE INSUMOS'!A41</f>
        <v>MAT012</v>
      </c>
      <c r="D1665" s="324" t="str">
        <f>'LISTA DE INSUMOS'!B41</f>
        <v>Gravilla #2</v>
      </c>
      <c r="E1665" s="322" t="str">
        <f>'LISTA DE INSUMOS'!C41</f>
        <v>Sc</v>
      </c>
      <c r="F1665" s="325">
        <v>0.5</v>
      </c>
      <c r="G1665" s="312">
        <f>'LISTA DE INSUMOS'!E41</f>
        <v>29154.431975760002</v>
      </c>
      <c r="H1665" s="322">
        <v>1.03</v>
      </c>
      <c r="I1665" s="312">
        <f>ROUND((F1665*G1665*H1665),0)</f>
        <v>15015</v>
      </c>
      <c r="J1665" s="313"/>
      <c r="K1665" s="323"/>
    </row>
    <row r="1666" spans="2:11" s="317" customFormat="1" ht="24.9" hidden="1" customHeight="1" x14ac:dyDescent="0.2">
      <c r="B1666" s="691"/>
      <c r="C1666" s="322" t="str">
        <f>'LISTA DE INSUMOS'!A172</f>
        <v>MAT126</v>
      </c>
      <c r="D1666" s="324" t="str">
        <f>'LISTA DE INSUMOS'!B172</f>
        <v>Dilatación PVC flexible ancha x 2 m</v>
      </c>
      <c r="E1666" s="322" t="str">
        <f>'LISTA DE INSUMOS'!C172</f>
        <v>M</v>
      </c>
      <c r="F1666" s="325">
        <v>1.75</v>
      </c>
      <c r="G1666" s="312">
        <f>'LISTA DE INSUMOS'!E172</f>
        <v>10209.562254275999</v>
      </c>
      <c r="H1666" s="322">
        <v>0</v>
      </c>
      <c r="I1666" s="312">
        <f>ROUND((F1666*G1666),0)</f>
        <v>17867</v>
      </c>
      <c r="J1666" s="313"/>
      <c r="K1666" s="323"/>
    </row>
    <row r="1667" spans="2:11" s="317" customFormat="1" ht="24.9" hidden="1" customHeight="1" x14ac:dyDescent="0.2">
      <c r="B1667" s="691"/>
      <c r="C1667" s="322" t="str">
        <f>'LISTA DE INSUMOS'!A383</f>
        <v>MAT377</v>
      </c>
      <c r="D1667" s="324" t="str">
        <f>'LISTA DE INSUMOS'!B383</f>
        <v>Loceta tableta romana</v>
      </c>
      <c r="E1667" s="322" t="str">
        <f>'LISTA DE INSUMOS'!C383</f>
        <v>M2</v>
      </c>
      <c r="F1667" s="325">
        <v>0.5</v>
      </c>
      <c r="G1667" s="312">
        <f>'LISTA DE INSUMOS'!E383</f>
        <v>20314.424752874998</v>
      </c>
      <c r="H1667" s="322">
        <v>1.03</v>
      </c>
      <c r="I1667" s="312">
        <f>ROUND((F1667*G1667*H1667),0)</f>
        <v>10462</v>
      </c>
      <c r="J1667" s="313"/>
      <c r="K1667" s="323"/>
    </row>
    <row r="1668" spans="2:11" s="317" customFormat="1" ht="24.9" hidden="1" customHeight="1" thickBot="1" x14ac:dyDescent="0.25">
      <c r="B1668" s="692"/>
      <c r="C1668" s="322" t="str">
        <f>'LISTA DE INSUMOS'!A42</f>
        <v>MAT013</v>
      </c>
      <c r="D1668" s="324" t="str">
        <f>'LISTA DE INSUMOS'!B42</f>
        <v xml:space="preserve">Agua </v>
      </c>
      <c r="E1668" s="322" t="str">
        <f>'LISTA DE INSUMOS'!C42</f>
        <v>Lt</v>
      </c>
      <c r="F1668" s="325">
        <v>35</v>
      </c>
      <c r="G1668" s="312">
        <f>'LISTA DE INSUMOS'!E42</f>
        <v>96.828790046226644</v>
      </c>
      <c r="H1668" s="322">
        <v>0</v>
      </c>
      <c r="I1668" s="312">
        <f>ROUND((F1668*G1668),0)</f>
        <v>3389</v>
      </c>
      <c r="J1668" s="313"/>
      <c r="K1668" s="323"/>
    </row>
    <row r="1669" spans="2:11" s="317" customFormat="1" ht="24.9" hidden="1" customHeight="1" thickTop="1" thickBot="1" x14ac:dyDescent="0.25">
      <c r="B1669" s="347" t="s">
        <v>1310</v>
      </c>
      <c r="C1669" s="322" t="str">
        <f>+B574</f>
        <v>ITE96</v>
      </c>
      <c r="D1669" s="324" t="str">
        <f>+D574</f>
        <v>Mortero 1:3 (producción)</v>
      </c>
      <c r="E1669" s="322" t="str">
        <f>E574</f>
        <v>M3</v>
      </c>
      <c r="F1669" s="325">
        <v>0.02</v>
      </c>
      <c r="G1669" s="312">
        <f>G574</f>
        <v>580906</v>
      </c>
      <c r="H1669" s="322">
        <v>1.05</v>
      </c>
      <c r="I1669" s="312">
        <f>ROUND((F1669*G1669*H1669),0)</f>
        <v>12199</v>
      </c>
      <c r="J1669" s="313"/>
      <c r="K1669" s="323"/>
    </row>
    <row r="1670" spans="2:11" s="317" customFormat="1" ht="24.9" hidden="1" customHeight="1" thickTop="1" thickBot="1" x14ac:dyDescent="0.25">
      <c r="B1670" s="342" t="s">
        <v>1034</v>
      </c>
      <c r="C1670" s="322" t="str">
        <f>'LISTA DE INSUMOS'!A18</f>
        <v>MOB015</v>
      </c>
      <c r="D1670" s="324" t="str">
        <f>'LISTA DE INSUMOS'!B18</f>
        <v>Cuadrilla E 1 Of + 1 Ay (jornal + prestaciones)</v>
      </c>
      <c r="E1670" s="322" t="str">
        <f>'LISTA DE INSUMOS'!C18</f>
        <v>Día</v>
      </c>
      <c r="F1670" s="325">
        <v>1</v>
      </c>
      <c r="G1670" s="312">
        <f>'LISTA DE INSUMOS'!E18</f>
        <v>245584</v>
      </c>
      <c r="H1670" s="322">
        <f>1/6</f>
        <v>0.16666666666666666</v>
      </c>
      <c r="I1670" s="312">
        <f>ROUND((F1670*G1670*H1670),0)</f>
        <v>40931</v>
      </c>
      <c r="J1670" s="313"/>
      <c r="K1670" s="323"/>
    </row>
    <row r="1671" spans="2:11" s="317" customFormat="1" ht="24.9" hidden="1" customHeight="1" thickTop="1" thickBot="1" x14ac:dyDescent="0.25">
      <c r="B1671" s="255" t="s">
        <v>1033</v>
      </c>
      <c r="C1671" s="329" t="str">
        <f>+'LISTA DE INSUMOS'!A758</f>
        <v>EQU002</v>
      </c>
      <c r="D1671" s="328" t="str">
        <f>+'LISTA DE INSUMOS'!B758</f>
        <v>Herramienta menor (% mano obra)</v>
      </c>
      <c r="E1671" s="329" t="str">
        <f>+'LISTA DE INSUMOS'!C758</f>
        <v>%MO</v>
      </c>
      <c r="F1671" s="330">
        <v>0.1</v>
      </c>
      <c r="G1671" s="331">
        <f>I1670</f>
        <v>40931</v>
      </c>
      <c r="H1671" s="329">
        <v>0</v>
      </c>
      <c r="I1671" s="331">
        <f>ROUND((F1671*G1671),0)</f>
        <v>4093</v>
      </c>
      <c r="J1671" s="313"/>
      <c r="K1671" s="323"/>
    </row>
    <row r="1672" spans="2:11" ht="24.9" customHeight="1" x14ac:dyDescent="0.2">
      <c r="B1672" s="117" t="s">
        <v>1517</v>
      </c>
      <c r="C1672" s="117"/>
      <c r="D1672" s="112" t="s">
        <v>1680</v>
      </c>
      <c r="E1672" s="117" t="s">
        <v>1412</v>
      </c>
      <c r="F1672" s="149"/>
      <c r="G1672" s="119">
        <f>ROUND(SUM(I1672:I1678),0)</f>
        <v>26399</v>
      </c>
      <c r="H1672" s="120"/>
      <c r="I1672" s="119"/>
      <c r="J1672" s="47"/>
      <c r="K1672" s="143"/>
    </row>
    <row r="1673" spans="2:11" ht="24.9" customHeight="1" x14ac:dyDescent="0.2">
      <c r="B1673" s="672" t="s">
        <v>1035</v>
      </c>
      <c r="C1673" s="108" t="str">
        <f>'LISTA DE INSUMOS'!A52</f>
        <v>MAT021</v>
      </c>
      <c r="D1673" s="139" t="str">
        <f>'LISTA DE INSUMOS'!B52</f>
        <v>Puntilla (promedio)</v>
      </c>
      <c r="E1673" s="108" t="str">
        <f>'LISTA DE INSUMOS'!C52</f>
        <v>Lb</v>
      </c>
      <c r="F1673" s="140">
        <v>0.01</v>
      </c>
      <c r="G1673" s="141">
        <f>'LISTA DE INSUMOS'!E52</f>
        <v>6690.6972299999998</v>
      </c>
      <c r="H1673" s="108">
        <v>0</v>
      </c>
      <c r="I1673" s="141">
        <f>ROUND((F1673*G1673),0)</f>
        <v>67</v>
      </c>
      <c r="J1673" s="47"/>
      <c r="K1673" s="143"/>
    </row>
    <row r="1674" spans="2:11" ht="24.9" customHeight="1" x14ac:dyDescent="0.2">
      <c r="B1674" s="672"/>
      <c r="C1674" s="108" t="str">
        <f>'LISTA DE INSUMOS'!A132</f>
        <v>MAT091</v>
      </c>
      <c r="D1674" s="139" t="str">
        <f>'LISTA DE INSUMOS'!B132</f>
        <v>Varillón de sajo</v>
      </c>
      <c r="E1674" s="108" t="str">
        <f>'LISTA DE INSUMOS'!C132</f>
        <v>M</v>
      </c>
      <c r="F1674" s="140">
        <v>1</v>
      </c>
      <c r="G1674" s="141">
        <f>'LISTA DE INSUMOS'!E132</f>
        <v>2979.6450687603597</v>
      </c>
      <c r="H1674" s="108">
        <f>1/3</f>
        <v>0.33333333333333331</v>
      </c>
      <c r="I1674" s="141">
        <f>ROUND((F1674*G1674*H1674),0)</f>
        <v>993</v>
      </c>
      <c r="J1674" s="47"/>
      <c r="K1674" s="143"/>
    </row>
    <row r="1675" spans="2:11" ht="24.9" customHeight="1" thickBot="1" x14ac:dyDescent="0.25">
      <c r="B1675" s="673"/>
      <c r="C1675" s="108" t="str">
        <f>'LISTA DE INSUMOS'!A153</f>
        <v>MAT112</v>
      </c>
      <c r="D1675" s="139" t="str">
        <f>'LISTA DE INSUMOS'!B153</f>
        <v>Pintura esmalte para exteriores</v>
      </c>
      <c r="E1675" s="108" t="str">
        <f>'LISTA DE INSUMOS'!C153</f>
        <v>Gl</v>
      </c>
      <c r="F1675" s="140">
        <v>1</v>
      </c>
      <c r="G1675" s="141">
        <f>'LISTA DE INSUMOS'!E153</f>
        <v>99769.889999999985</v>
      </c>
      <c r="H1675" s="142">
        <f>1/45</f>
        <v>2.2222222222222223E-2</v>
      </c>
      <c r="I1675" s="141">
        <f>ROUND((F1675*G1675*H1675),0)</f>
        <v>2217</v>
      </c>
      <c r="J1675" s="47"/>
      <c r="K1675" s="143"/>
    </row>
    <row r="1676" spans="2:11" ht="24.9" customHeight="1" thickTop="1" thickBot="1" x14ac:dyDescent="0.25">
      <c r="B1676" s="191" t="s">
        <v>1310</v>
      </c>
      <c r="C1676" s="108" t="str">
        <f>+B574</f>
        <v>ITE96</v>
      </c>
      <c r="D1676" s="139" t="str">
        <f>+D574</f>
        <v>Mortero 1:3 (producción)</v>
      </c>
      <c r="E1676" s="108" t="str">
        <f>E574</f>
        <v>M3</v>
      </c>
      <c r="F1676" s="140">
        <v>1E-3</v>
      </c>
      <c r="G1676" s="141">
        <f>G574</f>
        <v>580906</v>
      </c>
      <c r="H1676" s="108">
        <v>1.05</v>
      </c>
      <c r="I1676" s="141">
        <f>ROUND((F1676*G1676*H1676),0)</f>
        <v>610</v>
      </c>
      <c r="J1676" s="47"/>
      <c r="K1676" s="143"/>
    </row>
    <row r="1677" spans="2:11" ht="24.9" customHeight="1" thickTop="1" thickBot="1" x14ac:dyDescent="0.25">
      <c r="B1677" s="158" t="s">
        <v>1034</v>
      </c>
      <c r="C1677" s="108" t="str">
        <f>'LISTA DE INSUMOS'!A18</f>
        <v>MOB015</v>
      </c>
      <c r="D1677" s="139" t="str">
        <f>'LISTA DE INSUMOS'!B18</f>
        <v>Cuadrilla E 1 Of + 1 Ay (jornal + prestaciones)</v>
      </c>
      <c r="E1677" s="108" t="str">
        <f>'LISTA DE INSUMOS'!C18</f>
        <v>Día</v>
      </c>
      <c r="F1677" s="140">
        <v>1</v>
      </c>
      <c r="G1677" s="141">
        <f>'LISTA DE INSUMOS'!E18</f>
        <v>245584</v>
      </c>
      <c r="H1677" s="108">
        <f>1/12</f>
        <v>8.3333333333333329E-2</v>
      </c>
      <c r="I1677" s="141">
        <f>ROUND((F1677*G1677*H1677),0)</f>
        <v>20465</v>
      </c>
      <c r="J1677" s="47"/>
      <c r="K1677" s="143"/>
    </row>
    <row r="1678" spans="2:11" ht="24.9" customHeight="1" thickTop="1" thickBot="1" x14ac:dyDescent="0.25">
      <c r="B1678" s="150" t="s">
        <v>1033</v>
      </c>
      <c r="C1678" s="145" t="str">
        <f>+'LISTA DE INSUMOS'!A758</f>
        <v>EQU002</v>
      </c>
      <c r="D1678" s="146" t="str">
        <f>+'LISTA DE INSUMOS'!B758</f>
        <v>Herramienta menor (% mano obra)</v>
      </c>
      <c r="E1678" s="145" t="str">
        <f>+'LISTA DE INSUMOS'!C758</f>
        <v>%MO</v>
      </c>
      <c r="F1678" s="147">
        <v>0.1</v>
      </c>
      <c r="G1678" s="148">
        <f>I1677</f>
        <v>20465</v>
      </c>
      <c r="H1678" s="145">
        <v>0</v>
      </c>
      <c r="I1678" s="148">
        <f>ROUND((F1678*G1678),0)</f>
        <v>2047</v>
      </c>
      <c r="J1678" s="47"/>
      <c r="K1678" s="143"/>
    </row>
    <row r="1679" spans="2:11" ht="24.9" customHeight="1" x14ac:dyDescent="0.2">
      <c r="B1679" s="117" t="s">
        <v>1617</v>
      </c>
      <c r="C1679" s="117"/>
      <c r="D1679" s="112" t="s">
        <v>1677</v>
      </c>
      <c r="E1679" s="117" t="s">
        <v>1412</v>
      </c>
      <c r="F1679" s="118"/>
      <c r="G1679" s="119">
        <f>ROUND(SUM(I1679:I1689),0)</f>
        <v>51013</v>
      </c>
      <c r="H1679" s="120"/>
      <c r="I1679" s="119"/>
      <c r="J1679" s="47"/>
      <c r="K1679" s="143"/>
    </row>
    <row r="1680" spans="2:11" ht="24.9" customHeight="1" x14ac:dyDescent="0.2">
      <c r="B1680" s="672" t="s">
        <v>1035</v>
      </c>
      <c r="C1680" s="108" t="str">
        <f>'LISTA DE INSUMOS'!A30</f>
        <v>MAT001</v>
      </c>
      <c r="D1680" s="139" t="str">
        <f>'LISTA DE INSUMOS'!B30</f>
        <v>Cemento gris saco por 50 kilos, incluye cargue, descargue y transporte</v>
      </c>
      <c r="E1680" s="108" t="str">
        <f>'LISTA DE INSUMOS'!C30</f>
        <v>Sc</v>
      </c>
      <c r="F1680" s="176">
        <v>0.01</v>
      </c>
      <c r="G1680" s="141">
        <f>'LISTA DE INSUMOS'!E30</f>
        <v>34500</v>
      </c>
      <c r="H1680" s="205">
        <v>1.05</v>
      </c>
      <c r="I1680" s="141">
        <f>ROUND((F1680*G1680*H1680),0)</f>
        <v>362</v>
      </c>
      <c r="J1680" s="47"/>
      <c r="K1680" s="143"/>
    </row>
    <row r="1681" spans="2:11" ht="24.9" customHeight="1" x14ac:dyDescent="0.2">
      <c r="B1681" s="672"/>
      <c r="C1681" s="108" t="str">
        <f>'LISTA DE INSUMOS'!A31</f>
        <v>MAT002</v>
      </c>
      <c r="D1681" s="139" t="str">
        <f>'LISTA DE INSUMOS'!B31</f>
        <v>Cemento blanco</v>
      </c>
      <c r="E1681" s="108" t="str">
        <f>'LISTA DE INSUMOS'!C31</f>
        <v>Kg</v>
      </c>
      <c r="F1681" s="176">
        <v>2.5</v>
      </c>
      <c r="G1681" s="141">
        <f>'LISTA DE INSUMOS'!E31</f>
        <v>2900</v>
      </c>
      <c r="H1681" s="205">
        <v>1.05</v>
      </c>
      <c r="I1681" s="141">
        <f>ROUND((F1681*G1681*H1681),0)</f>
        <v>7613</v>
      </c>
      <c r="J1681" s="47"/>
      <c r="K1681" s="143"/>
    </row>
    <row r="1682" spans="2:11" ht="24.9" customHeight="1" x14ac:dyDescent="0.2">
      <c r="B1682" s="672"/>
      <c r="C1682" s="108" t="str">
        <f>'LISTA DE INSUMOS'!A132</f>
        <v>MAT091</v>
      </c>
      <c r="D1682" s="139" t="str">
        <f>'LISTA DE INSUMOS'!B132</f>
        <v>Varillón de sajo</v>
      </c>
      <c r="E1682" s="108" t="str">
        <f>'LISTA DE INSUMOS'!C132</f>
        <v>M</v>
      </c>
      <c r="F1682" s="140">
        <v>1</v>
      </c>
      <c r="G1682" s="141">
        <f>'LISTA DE INSUMOS'!E132</f>
        <v>2979.6450687603597</v>
      </c>
      <c r="H1682" s="108">
        <f>1/3</f>
        <v>0.33333333333333331</v>
      </c>
      <c r="I1682" s="141">
        <f>ROUND((F1682*G1682*H1682),0)</f>
        <v>993</v>
      </c>
      <c r="J1682" s="47"/>
      <c r="K1682" s="143"/>
    </row>
    <row r="1683" spans="2:11" ht="24.9" customHeight="1" x14ac:dyDescent="0.2">
      <c r="B1683" s="672"/>
      <c r="C1683" s="108" t="str">
        <f>'LISTA DE INSUMOS'!A52</f>
        <v>MAT021</v>
      </c>
      <c r="D1683" s="139" t="str">
        <f>'LISTA DE INSUMOS'!B52</f>
        <v>Puntilla (promedio)</v>
      </c>
      <c r="E1683" s="108" t="str">
        <f>'LISTA DE INSUMOS'!C52</f>
        <v>Lb</v>
      </c>
      <c r="F1683" s="176">
        <v>0.01</v>
      </c>
      <c r="G1683" s="141">
        <f>'LISTA DE INSUMOS'!E52</f>
        <v>6690.6972299999998</v>
      </c>
      <c r="H1683" s="205">
        <v>0</v>
      </c>
      <c r="I1683" s="141">
        <f>ROUND((F1683*G1683),0)</f>
        <v>67</v>
      </c>
      <c r="J1683" s="47"/>
      <c r="K1683" s="143"/>
    </row>
    <row r="1684" spans="2:11" ht="24.9" customHeight="1" x14ac:dyDescent="0.2">
      <c r="B1684" s="672"/>
      <c r="C1684" s="108" t="str">
        <f>'LISTA DE INSUMOS'!A176</f>
        <v>MAT130</v>
      </c>
      <c r="D1684" s="139" t="str">
        <f>'LISTA DE INSUMOS'!B176</f>
        <v>Granito por 25 Kg</v>
      </c>
      <c r="E1684" s="108" t="str">
        <f>'LISTA DE INSUMOS'!C176</f>
        <v>Sc</v>
      </c>
      <c r="F1684" s="176">
        <v>0.2</v>
      </c>
      <c r="G1684" s="141">
        <f>'LISTA DE INSUMOS'!E176</f>
        <v>50396.024926932289</v>
      </c>
      <c r="H1684" s="205">
        <v>1.03</v>
      </c>
      <c r="I1684" s="141">
        <f>ROUND((F1684*G1684*H1684),0)</f>
        <v>10382</v>
      </c>
      <c r="J1684" s="47"/>
      <c r="K1684" s="143"/>
    </row>
    <row r="1685" spans="2:11" ht="24.9" customHeight="1" x14ac:dyDescent="0.2">
      <c r="B1685" s="672"/>
      <c r="C1685" s="108" t="str">
        <f>'LISTA DE INSUMOS'!A42</f>
        <v>MAT013</v>
      </c>
      <c r="D1685" s="139" t="str">
        <f>'LISTA DE INSUMOS'!B42</f>
        <v xml:space="preserve">Agua </v>
      </c>
      <c r="E1685" s="108" t="str">
        <f>'LISTA DE INSUMOS'!C42</f>
        <v>Lt</v>
      </c>
      <c r="F1685" s="176">
        <v>10</v>
      </c>
      <c r="G1685" s="141">
        <f>'LISTA DE INSUMOS'!E42</f>
        <v>96.828790046226644</v>
      </c>
      <c r="H1685" s="205">
        <v>0</v>
      </c>
      <c r="I1685" s="141">
        <f>ROUND((F1685*G1685),0)</f>
        <v>968</v>
      </c>
      <c r="J1685" s="47"/>
      <c r="K1685" s="143"/>
    </row>
    <row r="1686" spans="2:11" ht="24.9" customHeight="1" thickBot="1" x14ac:dyDescent="0.25">
      <c r="B1686" s="673"/>
      <c r="C1686" s="108" t="str">
        <f>'LISTA DE INSUMOS'!A390</f>
        <v>MAT385</v>
      </c>
      <c r="D1686" s="139" t="str">
        <f>'LISTA DE INSUMOS'!B390</f>
        <v>Dilatación de bronce</v>
      </c>
      <c r="E1686" s="108" t="str">
        <f>'LISTA DE INSUMOS'!C390</f>
        <v>M</v>
      </c>
      <c r="F1686" s="176">
        <v>0.1</v>
      </c>
      <c r="G1686" s="141">
        <f>'LISTA DE INSUMOS'!E390</f>
        <v>14537.233129880997</v>
      </c>
      <c r="H1686" s="205">
        <v>0</v>
      </c>
      <c r="I1686" s="141">
        <f>ROUND((F1686*G1686),0)</f>
        <v>1454</v>
      </c>
      <c r="J1686" s="47"/>
      <c r="K1686" s="143"/>
    </row>
    <row r="1687" spans="2:11" ht="24.9" customHeight="1" thickTop="1" thickBot="1" x14ac:dyDescent="0.25">
      <c r="B1687" s="153" t="s">
        <v>1034</v>
      </c>
      <c r="C1687" s="108" t="str">
        <f>'LISTA DE INSUMOS'!A18</f>
        <v>MOB015</v>
      </c>
      <c r="D1687" s="139" t="str">
        <f>'LISTA DE INSUMOS'!B18</f>
        <v>Cuadrilla E 1 Of + 1 Ay (jornal + prestaciones)</v>
      </c>
      <c r="E1687" s="108" t="str">
        <f>'LISTA DE INSUMOS'!C18</f>
        <v>Día</v>
      </c>
      <c r="F1687" s="176">
        <v>1</v>
      </c>
      <c r="G1687" s="141">
        <f>'LISTA DE INSUMOS'!E18</f>
        <v>245584</v>
      </c>
      <c r="H1687" s="205">
        <f>1/10</f>
        <v>0.1</v>
      </c>
      <c r="I1687" s="141">
        <f>ROUND((F1687*G1687*H1687),0)</f>
        <v>24558</v>
      </c>
      <c r="J1687" s="47"/>
      <c r="K1687" s="143"/>
    </row>
    <row r="1688" spans="2:11" ht="24.9" customHeight="1" thickTop="1" x14ac:dyDescent="0.2">
      <c r="B1688" s="674" t="s">
        <v>1033</v>
      </c>
      <c r="C1688" s="108" t="str">
        <f>+'LISTA DE INSUMOS'!A758</f>
        <v>EQU002</v>
      </c>
      <c r="D1688" s="139" t="str">
        <f>+'LISTA DE INSUMOS'!B758</f>
        <v>Herramienta menor (% mano obra)</v>
      </c>
      <c r="E1688" s="108" t="str">
        <f>+'LISTA DE INSUMOS'!C758</f>
        <v>%MO</v>
      </c>
      <c r="F1688" s="176">
        <v>0.1</v>
      </c>
      <c r="G1688" s="141">
        <f>I1687</f>
        <v>24558</v>
      </c>
      <c r="H1688" s="205">
        <v>0</v>
      </c>
      <c r="I1688" s="141">
        <f>ROUND((F1688*G1688),0)</f>
        <v>2456</v>
      </c>
      <c r="J1688" s="47"/>
      <c r="K1688" s="143"/>
    </row>
    <row r="1689" spans="2:11" ht="24.9" customHeight="1" thickBot="1" x14ac:dyDescent="0.25">
      <c r="B1689" s="709"/>
      <c r="C1689" s="145" t="str">
        <f>+'LISTA DE INSUMOS'!A772</f>
        <v>EQU015</v>
      </c>
      <c r="D1689" s="146" t="str">
        <f>+'LISTA DE INSUMOS'!B772</f>
        <v>Pulidora sin operario</v>
      </c>
      <c r="E1689" s="145" t="str">
        <f>+'LISTA DE INSUMOS'!C772</f>
        <v>Día</v>
      </c>
      <c r="F1689" s="229">
        <v>1</v>
      </c>
      <c r="G1689" s="148">
        <f>'LISTA DE INSUMOS'!E772</f>
        <v>21598.9856859348</v>
      </c>
      <c r="H1689" s="206">
        <f>1/10</f>
        <v>0.1</v>
      </c>
      <c r="I1689" s="148">
        <f>ROUND((F1689*G1689*H1689),0)</f>
        <v>2160</v>
      </c>
      <c r="J1689" s="47"/>
      <c r="K1689" s="143"/>
    </row>
    <row r="1690" spans="2:11" s="317" customFormat="1" ht="24.9" hidden="1" customHeight="1" x14ac:dyDescent="0.2">
      <c r="B1690" s="319" t="s">
        <v>1620</v>
      </c>
      <c r="C1690" s="319"/>
      <c r="D1690" s="320" t="s">
        <v>1669</v>
      </c>
      <c r="E1690" s="319" t="s">
        <v>1424</v>
      </c>
      <c r="F1690" s="321"/>
      <c r="G1690" s="312">
        <f>ROUND(SUM(I1690:I1701),0)</f>
        <v>241133</v>
      </c>
      <c r="H1690" s="322"/>
      <c r="I1690" s="312"/>
      <c r="J1690" s="313"/>
      <c r="K1690" s="323"/>
    </row>
    <row r="1691" spans="2:11" s="317" customFormat="1" ht="24.9" hidden="1" customHeight="1" x14ac:dyDescent="0.2">
      <c r="B1691" s="691" t="s">
        <v>1035</v>
      </c>
      <c r="C1691" s="322" t="str">
        <f>'LISTA DE INSUMOS'!A30</f>
        <v>MAT001</v>
      </c>
      <c r="D1691" s="324" t="str">
        <f>'LISTA DE INSUMOS'!B30</f>
        <v>Cemento gris saco por 50 kilos, incluye cargue, descargue y transporte</v>
      </c>
      <c r="E1691" s="322" t="str">
        <f>'LISTA DE INSUMOS'!C30</f>
        <v>Sc</v>
      </c>
      <c r="F1691" s="321">
        <v>0.1</v>
      </c>
      <c r="G1691" s="312">
        <f>'LISTA DE INSUMOS'!E30</f>
        <v>34500</v>
      </c>
      <c r="H1691" s="349">
        <v>1.05</v>
      </c>
      <c r="I1691" s="312">
        <f>ROUND((F1691*G1691*H1691),0)</f>
        <v>3623</v>
      </c>
      <c r="J1691" s="313"/>
      <c r="K1691" s="323"/>
    </row>
    <row r="1692" spans="2:11" s="317" customFormat="1" ht="24.9" hidden="1" customHeight="1" x14ac:dyDescent="0.2">
      <c r="B1692" s="691"/>
      <c r="C1692" s="322" t="str">
        <f>'LISTA DE INSUMOS'!A31</f>
        <v>MAT002</v>
      </c>
      <c r="D1692" s="324" t="str">
        <f>'LISTA DE INSUMOS'!B31</f>
        <v>Cemento blanco</v>
      </c>
      <c r="E1692" s="322" t="str">
        <f>'LISTA DE INSUMOS'!C31</f>
        <v>Kg</v>
      </c>
      <c r="F1692" s="325">
        <v>25</v>
      </c>
      <c r="G1692" s="312">
        <f>'LISTA DE INSUMOS'!E31</f>
        <v>2900</v>
      </c>
      <c r="H1692" s="322">
        <v>1.05</v>
      </c>
      <c r="I1692" s="312">
        <f>ROUND((F1692*G1692*H1692),0)</f>
        <v>76125</v>
      </c>
      <c r="J1692" s="313"/>
      <c r="K1692" s="323"/>
    </row>
    <row r="1693" spans="2:11" s="317" customFormat="1" ht="24.9" hidden="1" customHeight="1" x14ac:dyDescent="0.2">
      <c r="B1693" s="691"/>
      <c r="C1693" s="322" t="str">
        <f>'LISTA DE INSUMOS'!A50</f>
        <v>MAT019</v>
      </c>
      <c r="D1693" s="324" t="str">
        <f>'LISTA DE INSUMOS'!B50</f>
        <v>Listón sajo de 5 x 3 cm x 2,5 m (varilla)</v>
      </c>
      <c r="E1693" s="322" t="str">
        <f>'LISTA DE INSUMOS'!C50</f>
        <v>M</v>
      </c>
      <c r="F1693" s="325">
        <v>2</v>
      </c>
      <c r="G1693" s="312">
        <f>'LISTA DE INSUMOS'!E50</f>
        <v>7285.5458999999992</v>
      </c>
      <c r="H1693" s="322">
        <f>1/3</f>
        <v>0.33333333333333331</v>
      </c>
      <c r="I1693" s="312">
        <f>ROUND((F1693*G1693*H1693),0)</f>
        <v>4857</v>
      </c>
      <c r="J1693" s="313"/>
      <c r="K1693" s="323"/>
    </row>
    <row r="1694" spans="2:11" s="317" customFormat="1" ht="24.9" hidden="1" customHeight="1" x14ac:dyDescent="0.2">
      <c r="B1694" s="691"/>
      <c r="C1694" s="322" t="str">
        <f>'LISTA DE INSUMOS'!A52</f>
        <v>MAT021</v>
      </c>
      <c r="D1694" s="324" t="str">
        <f>'LISTA DE INSUMOS'!B52</f>
        <v>Puntilla (promedio)</v>
      </c>
      <c r="E1694" s="322" t="str">
        <f>'LISTA DE INSUMOS'!C52</f>
        <v>Lb</v>
      </c>
      <c r="F1694" s="321">
        <v>0.02</v>
      </c>
      <c r="G1694" s="312">
        <f>'LISTA DE INSUMOS'!E52</f>
        <v>6690.6972299999998</v>
      </c>
      <c r="H1694" s="349">
        <v>0</v>
      </c>
      <c r="I1694" s="312">
        <f>ROUND((F1694*G1694),0)</f>
        <v>134</v>
      </c>
      <c r="J1694" s="313"/>
      <c r="K1694" s="323"/>
    </row>
    <row r="1695" spans="2:11" s="317" customFormat="1" ht="24.9" hidden="1" customHeight="1" x14ac:dyDescent="0.2">
      <c r="B1695" s="691"/>
      <c r="C1695" s="322" t="str">
        <f>'LISTA DE INSUMOS'!A173</f>
        <v>MAT127</v>
      </c>
      <c r="D1695" s="324" t="str">
        <f>'LISTA DE INSUMOS'!B173</f>
        <v>Pirlán de bronce</v>
      </c>
      <c r="E1695" s="322" t="str">
        <f>'LISTA DE INSUMOS'!C173</f>
        <v>M</v>
      </c>
      <c r="F1695" s="325">
        <v>1.6</v>
      </c>
      <c r="G1695" s="312">
        <f>'LISTA DE INSUMOS'!E173</f>
        <v>31278.748354919993</v>
      </c>
      <c r="H1695" s="322">
        <v>0</v>
      </c>
      <c r="I1695" s="312">
        <f>ROUND((F1695*G1695),0)</f>
        <v>50046</v>
      </c>
      <c r="J1695" s="313"/>
      <c r="K1695" s="323"/>
    </row>
    <row r="1696" spans="2:11" s="317" customFormat="1" ht="24.9" hidden="1" customHeight="1" x14ac:dyDescent="0.2">
      <c r="B1696" s="691"/>
      <c r="C1696" s="322" t="str">
        <f>'LISTA DE INSUMOS'!A176</f>
        <v>MAT130</v>
      </c>
      <c r="D1696" s="324" t="str">
        <f>'LISTA DE INSUMOS'!B176</f>
        <v>Granito por 25 Kg</v>
      </c>
      <c r="E1696" s="322" t="str">
        <f>'LISTA DE INSUMOS'!C176</f>
        <v>Sc</v>
      </c>
      <c r="F1696" s="325">
        <v>0.95</v>
      </c>
      <c r="G1696" s="312">
        <f>'LISTA DE INSUMOS'!E176</f>
        <v>50396.024926932289</v>
      </c>
      <c r="H1696" s="322">
        <v>1.03</v>
      </c>
      <c r="I1696" s="312">
        <f>ROUND((F1696*G1696*H1696),0)</f>
        <v>49313</v>
      </c>
      <c r="J1696" s="313"/>
      <c r="K1696" s="323"/>
    </row>
    <row r="1697" spans="2:11" s="317" customFormat="1" ht="24.9" hidden="1" customHeight="1" x14ac:dyDescent="0.2">
      <c r="B1697" s="691"/>
      <c r="C1697" s="322" t="str">
        <f>'LISTA DE INSUMOS'!A227</f>
        <v>MAT195</v>
      </c>
      <c r="D1697" s="324" t="str">
        <f>'LISTA DE INSUMOS'!B227</f>
        <v>Cera</v>
      </c>
      <c r="E1697" s="322" t="str">
        <f>'LISTA DE INSUMOS'!C227</f>
        <v>Lb</v>
      </c>
      <c r="F1697" s="325">
        <v>1.9E-2</v>
      </c>
      <c r="G1697" s="312">
        <f>'LISTA DE INSUMOS'!E227</f>
        <v>8043.979980220799</v>
      </c>
      <c r="H1697" s="322">
        <v>0</v>
      </c>
      <c r="I1697" s="312">
        <f>ROUND((F1697*G1697),0)</f>
        <v>153</v>
      </c>
      <c r="J1697" s="313"/>
      <c r="K1697" s="323"/>
    </row>
    <row r="1698" spans="2:11" s="317" customFormat="1" ht="24.9" hidden="1" customHeight="1" thickBot="1" x14ac:dyDescent="0.25">
      <c r="B1698" s="692"/>
      <c r="C1698" s="322" t="str">
        <f>'LISTA DE INSUMOS'!A42</f>
        <v>MAT013</v>
      </c>
      <c r="D1698" s="324" t="str">
        <f>'LISTA DE INSUMOS'!B42</f>
        <v xml:space="preserve">Agua </v>
      </c>
      <c r="E1698" s="322" t="str">
        <f>'LISTA DE INSUMOS'!C42</f>
        <v>Lt</v>
      </c>
      <c r="F1698" s="325">
        <v>25</v>
      </c>
      <c r="G1698" s="312">
        <f>'LISTA DE INSUMOS'!E42</f>
        <v>96.828790046226644</v>
      </c>
      <c r="H1698" s="322">
        <v>0</v>
      </c>
      <c r="I1698" s="312">
        <f>ROUND((F1698*G1698),0)</f>
        <v>2421</v>
      </c>
      <c r="J1698" s="313"/>
      <c r="K1698" s="323"/>
    </row>
    <row r="1699" spans="2:11" s="317" customFormat="1" ht="24.9" hidden="1" customHeight="1" thickTop="1" thickBot="1" x14ac:dyDescent="0.25">
      <c r="B1699" s="363" t="s">
        <v>1034</v>
      </c>
      <c r="C1699" s="322" t="str">
        <f>'LISTA DE INSUMOS'!A18</f>
        <v>MOB015</v>
      </c>
      <c r="D1699" s="324" t="str">
        <f>'LISTA DE INSUMOS'!B18</f>
        <v>Cuadrilla E 1 Of + 1 Ay (jornal + prestaciones)</v>
      </c>
      <c r="E1699" s="322" t="str">
        <f>'LISTA DE INSUMOS'!C18</f>
        <v>Día</v>
      </c>
      <c r="F1699" s="325">
        <v>1</v>
      </c>
      <c r="G1699" s="312">
        <f>'LISTA DE INSUMOS'!E18</f>
        <v>245584</v>
      </c>
      <c r="H1699" s="322">
        <f>1/5</f>
        <v>0.2</v>
      </c>
      <c r="I1699" s="312">
        <f>ROUND((F1699*G1699*H1699),0)</f>
        <v>49117</v>
      </c>
      <c r="J1699" s="313"/>
      <c r="K1699" s="323"/>
    </row>
    <row r="1700" spans="2:11" s="317" customFormat="1" ht="24.9" hidden="1" customHeight="1" thickTop="1" x14ac:dyDescent="0.2">
      <c r="B1700" s="693" t="s">
        <v>1033</v>
      </c>
      <c r="C1700" s="322" t="str">
        <f>+'LISTA DE INSUMOS'!A758</f>
        <v>EQU002</v>
      </c>
      <c r="D1700" s="324" t="str">
        <f>+'LISTA DE INSUMOS'!B758</f>
        <v>Herramienta menor (% mano obra)</v>
      </c>
      <c r="E1700" s="322" t="str">
        <f>'LISTA DE INSUMOS'!C18</f>
        <v>Día</v>
      </c>
      <c r="F1700" s="325">
        <v>0.1</v>
      </c>
      <c r="G1700" s="312">
        <f>I1699</f>
        <v>49117</v>
      </c>
      <c r="H1700" s="322">
        <v>0</v>
      </c>
      <c r="I1700" s="312">
        <f>ROUND((F1700*G1700),0)</f>
        <v>4912</v>
      </c>
      <c r="J1700" s="313"/>
      <c r="K1700" s="323"/>
    </row>
    <row r="1701" spans="2:11" s="317" customFormat="1" ht="24.9" hidden="1" customHeight="1" thickBot="1" x14ac:dyDescent="0.25">
      <c r="B1701" s="694"/>
      <c r="C1701" s="329" t="str">
        <f>+'LISTA DE INSUMOS'!A772</f>
        <v>EQU015</v>
      </c>
      <c r="D1701" s="328" t="str">
        <f>+'LISTA DE INSUMOS'!B772</f>
        <v>Pulidora sin operario</v>
      </c>
      <c r="E1701" s="329" t="str">
        <f>+'LISTA DE INSUMOS'!C772</f>
        <v>Día</v>
      </c>
      <c r="F1701" s="330">
        <v>1</v>
      </c>
      <c r="G1701" s="331">
        <f>'LISTA DE INSUMOS'!E772</f>
        <v>21598.9856859348</v>
      </c>
      <c r="H1701" s="329">
        <f>1/50</f>
        <v>0.02</v>
      </c>
      <c r="I1701" s="331">
        <f>ROUND((F1701*G1701*H1701),0)</f>
        <v>432</v>
      </c>
      <c r="J1701" s="313"/>
      <c r="K1701" s="323"/>
    </row>
    <row r="1702" spans="2:11" ht="24.9" customHeight="1" x14ac:dyDescent="0.2">
      <c r="B1702" s="117" t="s">
        <v>1518</v>
      </c>
      <c r="C1702" s="117"/>
      <c r="D1702" s="112" t="s">
        <v>258</v>
      </c>
      <c r="E1702" s="117" t="s">
        <v>1412</v>
      </c>
      <c r="F1702" s="118"/>
      <c r="G1702" s="119">
        <f>ROUND(SUM(I1702:I1711),0)</f>
        <v>34028</v>
      </c>
      <c r="H1702" s="120"/>
      <c r="I1702" s="119"/>
      <c r="J1702" s="47"/>
      <c r="K1702" s="143"/>
    </row>
    <row r="1703" spans="2:11" ht="24.9" customHeight="1" x14ac:dyDescent="0.2">
      <c r="B1703" s="672" t="s">
        <v>1035</v>
      </c>
      <c r="C1703" s="108" t="str">
        <f>'LISTA DE INSUMOS'!A30</f>
        <v>MAT001</v>
      </c>
      <c r="D1703" s="139" t="str">
        <f>'LISTA DE INSUMOS'!B30</f>
        <v>Cemento gris saco por 50 kilos, incluye cargue, descargue y transporte</v>
      </c>
      <c r="E1703" s="108" t="str">
        <f>'LISTA DE INSUMOS'!C30</f>
        <v>Sc</v>
      </c>
      <c r="F1703" s="140">
        <v>0.02</v>
      </c>
      <c r="G1703" s="141">
        <f>'LISTA DE INSUMOS'!E30</f>
        <v>34500</v>
      </c>
      <c r="H1703" s="108">
        <v>1.05</v>
      </c>
      <c r="I1703" s="141">
        <f>ROUND((F1703*G1703*H1703),0)</f>
        <v>725</v>
      </c>
      <c r="J1703" s="47"/>
      <c r="K1703" s="143"/>
    </row>
    <row r="1704" spans="2:11" ht="30" customHeight="1" x14ac:dyDescent="0.2">
      <c r="B1704" s="672"/>
      <c r="C1704" s="108" t="str">
        <f>'LISTA DE INSUMOS'!A41</f>
        <v>MAT012</v>
      </c>
      <c r="D1704" s="139" t="str">
        <f>'LISTA DE INSUMOS'!B41</f>
        <v>Gravilla #2</v>
      </c>
      <c r="E1704" s="108" t="str">
        <f>'LISTA DE INSUMOS'!C41</f>
        <v>Sc</v>
      </c>
      <c r="F1704" s="140">
        <v>0.1</v>
      </c>
      <c r="G1704" s="141">
        <f>'LISTA DE INSUMOS'!E41</f>
        <v>29154.431975760002</v>
      </c>
      <c r="H1704" s="108">
        <v>1.03</v>
      </c>
      <c r="I1704" s="141">
        <f>ROUND((F1704*G1704*H1704),0)</f>
        <v>3003</v>
      </c>
      <c r="J1704" s="47"/>
      <c r="K1704" s="143"/>
    </row>
    <row r="1705" spans="2:11" ht="30" customHeight="1" x14ac:dyDescent="0.2">
      <c r="B1705" s="672"/>
      <c r="C1705" s="108" t="str">
        <f>'LISTA DE INSUMOS'!A132</f>
        <v>MAT091</v>
      </c>
      <c r="D1705" s="139" t="str">
        <f>'LISTA DE INSUMOS'!B132</f>
        <v>Varillón de sajo</v>
      </c>
      <c r="E1705" s="108" t="str">
        <f>'LISTA DE INSUMOS'!C132</f>
        <v>M</v>
      </c>
      <c r="F1705" s="140">
        <v>1</v>
      </c>
      <c r="G1705" s="141">
        <f>'LISTA DE INSUMOS'!E132</f>
        <v>2979.6450687603597</v>
      </c>
      <c r="H1705" s="108">
        <f>1/3</f>
        <v>0.33333333333333331</v>
      </c>
      <c r="I1705" s="141">
        <f>ROUND((F1705*G1705*H1705),0)</f>
        <v>993</v>
      </c>
      <c r="J1705" s="47"/>
      <c r="K1705" s="143"/>
    </row>
    <row r="1706" spans="2:11" ht="30" customHeight="1" x14ac:dyDescent="0.2">
      <c r="B1706" s="672"/>
      <c r="C1706" s="108" t="str">
        <f>'LISTA DE INSUMOS'!A52</f>
        <v>MAT021</v>
      </c>
      <c r="D1706" s="139" t="str">
        <f>'LISTA DE INSUMOS'!B52</f>
        <v>Puntilla (promedio)</v>
      </c>
      <c r="E1706" s="108" t="str">
        <f>'LISTA DE INSUMOS'!C52</f>
        <v>Lb</v>
      </c>
      <c r="F1706" s="140">
        <v>0.01</v>
      </c>
      <c r="G1706" s="141">
        <f>'LISTA DE INSUMOS'!E52</f>
        <v>6690.6972299999998</v>
      </c>
      <c r="H1706" s="108">
        <v>0</v>
      </c>
      <c r="I1706" s="141">
        <f>ROUND((F1706*G1706),0)</f>
        <v>67</v>
      </c>
      <c r="J1706" s="47"/>
      <c r="K1706" s="143"/>
    </row>
    <row r="1707" spans="2:11" ht="24.9" customHeight="1" x14ac:dyDescent="0.2">
      <c r="B1707" s="672"/>
      <c r="C1707" s="108" t="str">
        <f>'LISTA DE INSUMOS'!A273</f>
        <v>MAT243</v>
      </c>
      <c r="D1707" s="139" t="str">
        <f>'LISTA DE INSUMOS'!B273</f>
        <v>Dilatación de vidrio</v>
      </c>
      <c r="E1707" s="108" t="str">
        <f>'LISTA DE INSUMOS'!C273</f>
        <v>M</v>
      </c>
      <c r="F1707" s="140">
        <v>0.1</v>
      </c>
      <c r="G1707" s="141">
        <f>'LISTA DE INSUMOS'!E273</f>
        <v>378.6537487116384</v>
      </c>
      <c r="H1707" s="108">
        <v>0</v>
      </c>
      <c r="I1707" s="141">
        <f>ROUND((F1707*G1707),0)</f>
        <v>38</v>
      </c>
      <c r="J1707" s="47"/>
      <c r="K1707" s="143"/>
    </row>
    <row r="1708" spans="2:11" ht="24.9" customHeight="1" thickBot="1" x14ac:dyDescent="0.25">
      <c r="B1708" s="673"/>
      <c r="C1708" s="108" t="str">
        <f>'LISTA DE INSUMOS'!A42</f>
        <v>MAT013</v>
      </c>
      <c r="D1708" s="139" t="str">
        <f>'LISTA DE INSUMOS'!B42</f>
        <v xml:space="preserve">Agua </v>
      </c>
      <c r="E1708" s="108" t="str">
        <f>'LISTA DE INSUMOS'!C42</f>
        <v>Lt</v>
      </c>
      <c r="F1708" s="140">
        <v>10</v>
      </c>
      <c r="G1708" s="141">
        <f>'LISTA DE INSUMOS'!E42</f>
        <v>96.828790046226644</v>
      </c>
      <c r="H1708" s="108">
        <v>0</v>
      </c>
      <c r="I1708" s="141">
        <f>ROUND((F1708*G1708),0)</f>
        <v>968</v>
      </c>
      <c r="J1708" s="47"/>
      <c r="K1708" s="143"/>
    </row>
    <row r="1709" spans="2:11" ht="24.9" customHeight="1" thickTop="1" thickBot="1" x14ac:dyDescent="0.25">
      <c r="B1709" s="191" t="s">
        <v>1310</v>
      </c>
      <c r="C1709" s="108" t="str">
        <f>+B574</f>
        <v>ITE96</v>
      </c>
      <c r="D1709" s="139" t="str">
        <f>+D574</f>
        <v>Mortero 1:3 (producción)</v>
      </c>
      <c r="E1709" s="108" t="str">
        <f>E574</f>
        <v>M3</v>
      </c>
      <c r="F1709" s="152">
        <v>2E-3</v>
      </c>
      <c r="G1709" s="141">
        <f>G574</f>
        <v>580906</v>
      </c>
      <c r="H1709" s="108">
        <v>1.05</v>
      </c>
      <c r="I1709" s="141">
        <f>ROUND((F1709*G1709*H1709),0)</f>
        <v>1220</v>
      </c>
      <c r="J1709" s="47"/>
      <c r="K1709" s="143"/>
    </row>
    <row r="1710" spans="2:11" ht="24.9" customHeight="1" thickTop="1" thickBot="1" x14ac:dyDescent="0.25">
      <c r="B1710" s="153" t="s">
        <v>1034</v>
      </c>
      <c r="C1710" s="108" t="str">
        <f>'LISTA DE INSUMOS'!A18</f>
        <v>MOB015</v>
      </c>
      <c r="D1710" s="139" t="str">
        <f>'LISTA DE INSUMOS'!B18</f>
        <v>Cuadrilla E 1 Of + 1 Ay (jornal + prestaciones)</v>
      </c>
      <c r="E1710" s="108" t="str">
        <f>'LISTA DE INSUMOS'!C18</f>
        <v>Día</v>
      </c>
      <c r="F1710" s="140">
        <v>1</v>
      </c>
      <c r="G1710" s="141">
        <f>'LISTA DE INSUMOS'!E18</f>
        <v>245584</v>
      </c>
      <c r="H1710" s="108">
        <f>1/10</f>
        <v>0.1</v>
      </c>
      <c r="I1710" s="141">
        <f>ROUND((F1710*G1710*H1710),0)</f>
        <v>24558</v>
      </c>
      <c r="J1710" s="47"/>
      <c r="K1710" s="143"/>
    </row>
    <row r="1711" spans="2:11" ht="24.9" customHeight="1" thickTop="1" thickBot="1" x14ac:dyDescent="0.25">
      <c r="B1711" s="150" t="s">
        <v>1033</v>
      </c>
      <c r="C1711" s="151" t="str">
        <f>+'LISTA DE INSUMOS'!A758</f>
        <v>EQU002</v>
      </c>
      <c r="D1711" s="146" t="str">
        <f>+'LISTA DE INSUMOS'!B758</f>
        <v>Herramienta menor (% mano obra)</v>
      </c>
      <c r="E1711" s="145" t="str">
        <f>+'LISTA DE INSUMOS'!C758</f>
        <v>%MO</v>
      </c>
      <c r="F1711" s="147">
        <v>0.1</v>
      </c>
      <c r="G1711" s="148">
        <f>I1710</f>
        <v>24558</v>
      </c>
      <c r="H1711" s="145">
        <v>0</v>
      </c>
      <c r="I1711" s="148">
        <f>ROUND((F1711*G1711),0)</f>
        <v>2456</v>
      </c>
      <c r="J1711" s="47"/>
      <c r="K1711" s="143"/>
    </row>
    <row r="1712" spans="2:11" ht="24.9" customHeight="1" x14ac:dyDescent="0.2">
      <c r="B1712" s="117" t="s">
        <v>1463</v>
      </c>
      <c r="C1712" s="117"/>
      <c r="D1712" s="112" t="s">
        <v>1671</v>
      </c>
      <c r="E1712" s="117" t="s">
        <v>1424</v>
      </c>
      <c r="F1712" s="118"/>
      <c r="G1712" s="119">
        <f>ROUND(SUM(I1712:I1720),0)</f>
        <v>93785</v>
      </c>
      <c r="H1712" s="120"/>
      <c r="I1712" s="119"/>
      <c r="J1712" s="47"/>
      <c r="K1712" s="143"/>
    </row>
    <row r="1713" spans="2:11" ht="24.9" customHeight="1" x14ac:dyDescent="0.2">
      <c r="B1713" s="672" t="s">
        <v>1035</v>
      </c>
      <c r="C1713" s="108" t="str">
        <f>'LISTA DE INSUMOS'!A30</f>
        <v>MAT001</v>
      </c>
      <c r="D1713" s="139" t="str">
        <f>'LISTA DE INSUMOS'!B30</f>
        <v>Cemento gris saco por 50 kilos, incluye cargue, descargue y transporte</v>
      </c>
      <c r="E1713" s="108" t="str">
        <f>'LISTA DE INSUMOS'!C30</f>
        <v>Sc</v>
      </c>
      <c r="F1713" s="140">
        <v>0.1</v>
      </c>
      <c r="G1713" s="141">
        <f>'LISTA DE INSUMOS'!E30</f>
        <v>34500</v>
      </c>
      <c r="H1713" s="108">
        <v>1.05</v>
      </c>
      <c r="I1713" s="141">
        <f>ROUND((F1713*G1713*H1713),0)</f>
        <v>3623</v>
      </c>
      <c r="J1713" s="47"/>
      <c r="K1713" s="143"/>
    </row>
    <row r="1714" spans="2:11" ht="24.9" customHeight="1" x14ac:dyDescent="0.2">
      <c r="B1714" s="672"/>
      <c r="C1714" s="108" t="str">
        <f>'LISTA DE INSUMOS'!A41</f>
        <v>MAT012</v>
      </c>
      <c r="D1714" s="139" t="str">
        <f>'LISTA DE INSUMOS'!B41</f>
        <v>Gravilla #2</v>
      </c>
      <c r="E1714" s="108" t="str">
        <f>'LISTA DE INSUMOS'!C41</f>
        <v>Sc</v>
      </c>
      <c r="F1714" s="140">
        <v>1</v>
      </c>
      <c r="G1714" s="141">
        <f>'LISTA DE INSUMOS'!E41</f>
        <v>29154.431975760002</v>
      </c>
      <c r="H1714" s="108">
        <v>1.03</v>
      </c>
      <c r="I1714" s="141">
        <f>ROUND((F1714*G1714*H1714),0)</f>
        <v>30029</v>
      </c>
      <c r="J1714" s="47"/>
      <c r="K1714" s="143"/>
    </row>
    <row r="1715" spans="2:11" ht="24.9" customHeight="1" x14ac:dyDescent="0.2">
      <c r="B1715" s="672"/>
      <c r="C1715" s="108" t="str">
        <f>'LISTA DE INSUMOS'!A42</f>
        <v>MAT013</v>
      </c>
      <c r="D1715" s="139" t="str">
        <f>'LISTA DE INSUMOS'!B42</f>
        <v xml:space="preserve">Agua </v>
      </c>
      <c r="E1715" s="108" t="str">
        <f>'LISTA DE INSUMOS'!C42</f>
        <v>Lt</v>
      </c>
      <c r="F1715" s="140">
        <v>25</v>
      </c>
      <c r="G1715" s="141">
        <f>'LISTA DE INSUMOS'!E42</f>
        <v>96.828790046226644</v>
      </c>
      <c r="H1715" s="108">
        <v>0</v>
      </c>
      <c r="I1715" s="141">
        <f>ROUND((F1715*G1715),0)</f>
        <v>2421</v>
      </c>
      <c r="J1715" s="47"/>
      <c r="K1715" s="143"/>
    </row>
    <row r="1716" spans="2:11" ht="24.9" customHeight="1" x14ac:dyDescent="0.2">
      <c r="B1716" s="672"/>
      <c r="C1716" s="108" t="str">
        <f>'LISTA DE INSUMOS'!A50</f>
        <v>MAT019</v>
      </c>
      <c r="D1716" s="139" t="str">
        <f>'LISTA DE INSUMOS'!B50</f>
        <v>Listón sajo de 5 x 3 cm x 2,5 m (varilla)</v>
      </c>
      <c r="E1716" s="108" t="str">
        <f>'LISTA DE INSUMOS'!C50</f>
        <v>M</v>
      </c>
      <c r="F1716" s="140">
        <v>2</v>
      </c>
      <c r="G1716" s="141">
        <f>'LISTA DE INSUMOS'!E50</f>
        <v>7285.5458999999992</v>
      </c>
      <c r="H1716" s="108">
        <f>1/3</f>
        <v>0.33333333333333331</v>
      </c>
      <c r="I1716" s="141">
        <f>ROUND((F1716*G1716*H1716),0)</f>
        <v>4857</v>
      </c>
      <c r="J1716" s="47"/>
      <c r="K1716" s="143"/>
    </row>
    <row r="1717" spans="2:11" ht="24.9" customHeight="1" thickBot="1" x14ac:dyDescent="0.25">
      <c r="B1717" s="673"/>
      <c r="C1717" s="108" t="str">
        <f>'LISTA DE INSUMOS'!A52</f>
        <v>MAT021</v>
      </c>
      <c r="D1717" s="139" t="str">
        <f>'LISTA DE INSUMOS'!B52</f>
        <v>Puntilla (promedio)</v>
      </c>
      <c r="E1717" s="108" t="str">
        <f>'LISTA DE INSUMOS'!C52</f>
        <v>Lb</v>
      </c>
      <c r="F1717" s="176">
        <v>0.02</v>
      </c>
      <c r="G1717" s="141">
        <f>'LISTA DE INSUMOS'!E52</f>
        <v>6690.6972299999998</v>
      </c>
      <c r="H1717" s="205">
        <v>0</v>
      </c>
      <c r="I1717" s="141">
        <f>ROUND((F1717*G1717),0)</f>
        <v>134</v>
      </c>
      <c r="J1717" s="47"/>
      <c r="K1717" s="143"/>
    </row>
    <row r="1718" spans="2:11" ht="24.9" customHeight="1" thickTop="1" thickBot="1" x14ac:dyDescent="0.25">
      <c r="B1718" s="191" t="s">
        <v>1310</v>
      </c>
      <c r="C1718" s="108" t="str">
        <f>+B574</f>
        <v>ITE96</v>
      </c>
      <c r="D1718" s="139" t="str">
        <f>+D574</f>
        <v>Mortero 1:3 (producción)</v>
      </c>
      <c r="E1718" s="108" t="str">
        <f>E574</f>
        <v>M3</v>
      </c>
      <c r="F1718" s="140">
        <v>0.02</v>
      </c>
      <c r="G1718" s="141">
        <f>G574</f>
        <v>580906</v>
      </c>
      <c r="H1718" s="108">
        <v>1.05</v>
      </c>
      <c r="I1718" s="141">
        <f>ROUND((F1718*G1718*H1718),0)</f>
        <v>12199</v>
      </c>
      <c r="J1718" s="47"/>
      <c r="K1718" s="143"/>
    </row>
    <row r="1719" spans="2:11" ht="24.9" customHeight="1" thickTop="1" thickBot="1" x14ac:dyDescent="0.25">
      <c r="B1719" s="153" t="s">
        <v>1034</v>
      </c>
      <c r="C1719" s="108" t="str">
        <f>'LISTA DE INSUMOS'!A18</f>
        <v>MOB015</v>
      </c>
      <c r="D1719" s="139" t="str">
        <f>'LISTA DE INSUMOS'!B18</f>
        <v>Cuadrilla E 1 Of + 1 Ay (jornal + prestaciones)</v>
      </c>
      <c r="E1719" s="108" t="str">
        <f>'LISTA DE INSUMOS'!C18</f>
        <v>Día</v>
      </c>
      <c r="F1719" s="140">
        <v>1</v>
      </c>
      <c r="G1719" s="141">
        <f>'LISTA DE INSUMOS'!E18</f>
        <v>245584</v>
      </c>
      <c r="H1719" s="108">
        <v>0.15</v>
      </c>
      <c r="I1719" s="141">
        <f>ROUND((F1719*G1719*H1719),0)</f>
        <v>36838</v>
      </c>
      <c r="J1719" s="47"/>
      <c r="K1719" s="143"/>
    </row>
    <row r="1720" spans="2:11" ht="24.9" customHeight="1" thickTop="1" thickBot="1" x14ac:dyDescent="0.25">
      <c r="B1720" s="150" t="s">
        <v>1033</v>
      </c>
      <c r="C1720" s="151" t="str">
        <f>+'LISTA DE INSUMOS'!A758</f>
        <v>EQU002</v>
      </c>
      <c r="D1720" s="146" t="str">
        <f>+'LISTA DE INSUMOS'!B758</f>
        <v>Herramienta menor (% mano obra)</v>
      </c>
      <c r="E1720" s="145" t="str">
        <f>+'LISTA DE INSUMOS'!C758</f>
        <v>%MO</v>
      </c>
      <c r="F1720" s="147">
        <v>0.1</v>
      </c>
      <c r="G1720" s="148">
        <f>I1719</f>
        <v>36838</v>
      </c>
      <c r="H1720" s="145">
        <v>0</v>
      </c>
      <c r="I1720" s="148">
        <f>ROUND((F1720*G1720),0)</f>
        <v>3684</v>
      </c>
      <c r="J1720" s="47"/>
      <c r="K1720" s="143"/>
    </row>
    <row r="1721" spans="2:11" ht="24.9" customHeight="1" x14ac:dyDescent="0.2">
      <c r="B1721" s="117" t="s">
        <v>1607</v>
      </c>
      <c r="C1721" s="117"/>
      <c r="D1721" s="112" t="s">
        <v>2062</v>
      </c>
      <c r="E1721" s="117" t="s">
        <v>2585</v>
      </c>
      <c r="F1721" s="118"/>
      <c r="G1721" s="119">
        <f>ROUND(SUM(I1721:I1730),0)</f>
        <v>88550</v>
      </c>
      <c r="H1721" s="120"/>
      <c r="I1721" s="119"/>
      <c r="J1721" s="47"/>
      <c r="K1721" s="143"/>
    </row>
    <row r="1722" spans="2:11" ht="24.9" customHeight="1" x14ac:dyDescent="0.2">
      <c r="B1722" s="672" t="s">
        <v>1035</v>
      </c>
      <c r="C1722" s="108" t="str">
        <f>'LISTA DE INSUMOS'!A30</f>
        <v>MAT001</v>
      </c>
      <c r="D1722" s="139" t="str">
        <f>'LISTA DE INSUMOS'!B30</f>
        <v>Cemento gris saco por 50 kilos, incluye cargue, descargue y transporte</v>
      </c>
      <c r="E1722" s="108" t="str">
        <f>'LISTA DE INSUMOS'!C30</f>
        <v>Sc</v>
      </c>
      <c r="F1722" s="140">
        <v>0.1</v>
      </c>
      <c r="G1722" s="141">
        <f>'LISTA DE INSUMOS'!E30</f>
        <v>34500</v>
      </c>
      <c r="H1722" s="108">
        <v>1.05</v>
      </c>
      <c r="I1722" s="141">
        <f>ROUND((F1722*G1722*H1722),0)</f>
        <v>3623</v>
      </c>
      <c r="J1722" s="47"/>
      <c r="K1722" s="143"/>
    </row>
    <row r="1723" spans="2:11" ht="24.9" customHeight="1" x14ac:dyDescent="0.2">
      <c r="B1723" s="672"/>
      <c r="C1723" s="108" t="str">
        <f>'LISTA DE INSUMOS'!A41</f>
        <v>MAT012</v>
      </c>
      <c r="D1723" s="139" t="str">
        <f>'LISTA DE INSUMOS'!B41</f>
        <v>Gravilla #2</v>
      </c>
      <c r="E1723" s="108" t="str">
        <f>'LISTA DE INSUMOS'!C41</f>
        <v>Sc</v>
      </c>
      <c r="F1723" s="140">
        <v>1</v>
      </c>
      <c r="G1723" s="141">
        <f>'LISTA DE INSUMOS'!E41</f>
        <v>29154.431975760002</v>
      </c>
      <c r="H1723" s="108">
        <v>1.03</v>
      </c>
      <c r="I1723" s="141">
        <f>ROUND((F1723*G1723*H1723),0)</f>
        <v>30029</v>
      </c>
      <c r="J1723" s="47"/>
      <c r="K1723" s="143"/>
    </row>
    <row r="1724" spans="2:11" ht="24.9" customHeight="1" x14ac:dyDescent="0.2">
      <c r="B1724" s="672"/>
      <c r="C1724" s="108" t="str">
        <f>'LISTA DE INSUMOS'!A50</f>
        <v>MAT019</v>
      </c>
      <c r="D1724" s="139" t="str">
        <f>'LISTA DE INSUMOS'!B50</f>
        <v>Listón sajo de 5 x 3 cm x 2,5 m (varilla)</v>
      </c>
      <c r="E1724" s="108" t="str">
        <f>'LISTA DE INSUMOS'!C50</f>
        <v>M</v>
      </c>
      <c r="F1724" s="176">
        <v>2</v>
      </c>
      <c r="G1724" s="141">
        <f>'LISTA DE INSUMOS'!E50</f>
        <v>7285.5458999999992</v>
      </c>
      <c r="H1724" s="108">
        <f>1/3</f>
        <v>0.33333333333333331</v>
      </c>
      <c r="I1724" s="141">
        <f>ROUND((F1724*G1724*H1724),0)</f>
        <v>4857</v>
      </c>
      <c r="J1724" s="47"/>
      <c r="K1724" s="143"/>
    </row>
    <row r="1725" spans="2:11" ht="24.9" customHeight="1" x14ac:dyDescent="0.2">
      <c r="B1725" s="672"/>
      <c r="C1725" s="108" t="str">
        <f>'LISTA DE INSUMOS'!A52</f>
        <v>MAT021</v>
      </c>
      <c r="D1725" s="139" t="str">
        <f>'LISTA DE INSUMOS'!B52</f>
        <v>Puntilla (promedio)</v>
      </c>
      <c r="E1725" s="108" t="str">
        <f>'LISTA DE INSUMOS'!C52</f>
        <v>Lb</v>
      </c>
      <c r="F1725" s="140">
        <v>0.04</v>
      </c>
      <c r="G1725" s="141">
        <f>'LISTA DE INSUMOS'!E52</f>
        <v>6690.6972299999998</v>
      </c>
      <c r="H1725" s="108">
        <v>0</v>
      </c>
      <c r="I1725" s="141">
        <f>ROUND((F1725*G1725),0)</f>
        <v>268</v>
      </c>
      <c r="J1725" s="47"/>
      <c r="K1725" s="143"/>
    </row>
    <row r="1726" spans="2:11" ht="24.9" customHeight="1" x14ac:dyDescent="0.2">
      <c r="B1726" s="672"/>
      <c r="C1726" s="108" t="str">
        <f>'LISTA DE INSUMOS'!A273</f>
        <v>MAT243</v>
      </c>
      <c r="D1726" s="139" t="str">
        <f>'LISTA DE INSUMOS'!B273</f>
        <v>Dilatación de vidrio</v>
      </c>
      <c r="E1726" s="108" t="str">
        <f>'LISTA DE INSUMOS'!C273</f>
        <v>M</v>
      </c>
      <c r="F1726" s="140">
        <v>1.1000000000000001</v>
      </c>
      <c r="G1726" s="141">
        <f>'LISTA DE INSUMOS'!E273</f>
        <v>378.6537487116384</v>
      </c>
      <c r="H1726" s="108">
        <v>0</v>
      </c>
      <c r="I1726" s="141">
        <f>ROUND((F1726*G1726),0)</f>
        <v>417</v>
      </c>
      <c r="J1726" s="47"/>
      <c r="K1726" s="143"/>
    </row>
    <row r="1727" spans="2:11" ht="24.9" customHeight="1" thickBot="1" x14ac:dyDescent="0.25">
      <c r="B1727" s="673"/>
      <c r="C1727" s="108" t="str">
        <f>'LISTA DE INSUMOS'!A42</f>
        <v>MAT013</v>
      </c>
      <c r="D1727" s="139" t="str">
        <f>'LISTA DE INSUMOS'!B42</f>
        <v xml:space="preserve">Agua </v>
      </c>
      <c r="E1727" s="108" t="str">
        <f>'LISTA DE INSUMOS'!C42</f>
        <v>Lt</v>
      </c>
      <c r="F1727" s="140">
        <v>35</v>
      </c>
      <c r="G1727" s="141">
        <f>'LISTA DE INSUMOS'!E42</f>
        <v>96.828790046226644</v>
      </c>
      <c r="H1727" s="108">
        <v>0</v>
      </c>
      <c r="I1727" s="141">
        <f>ROUND((F1727*G1727),0)</f>
        <v>3389</v>
      </c>
      <c r="J1727" s="47"/>
      <c r="K1727" s="143"/>
    </row>
    <row r="1728" spans="2:11" ht="24.9" customHeight="1" thickTop="1" thickBot="1" x14ac:dyDescent="0.25">
      <c r="B1728" s="191" t="s">
        <v>1310</v>
      </c>
      <c r="C1728" s="108" t="str">
        <f>+B574</f>
        <v>ITE96</v>
      </c>
      <c r="D1728" s="139" t="str">
        <f>+D574</f>
        <v>Mortero 1:3 (producción)</v>
      </c>
      <c r="E1728" s="108" t="str">
        <f>E574</f>
        <v>M3</v>
      </c>
      <c r="F1728" s="140">
        <v>0.02</v>
      </c>
      <c r="G1728" s="141">
        <f>+G574</f>
        <v>580906</v>
      </c>
      <c r="H1728" s="108">
        <v>1.05</v>
      </c>
      <c r="I1728" s="141">
        <f>ROUND((F1728*G1728*H1728),0)</f>
        <v>12199</v>
      </c>
      <c r="J1728" s="47"/>
      <c r="K1728" s="143"/>
    </row>
    <row r="1729" spans="2:11" ht="24.9" customHeight="1" thickTop="1" thickBot="1" x14ac:dyDescent="0.25">
      <c r="B1729" s="153" t="s">
        <v>1034</v>
      </c>
      <c r="C1729" s="108" t="str">
        <f>'LISTA DE INSUMOS'!A18</f>
        <v>MOB015</v>
      </c>
      <c r="D1729" s="139" t="str">
        <f>'LISTA DE INSUMOS'!B18</f>
        <v>Cuadrilla E 1 Of + 1 Ay (jornal + prestaciones)</v>
      </c>
      <c r="E1729" s="108" t="str">
        <f>'LISTA DE INSUMOS'!C18</f>
        <v>Día</v>
      </c>
      <c r="F1729" s="140">
        <v>1</v>
      </c>
      <c r="G1729" s="141">
        <f>'LISTA DE INSUMOS'!E18</f>
        <v>245584</v>
      </c>
      <c r="H1729" s="108">
        <f>1/8</f>
        <v>0.125</v>
      </c>
      <c r="I1729" s="141">
        <f>ROUND((F1729*G1729*H1729),0)</f>
        <v>30698</v>
      </c>
      <c r="J1729" s="47"/>
      <c r="K1729" s="143"/>
    </row>
    <row r="1730" spans="2:11" ht="33" customHeight="1" thickTop="1" thickBot="1" x14ac:dyDescent="0.25">
      <c r="B1730" s="150" t="s">
        <v>1033</v>
      </c>
      <c r="C1730" s="151" t="str">
        <f>+'LISTA DE INSUMOS'!A758</f>
        <v>EQU002</v>
      </c>
      <c r="D1730" s="146" t="str">
        <f>+'LISTA DE INSUMOS'!B758</f>
        <v>Herramienta menor (% mano obra)</v>
      </c>
      <c r="E1730" s="145" t="str">
        <f>+'LISTA DE INSUMOS'!C758</f>
        <v>%MO</v>
      </c>
      <c r="F1730" s="147">
        <v>0.1</v>
      </c>
      <c r="G1730" s="148">
        <f>I1729</f>
        <v>30698</v>
      </c>
      <c r="H1730" s="145">
        <v>0</v>
      </c>
      <c r="I1730" s="148">
        <f>ROUND((F1730*G1730),0)</f>
        <v>3070</v>
      </c>
      <c r="J1730" s="47"/>
      <c r="K1730" s="143"/>
    </row>
    <row r="1731" spans="2:11" s="317" customFormat="1" ht="24.9" hidden="1" customHeight="1" x14ac:dyDescent="0.2">
      <c r="B1731" s="319" t="s">
        <v>1837</v>
      </c>
      <c r="C1731" s="319"/>
      <c r="D1731" s="320" t="s">
        <v>257</v>
      </c>
      <c r="E1731" s="319" t="s">
        <v>1435</v>
      </c>
      <c r="F1731" s="321"/>
      <c r="G1731" s="312">
        <f>ROUND(SUM(I1731:I1736),0)</f>
        <v>657986</v>
      </c>
      <c r="H1731" s="322"/>
      <c r="I1731" s="312"/>
      <c r="J1731" s="313"/>
      <c r="K1731" s="323"/>
    </row>
    <row r="1732" spans="2:11" s="317" customFormat="1" ht="24.9" hidden="1" customHeight="1" x14ac:dyDescent="0.2">
      <c r="B1732" s="691" t="s">
        <v>1035</v>
      </c>
      <c r="C1732" s="322" t="str">
        <f>'LISTA DE INSUMOS'!A131</f>
        <v>MAT090</v>
      </c>
      <c r="D1732" s="324" t="str">
        <f>'LISTA DE INSUMOS'!B131</f>
        <v>Lavadero en fibra de vidrio con tanque de 60 x 60 cm</v>
      </c>
      <c r="E1732" s="322" t="str">
        <f>'LISTA DE INSUMOS'!C131</f>
        <v>Un</v>
      </c>
      <c r="F1732" s="325">
        <v>1</v>
      </c>
      <c r="G1732" s="312">
        <f>'LISTA DE INSUMOS'!E131</f>
        <v>277195.19999999995</v>
      </c>
      <c r="H1732" s="322">
        <v>0</v>
      </c>
      <c r="I1732" s="312">
        <f>ROUND((F1732*G1732),0)</f>
        <v>277195</v>
      </c>
      <c r="J1732" s="313"/>
      <c r="K1732" s="323"/>
    </row>
    <row r="1733" spans="2:11" s="317" customFormat="1" ht="24.9" hidden="1" customHeight="1" x14ac:dyDescent="0.2">
      <c r="B1733" s="691"/>
      <c r="C1733" s="322" t="str">
        <f>'LISTA DE INSUMOS'!A31</f>
        <v>MAT002</v>
      </c>
      <c r="D1733" s="324" t="str">
        <f>'LISTA DE INSUMOS'!B31</f>
        <v>Cemento blanco</v>
      </c>
      <c r="E1733" s="322" t="str">
        <f>'LISTA DE INSUMOS'!C31</f>
        <v>Kg</v>
      </c>
      <c r="F1733" s="325">
        <v>20</v>
      </c>
      <c r="G1733" s="312">
        <f>'LISTA DE INSUMOS'!E31</f>
        <v>2900</v>
      </c>
      <c r="H1733" s="322">
        <v>1.05</v>
      </c>
      <c r="I1733" s="312">
        <f>ROUND((F1733*G1733*H1733),0)</f>
        <v>60900</v>
      </c>
      <c r="J1733" s="313"/>
      <c r="K1733" s="323"/>
    </row>
    <row r="1734" spans="2:11" s="317" customFormat="1" ht="24.9" hidden="1" customHeight="1" thickBot="1" x14ac:dyDescent="0.25">
      <c r="B1734" s="692"/>
      <c r="C1734" s="322" t="str">
        <f>'LISTA DE INSUMOS'!A147</f>
        <v>MAT106</v>
      </c>
      <c r="D1734" s="324" t="str">
        <f>'LISTA DE INSUMOS'!B147</f>
        <v>Conjunto desagüe flexible para lavadero de 1 1/2" con canastillas</v>
      </c>
      <c r="E1734" s="322" t="str">
        <f>'LISTA DE INSUMOS'!C147</f>
        <v>Un</v>
      </c>
      <c r="F1734" s="325">
        <v>1</v>
      </c>
      <c r="G1734" s="312">
        <f>'LISTA DE INSUMOS'!E147</f>
        <v>53480.718235264321</v>
      </c>
      <c r="H1734" s="322">
        <v>0</v>
      </c>
      <c r="I1734" s="312">
        <f>ROUND((F1734*G1734),0)</f>
        <v>53481</v>
      </c>
      <c r="J1734" s="313"/>
      <c r="K1734" s="323"/>
    </row>
    <row r="1735" spans="2:11" s="317" customFormat="1" ht="24.9" hidden="1" customHeight="1" thickTop="1" thickBot="1" x14ac:dyDescent="0.25">
      <c r="B1735" s="364" t="s">
        <v>1310</v>
      </c>
      <c r="C1735" s="322" t="str">
        <f>+B1527</f>
        <v>ITE200</v>
      </c>
      <c r="D1735" s="324" t="str">
        <f>+D1527</f>
        <v>Muro en ladrillo tolete pandereta, impermeabilizado</v>
      </c>
      <c r="E1735" s="322" t="str">
        <f>E1527</f>
        <v>M2</v>
      </c>
      <c r="F1735" s="325">
        <v>1.34</v>
      </c>
      <c r="G1735" s="312">
        <f>G1527</f>
        <v>137723</v>
      </c>
      <c r="H1735" s="322">
        <v>0</v>
      </c>
      <c r="I1735" s="312">
        <f>ROUND((F1735*G1735),0)</f>
        <v>184549</v>
      </c>
      <c r="J1735" s="313"/>
      <c r="K1735" s="323"/>
    </row>
    <row r="1736" spans="2:11" s="317" customFormat="1" ht="24.9" hidden="1" customHeight="1" thickTop="1" thickBot="1" x14ac:dyDescent="0.25">
      <c r="B1736" s="363" t="s">
        <v>1034</v>
      </c>
      <c r="C1736" s="322" t="str">
        <f>'LISTA DE INSUMOS'!A18</f>
        <v>MOB015</v>
      </c>
      <c r="D1736" s="324" t="str">
        <f>'LISTA DE INSUMOS'!B18</f>
        <v>Cuadrilla E 1 Of + 1 Ay (jornal + prestaciones)</v>
      </c>
      <c r="E1736" s="322" t="str">
        <f>'LISTA DE INSUMOS'!C18</f>
        <v>Día</v>
      </c>
      <c r="F1736" s="325">
        <v>1</v>
      </c>
      <c r="G1736" s="312">
        <f>'LISTA DE INSUMOS'!E18</f>
        <v>245584</v>
      </c>
      <c r="H1736" s="322">
        <f>1/3</f>
        <v>0.33333333333333331</v>
      </c>
      <c r="I1736" s="312">
        <f>ROUND((F1736*G1736*H1736),0)</f>
        <v>81861</v>
      </c>
      <c r="J1736" s="313"/>
      <c r="K1736" s="323"/>
    </row>
    <row r="1737" spans="2:11" s="317" customFormat="1" ht="6" hidden="1" customHeight="1" x14ac:dyDescent="0.2">
      <c r="B1737" s="319" t="s">
        <v>1826</v>
      </c>
      <c r="C1737" s="319"/>
      <c r="D1737" s="320" t="s">
        <v>261</v>
      </c>
      <c r="E1737" s="319" t="s">
        <v>1412</v>
      </c>
      <c r="F1737" s="332"/>
      <c r="G1737" s="312">
        <f>ROUND(SUM(I1737:I1748),0)</f>
        <v>562002</v>
      </c>
      <c r="H1737" s="322"/>
      <c r="I1737" s="312"/>
      <c r="J1737" s="313"/>
      <c r="K1737" s="323"/>
    </row>
    <row r="1738" spans="2:11" s="317" customFormat="1" ht="32.25" hidden="1" customHeight="1" x14ac:dyDescent="0.2">
      <c r="B1738" s="691" t="s">
        <v>1035</v>
      </c>
      <c r="C1738" s="322" t="str">
        <f>'LISTA DE INSUMOS'!A50</f>
        <v>MAT019</v>
      </c>
      <c r="D1738" s="324" t="str">
        <f>'LISTA DE INSUMOS'!B50</f>
        <v>Listón sajo de 5 x 3 cm x 2,5 m (varilla)</v>
      </c>
      <c r="E1738" s="322" t="str">
        <f>'LISTA DE INSUMOS'!C50</f>
        <v>M</v>
      </c>
      <c r="F1738" s="321">
        <v>8.1999999999999993</v>
      </c>
      <c r="G1738" s="312">
        <f>'LISTA DE INSUMOS'!E50</f>
        <v>7285.5458999999992</v>
      </c>
      <c r="H1738" s="349">
        <f>1/3</f>
        <v>0.33333333333333331</v>
      </c>
      <c r="I1738" s="312">
        <f>ROUND((F1738*G1738*H1738),0)</f>
        <v>19914</v>
      </c>
      <c r="J1738" s="313"/>
      <c r="K1738" s="323"/>
    </row>
    <row r="1739" spans="2:11" s="317" customFormat="1" ht="35.25" hidden="1" customHeight="1" x14ac:dyDescent="0.2">
      <c r="B1739" s="691"/>
      <c r="C1739" s="322" t="str">
        <f>'LISTA DE INSUMOS'!A51</f>
        <v>MAT020</v>
      </c>
      <c r="D1739" s="324" t="str">
        <f>'LISTA DE INSUMOS'!B51</f>
        <v>Guadua basa longitud promedio = 5 m</v>
      </c>
      <c r="E1739" s="322" t="str">
        <f>'LISTA DE INSUMOS'!C51</f>
        <v>Un</v>
      </c>
      <c r="F1739" s="321">
        <v>0.4</v>
      </c>
      <c r="G1739" s="312">
        <f>'LISTA DE INSUMOS'!E51</f>
        <v>8662.3499999999985</v>
      </c>
      <c r="H1739" s="349">
        <f>1/3</f>
        <v>0.33333333333333331</v>
      </c>
      <c r="I1739" s="312">
        <f>ROUND((F1739*G1739*H1739),0)</f>
        <v>1155</v>
      </c>
      <c r="J1739" s="313"/>
      <c r="K1739" s="323"/>
    </row>
    <row r="1740" spans="2:11" s="317" customFormat="1" ht="23.25" hidden="1" customHeight="1" x14ac:dyDescent="0.2">
      <c r="B1740" s="691"/>
      <c r="C1740" s="322" t="str">
        <f>'LISTA DE INSUMOS'!A52</f>
        <v>MAT021</v>
      </c>
      <c r="D1740" s="324" t="str">
        <f>'LISTA DE INSUMOS'!B52</f>
        <v>Puntilla (promedio)</v>
      </c>
      <c r="E1740" s="322" t="str">
        <f>'LISTA DE INSUMOS'!C52</f>
        <v>Lb</v>
      </c>
      <c r="F1740" s="321">
        <v>0.6</v>
      </c>
      <c r="G1740" s="312">
        <f>'LISTA DE INSUMOS'!E52</f>
        <v>6690.6972299999998</v>
      </c>
      <c r="H1740" s="349">
        <v>0</v>
      </c>
      <c r="I1740" s="312">
        <f>ROUND((F1740*G1740),0)</f>
        <v>4014</v>
      </c>
      <c r="J1740" s="313"/>
      <c r="K1740" s="323"/>
    </row>
    <row r="1741" spans="2:11" s="317" customFormat="1" ht="33" hidden="1" customHeight="1" thickBot="1" x14ac:dyDescent="0.25">
      <c r="B1741" s="692"/>
      <c r="C1741" s="322" t="str">
        <f>'LISTA DE INSUMOS'!A46</f>
        <v>MAT017</v>
      </c>
      <c r="D1741" s="324" t="str">
        <f>'LISTA DE INSUMOS'!B46</f>
        <v>Tabla para formaleta de 1" x 10" x 2,9 m</v>
      </c>
      <c r="E1741" s="322" t="str">
        <f>'LISTA DE INSUMOS'!C46</f>
        <v>M</v>
      </c>
      <c r="F1741" s="321">
        <v>5</v>
      </c>
      <c r="G1741" s="312">
        <f>'LISTA DE INSUMOS'!E46</f>
        <v>8112.0359999999991</v>
      </c>
      <c r="H1741" s="349">
        <f>1/3</f>
        <v>0.33333333333333331</v>
      </c>
      <c r="I1741" s="312">
        <f>ROUND((F1741*G1741*H1741),0)</f>
        <v>13520</v>
      </c>
      <c r="J1741" s="313"/>
      <c r="K1741" s="323"/>
    </row>
    <row r="1742" spans="2:11" s="317" customFormat="1" ht="37.5" hidden="1" customHeight="1" thickTop="1" x14ac:dyDescent="0.2">
      <c r="B1742" s="658" t="s">
        <v>1310</v>
      </c>
      <c r="C1742" s="322" t="str">
        <f>+B571</f>
        <v>ITE095</v>
      </c>
      <c r="D1742" s="324" t="str">
        <f>+D571</f>
        <v>Concreto de 20,7 Mpa (3000 psi) impermeabilizado (producción)</v>
      </c>
      <c r="E1742" s="322" t="str">
        <f>E571</f>
        <v>M3</v>
      </c>
      <c r="F1742" s="361">
        <v>6.6000000000000003E-2</v>
      </c>
      <c r="G1742" s="312">
        <f>G571</f>
        <v>639576</v>
      </c>
      <c r="H1742" s="349">
        <v>1.05</v>
      </c>
      <c r="I1742" s="312">
        <f>ROUND((F1742*G1742*H1742),0)</f>
        <v>44323</v>
      </c>
      <c r="J1742" s="313"/>
      <c r="K1742" s="323"/>
    </row>
    <row r="1743" spans="2:11" s="317" customFormat="1" ht="39.75" hidden="1" customHeight="1" x14ac:dyDescent="0.2">
      <c r="B1743" s="658"/>
      <c r="C1743" s="322" t="str">
        <f>B587</f>
        <v>ITE98</v>
      </c>
      <c r="D1743" s="320" t="str">
        <f>+D587</f>
        <v>Acero Fy = 60.000 psi d&gt;1/4"</v>
      </c>
      <c r="E1743" s="322" t="str">
        <f>E587</f>
        <v>Kg</v>
      </c>
      <c r="F1743" s="321">
        <v>4.5</v>
      </c>
      <c r="G1743" s="312">
        <f>G587</f>
        <v>7240</v>
      </c>
      <c r="H1743" s="349">
        <v>0</v>
      </c>
      <c r="I1743" s="312">
        <f>ROUND((F1743*G1743),0)</f>
        <v>32580</v>
      </c>
      <c r="J1743" s="313"/>
      <c r="K1743" s="323"/>
    </row>
    <row r="1744" spans="2:11" s="317" customFormat="1" ht="30" hidden="1" customHeight="1" x14ac:dyDescent="0.2">
      <c r="B1744" s="658"/>
      <c r="C1744" s="322" t="str">
        <f>B1465</f>
        <v>ITE163</v>
      </c>
      <c r="D1744" s="320" t="str">
        <f>+D1465</f>
        <v>Mortero 1:3 impermeabilizado (producción)</v>
      </c>
      <c r="E1744" s="322" t="str">
        <f>E1465</f>
        <v>M3</v>
      </c>
      <c r="F1744" s="361">
        <v>3.5000000000000003E-2</v>
      </c>
      <c r="G1744" s="312">
        <f>G1465</f>
        <v>583886</v>
      </c>
      <c r="H1744" s="349">
        <v>1.05</v>
      </c>
      <c r="I1744" s="312">
        <f>ROUND((F1744*G1744*H1744),0)</f>
        <v>21458</v>
      </c>
      <c r="J1744" s="313"/>
      <c r="K1744" s="323"/>
    </row>
    <row r="1745" spans="2:11" s="317" customFormat="1" ht="30" hidden="1" customHeight="1" x14ac:dyDescent="0.2">
      <c r="B1745" s="658"/>
      <c r="C1745" s="322" t="str">
        <f>+B1519</f>
        <v>ITE170</v>
      </c>
      <c r="D1745" s="324" t="str">
        <f>+D1519</f>
        <v>Muro en ladrillo tolete en pandereta</v>
      </c>
      <c r="E1745" s="322" t="str">
        <f>E1519</f>
        <v>M2</v>
      </c>
      <c r="F1745" s="321">
        <v>0.3</v>
      </c>
      <c r="G1745" s="312">
        <f>G1519</f>
        <v>63823</v>
      </c>
      <c r="H1745" s="349">
        <v>0</v>
      </c>
      <c r="I1745" s="312">
        <f>ROUND((F1745*G1745),0)</f>
        <v>19147</v>
      </c>
      <c r="J1745" s="313"/>
      <c r="K1745" s="323"/>
    </row>
    <row r="1746" spans="2:11" s="317" customFormat="1" ht="8.25" hidden="1" customHeight="1" thickBot="1" x14ac:dyDescent="0.25">
      <c r="B1746" s="668"/>
      <c r="C1746" s="322" t="str">
        <f>+B1927</f>
        <v>ITE245</v>
      </c>
      <c r="D1746" s="324" t="str">
        <f>+D1927</f>
        <v>Enchape en cerámica de 1ra. de 20 x 20 cm tipo Ecocerámica</v>
      </c>
      <c r="E1746" s="322" t="str">
        <f>E1927</f>
        <v>M2</v>
      </c>
      <c r="F1746" s="321">
        <v>2.4</v>
      </c>
      <c r="G1746" s="312">
        <f>G1927</f>
        <v>56562</v>
      </c>
      <c r="H1746" s="349">
        <v>0</v>
      </c>
      <c r="I1746" s="312">
        <f>ROUND((F1746*G1746),0)</f>
        <v>135749</v>
      </c>
      <c r="J1746" s="313"/>
      <c r="K1746" s="323"/>
    </row>
    <row r="1747" spans="2:11" s="317" customFormat="1" ht="40.5" hidden="1" customHeight="1" thickTop="1" thickBot="1" x14ac:dyDescent="0.25">
      <c r="B1747" s="363" t="s">
        <v>1034</v>
      </c>
      <c r="C1747" s="322" t="str">
        <f>'LISTA DE INSUMOS'!A18</f>
        <v>MOB015</v>
      </c>
      <c r="D1747" s="324" t="str">
        <f>'LISTA DE INSUMOS'!B18</f>
        <v>Cuadrilla E 1 Of + 1 Ay (jornal + prestaciones)</v>
      </c>
      <c r="E1747" s="322" t="str">
        <f>'LISTA DE INSUMOS'!C18</f>
        <v>Día</v>
      </c>
      <c r="F1747" s="321">
        <v>1</v>
      </c>
      <c r="G1747" s="312">
        <f>'LISTA DE INSUMOS'!E18</f>
        <v>245584</v>
      </c>
      <c r="H1747" s="349">
        <f>1/1</f>
        <v>1</v>
      </c>
      <c r="I1747" s="312">
        <f>ROUND((F1747*G1747*H1747),0)</f>
        <v>245584</v>
      </c>
      <c r="J1747" s="313"/>
      <c r="K1747" s="323"/>
    </row>
    <row r="1748" spans="2:11" s="317" customFormat="1" ht="30.75" hidden="1" customHeight="1" thickTop="1" thickBot="1" x14ac:dyDescent="0.25">
      <c r="B1748" s="255" t="s">
        <v>1033</v>
      </c>
      <c r="C1748" s="327" t="str">
        <f>+'LISTA DE INSUMOS'!A758</f>
        <v>EQU002</v>
      </c>
      <c r="D1748" s="328" t="str">
        <f>+'LISTA DE INSUMOS'!B758</f>
        <v>Herramienta menor (% mano obra)</v>
      </c>
      <c r="E1748" s="329" t="str">
        <f>+'LISTA DE INSUMOS'!C758</f>
        <v>%MO</v>
      </c>
      <c r="F1748" s="362">
        <v>0.1</v>
      </c>
      <c r="G1748" s="331">
        <f>I1747</f>
        <v>245584</v>
      </c>
      <c r="H1748" s="350">
        <v>0</v>
      </c>
      <c r="I1748" s="331">
        <f>ROUND((F1748*G1748),0)</f>
        <v>24558</v>
      </c>
      <c r="J1748" s="313"/>
      <c r="K1748" s="323"/>
    </row>
    <row r="1749" spans="2:11" s="317" customFormat="1" ht="13.5" hidden="1" customHeight="1" x14ac:dyDescent="0.2">
      <c r="B1749" s="319" t="s">
        <v>1674</v>
      </c>
      <c r="C1749" s="319"/>
      <c r="D1749" s="320" t="s">
        <v>260</v>
      </c>
      <c r="E1749" s="319" t="s">
        <v>2585</v>
      </c>
      <c r="F1749" s="321"/>
      <c r="G1749" s="312">
        <f>ROUND(SUM(I1749:I1764),0)</f>
        <v>542604</v>
      </c>
      <c r="H1749" s="322"/>
      <c r="I1749" s="312"/>
      <c r="J1749" s="313"/>
      <c r="K1749" s="323"/>
    </row>
    <row r="1750" spans="2:11" s="317" customFormat="1" ht="45" hidden="1" customHeight="1" x14ac:dyDescent="0.2">
      <c r="B1750" s="691" t="s">
        <v>1035</v>
      </c>
      <c r="C1750" s="338" t="str">
        <f>'LISTA DE INSUMOS'!A31</f>
        <v>MAT002</v>
      </c>
      <c r="D1750" s="324" t="str">
        <f>'LISTA DE INSUMOS'!B31</f>
        <v>Cemento blanco</v>
      </c>
      <c r="E1750" s="322" t="str">
        <f>'LISTA DE INSUMOS'!C31</f>
        <v>Kg</v>
      </c>
      <c r="F1750" s="321">
        <v>25</v>
      </c>
      <c r="G1750" s="312">
        <f>'LISTA DE INSUMOS'!E31</f>
        <v>2900</v>
      </c>
      <c r="H1750" s="349">
        <v>1.05</v>
      </c>
      <c r="I1750" s="312">
        <f>ROUND((F1750*G1750*H1750),0)</f>
        <v>76125</v>
      </c>
      <c r="J1750" s="313"/>
      <c r="K1750" s="323"/>
    </row>
    <row r="1751" spans="2:11" s="317" customFormat="1" ht="45" hidden="1" customHeight="1" x14ac:dyDescent="0.2">
      <c r="B1751" s="691"/>
      <c r="C1751" s="322" t="str">
        <f>'LISTA DE INSUMOS'!A50</f>
        <v>MAT019</v>
      </c>
      <c r="D1751" s="324" t="str">
        <f>'LISTA DE INSUMOS'!B50</f>
        <v>Listón sajo de 5 x 3 cm x 2,5 m (varilla)</v>
      </c>
      <c r="E1751" s="322" t="str">
        <f>'LISTA DE INSUMOS'!C50</f>
        <v>M</v>
      </c>
      <c r="F1751" s="321">
        <v>4</v>
      </c>
      <c r="G1751" s="312">
        <f>'LISTA DE INSUMOS'!E50</f>
        <v>7285.5458999999992</v>
      </c>
      <c r="H1751" s="349">
        <f>1/3</f>
        <v>0.33333333333333331</v>
      </c>
      <c r="I1751" s="312">
        <f>ROUND((F1751*G1751*H1751),0)</f>
        <v>9714</v>
      </c>
      <c r="J1751" s="313"/>
      <c r="K1751" s="323"/>
    </row>
    <row r="1752" spans="2:11" s="317" customFormat="1" ht="40.5" hidden="1" customHeight="1" x14ac:dyDescent="0.2">
      <c r="B1752" s="691"/>
      <c r="C1752" s="338" t="str">
        <f>'LISTA DE INSUMOS'!A51</f>
        <v>MAT020</v>
      </c>
      <c r="D1752" s="324" t="str">
        <f>'LISTA DE INSUMOS'!B51</f>
        <v>Guadua basa longitud promedio = 5 m</v>
      </c>
      <c r="E1752" s="322" t="str">
        <f>'LISTA DE INSUMOS'!C51</f>
        <v>Un</v>
      </c>
      <c r="F1752" s="321">
        <v>0.4</v>
      </c>
      <c r="G1752" s="312">
        <f>'LISTA DE INSUMOS'!E51</f>
        <v>8662.3499999999985</v>
      </c>
      <c r="H1752" s="349">
        <f>1/3</f>
        <v>0.33333333333333331</v>
      </c>
      <c r="I1752" s="312">
        <f>ROUND((F1752*G1752*H1752),0)</f>
        <v>1155</v>
      </c>
      <c r="J1752" s="313"/>
      <c r="K1752" s="323"/>
    </row>
    <row r="1753" spans="2:11" s="317" customFormat="1" ht="42.75" hidden="1" customHeight="1" x14ac:dyDescent="0.2">
      <c r="B1753" s="691"/>
      <c r="C1753" s="338" t="str">
        <f>'LISTA DE INSUMOS'!A172</f>
        <v>MAT126</v>
      </c>
      <c r="D1753" s="324" t="str">
        <f>'LISTA DE INSUMOS'!B172</f>
        <v>Dilatación PVC flexible ancha x 2 m</v>
      </c>
      <c r="E1753" s="322" t="str">
        <f>'LISTA DE INSUMOS'!C172</f>
        <v>M</v>
      </c>
      <c r="F1753" s="321">
        <v>1.75</v>
      </c>
      <c r="G1753" s="312">
        <f>'LISTA DE INSUMOS'!E172</f>
        <v>10209.562254275999</v>
      </c>
      <c r="H1753" s="349">
        <v>0</v>
      </c>
      <c r="I1753" s="312">
        <f>ROUND((F1753*G1753),0)</f>
        <v>17867</v>
      </c>
      <c r="J1753" s="313"/>
      <c r="K1753" s="323"/>
    </row>
    <row r="1754" spans="2:11" s="317" customFormat="1" ht="35.25" hidden="1" customHeight="1" x14ac:dyDescent="0.2">
      <c r="B1754" s="691"/>
      <c r="C1754" s="338" t="str">
        <f>'LISTA DE INSUMOS'!A176</f>
        <v>MAT130</v>
      </c>
      <c r="D1754" s="324" t="str">
        <f>'LISTA DE INSUMOS'!B176</f>
        <v>Granito por 25 Kg</v>
      </c>
      <c r="E1754" s="322" t="str">
        <f>'LISTA DE INSUMOS'!C176</f>
        <v>Sc</v>
      </c>
      <c r="F1754" s="321">
        <v>1</v>
      </c>
      <c r="G1754" s="312">
        <f>'LISTA DE INSUMOS'!E176</f>
        <v>50396.024926932289</v>
      </c>
      <c r="H1754" s="349">
        <v>1.03</v>
      </c>
      <c r="I1754" s="312">
        <f>ROUND((F1754*G1754*H1754),0)</f>
        <v>51908</v>
      </c>
      <c r="J1754" s="313"/>
      <c r="K1754" s="323"/>
    </row>
    <row r="1755" spans="2:11" s="317" customFormat="1" ht="14.25" hidden="1" customHeight="1" x14ac:dyDescent="0.2">
      <c r="B1755" s="691"/>
      <c r="C1755" s="322" t="str">
        <f>'LISTA DE INSUMOS'!A52</f>
        <v>MAT021</v>
      </c>
      <c r="D1755" s="324" t="str">
        <f>'LISTA DE INSUMOS'!B52</f>
        <v>Puntilla (promedio)</v>
      </c>
      <c r="E1755" s="322" t="str">
        <f>'LISTA DE INSUMOS'!C52</f>
        <v>Lb</v>
      </c>
      <c r="F1755" s="321">
        <v>0.4</v>
      </c>
      <c r="G1755" s="312">
        <f>'LISTA DE INSUMOS'!E52</f>
        <v>6690.6972299999998</v>
      </c>
      <c r="H1755" s="349">
        <v>0</v>
      </c>
      <c r="I1755" s="312">
        <f>ROUND((F1755*G1755),0)</f>
        <v>2676</v>
      </c>
      <c r="J1755" s="313"/>
      <c r="K1755" s="323"/>
    </row>
    <row r="1756" spans="2:11" s="317" customFormat="1" ht="36.75" hidden="1" customHeight="1" thickBot="1" x14ac:dyDescent="0.25">
      <c r="B1756" s="692"/>
      <c r="C1756" s="338" t="str">
        <f>'LISTA DE INSUMOS'!A46</f>
        <v>MAT017</v>
      </c>
      <c r="D1756" s="324" t="str">
        <f>'LISTA DE INSUMOS'!B46</f>
        <v>Tabla para formaleta de 1" x 10" x 2,9 m</v>
      </c>
      <c r="E1756" s="322" t="str">
        <f>'LISTA DE INSUMOS'!C46</f>
        <v>M</v>
      </c>
      <c r="F1756" s="321">
        <v>4.2</v>
      </c>
      <c r="G1756" s="312">
        <f>'LISTA DE INSUMOS'!E46</f>
        <v>8112.0359999999991</v>
      </c>
      <c r="H1756" s="349">
        <f>1/3</f>
        <v>0.33333333333333331</v>
      </c>
      <c r="I1756" s="312">
        <f>ROUND((F1756*G1756*H1756),0)</f>
        <v>11357</v>
      </c>
      <c r="J1756" s="313"/>
      <c r="K1756" s="323"/>
    </row>
    <row r="1757" spans="2:11" s="317" customFormat="1" ht="22.5" hidden="1" customHeight="1" thickTop="1" x14ac:dyDescent="0.2">
      <c r="B1757" s="693" t="s">
        <v>1310</v>
      </c>
      <c r="C1757" s="322" t="str">
        <f>+B544</f>
        <v>ITE092</v>
      </c>
      <c r="D1757" s="324" t="str">
        <f>+D544</f>
        <v>Concreto de 20,7 Mpa (3000 psi) (producción)</v>
      </c>
      <c r="E1757" s="322" t="str">
        <f>E544</f>
        <v>M3</v>
      </c>
      <c r="F1757" s="321">
        <v>0.1</v>
      </c>
      <c r="G1757" s="312">
        <f>G544</f>
        <v>596118</v>
      </c>
      <c r="H1757" s="349">
        <v>1.05</v>
      </c>
      <c r="I1757" s="312">
        <f>ROUND((F1757*G1757*H1757),0)</f>
        <v>62592</v>
      </c>
      <c r="J1757" s="313"/>
      <c r="K1757" s="323"/>
    </row>
    <row r="1758" spans="2:11" s="317" customFormat="1" ht="32.25" hidden="1" customHeight="1" x14ac:dyDescent="0.2">
      <c r="B1758" s="658"/>
      <c r="C1758" s="322" t="str">
        <f>+B574</f>
        <v>ITE96</v>
      </c>
      <c r="D1758" s="324" t="str">
        <f>+D574</f>
        <v>Mortero 1:3 (producción)</v>
      </c>
      <c r="E1758" s="322" t="str">
        <f>E574</f>
        <v>M3</v>
      </c>
      <c r="F1758" s="321">
        <v>0.03</v>
      </c>
      <c r="G1758" s="312">
        <f>G574</f>
        <v>580906</v>
      </c>
      <c r="H1758" s="349">
        <v>1.05</v>
      </c>
      <c r="I1758" s="312">
        <f>ROUND((F1758*G1758*H1758),0)</f>
        <v>18299</v>
      </c>
      <c r="J1758" s="313"/>
      <c r="K1758" s="323"/>
    </row>
    <row r="1759" spans="2:11" s="317" customFormat="1" ht="30.75" hidden="1" customHeight="1" x14ac:dyDescent="0.2">
      <c r="B1759" s="658"/>
      <c r="C1759" s="322" t="str">
        <f>+B587</f>
        <v>ITE98</v>
      </c>
      <c r="D1759" s="320" t="str">
        <f>+D587</f>
        <v>Acero Fy = 60.000 psi d&gt;1/4"</v>
      </c>
      <c r="E1759" s="322" t="str">
        <f>E587</f>
        <v>Kg</v>
      </c>
      <c r="F1759" s="321">
        <v>5.3</v>
      </c>
      <c r="G1759" s="312">
        <f>G587</f>
        <v>7240</v>
      </c>
      <c r="H1759" s="349">
        <v>0</v>
      </c>
      <c r="I1759" s="312">
        <f>ROUND((F1759*G1759),0)</f>
        <v>38372</v>
      </c>
      <c r="J1759" s="313"/>
      <c r="K1759" s="323"/>
    </row>
    <row r="1760" spans="2:11" s="317" customFormat="1" ht="39.75" hidden="1" customHeight="1" x14ac:dyDescent="0.2">
      <c r="B1760" s="658"/>
      <c r="C1760" s="322" t="str">
        <f>+B1519</f>
        <v>ITE170</v>
      </c>
      <c r="D1760" s="324" t="str">
        <f>+D1519</f>
        <v>Muro en ladrillo tolete en pandereta</v>
      </c>
      <c r="E1760" s="322" t="str">
        <f>E1519</f>
        <v>M2</v>
      </c>
      <c r="F1760" s="321">
        <v>0.4</v>
      </c>
      <c r="G1760" s="312">
        <f>G1519</f>
        <v>63823</v>
      </c>
      <c r="H1760" s="349">
        <v>0</v>
      </c>
      <c r="I1760" s="312">
        <f>ROUND((F1760*G1760),0)</f>
        <v>25529</v>
      </c>
      <c r="J1760" s="313"/>
      <c r="K1760" s="323"/>
    </row>
    <row r="1761" spans="2:11" s="317" customFormat="1" ht="22.5" hidden="1" customHeight="1" thickBot="1" x14ac:dyDescent="0.25">
      <c r="B1761" s="658"/>
      <c r="C1761" s="322" t="str">
        <f>+B1927</f>
        <v>ITE245</v>
      </c>
      <c r="D1761" s="324" t="str">
        <f>+D1927</f>
        <v>Enchape en cerámica de 1ra. de 20 x 20 cm tipo Ecocerámica</v>
      </c>
      <c r="E1761" s="322" t="str">
        <f>E1927</f>
        <v>M2</v>
      </c>
      <c r="F1761" s="321">
        <v>1.6</v>
      </c>
      <c r="G1761" s="312">
        <f>G1927</f>
        <v>56562</v>
      </c>
      <c r="H1761" s="349">
        <v>0</v>
      </c>
      <c r="I1761" s="312">
        <f>ROUND((F1761*G1761),0)</f>
        <v>90499</v>
      </c>
      <c r="J1761" s="313"/>
      <c r="K1761" s="323"/>
    </row>
    <row r="1762" spans="2:11" s="317" customFormat="1" ht="40.5" hidden="1" customHeight="1" thickTop="1" thickBot="1" x14ac:dyDescent="0.25">
      <c r="B1762" s="363" t="s">
        <v>1034</v>
      </c>
      <c r="C1762" s="338" t="str">
        <f>'LISTA DE INSUMOS'!A18</f>
        <v>MOB015</v>
      </c>
      <c r="D1762" s="324" t="str">
        <f>'LISTA DE INSUMOS'!B18</f>
        <v>Cuadrilla E 1 Of + 1 Ay (jornal + prestaciones)</v>
      </c>
      <c r="E1762" s="322" t="str">
        <f>'LISTA DE INSUMOS'!C18</f>
        <v>Día</v>
      </c>
      <c r="F1762" s="321">
        <v>1</v>
      </c>
      <c r="G1762" s="312">
        <f>'LISTA DE INSUMOS'!E18</f>
        <v>245584</v>
      </c>
      <c r="H1762" s="349">
        <f>1/2</f>
        <v>0.5</v>
      </c>
      <c r="I1762" s="312">
        <f>ROUND((F1762*G1762*H1762),0)</f>
        <v>122792</v>
      </c>
      <c r="J1762" s="313"/>
      <c r="K1762" s="323"/>
    </row>
    <row r="1763" spans="2:11" s="317" customFormat="1" ht="38.25" hidden="1" customHeight="1" thickTop="1" x14ac:dyDescent="0.2">
      <c r="B1763" s="693" t="s">
        <v>1033</v>
      </c>
      <c r="C1763" s="338" t="str">
        <f>+'LISTA DE INSUMOS'!A758</f>
        <v>EQU002</v>
      </c>
      <c r="D1763" s="324" t="str">
        <f>+'LISTA DE INSUMOS'!B758</f>
        <v>Herramienta menor (% mano obra)</v>
      </c>
      <c r="E1763" s="322" t="str">
        <f>+'LISTA DE INSUMOS'!C758</f>
        <v>%MO</v>
      </c>
      <c r="F1763" s="321">
        <v>0.1</v>
      </c>
      <c r="G1763" s="312">
        <f>I1762</f>
        <v>122792</v>
      </c>
      <c r="H1763" s="349">
        <v>0</v>
      </c>
      <c r="I1763" s="312">
        <f>ROUND((F1763*G1763),0)</f>
        <v>12279</v>
      </c>
      <c r="J1763" s="313"/>
      <c r="K1763" s="323"/>
    </row>
    <row r="1764" spans="2:11" s="317" customFormat="1" ht="50.25" hidden="1" customHeight="1" thickBot="1" x14ac:dyDescent="0.25">
      <c r="B1764" s="694"/>
      <c r="C1764" s="365" t="str">
        <f>+'LISTA DE INSUMOS'!A772</f>
        <v>EQU015</v>
      </c>
      <c r="D1764" s="328" t="str">
        <f>+'LISTA DE INSUMOS'!B772</f>
        <v>Pulidora sin operario</v>
      </c>
      <c r="E1764" s="329" t="str">
        <f>+'LISTA DE INSUMOS'!C772</f>
        <v>Día</v>
      </c>
      <c r="F1764" s="362">
        <v>1</v>
      </c>
      <c r="G1764" s="331">
        <f>'LISTA DE INSUMOS'!E772</f>
        <v>21598.9856859348</v>
      </c>
      <c r="H1764" s="350">
        <f>1/15</f>
        <v>6.6666666666666666E-2</v>
      </c>
      <c r="I1764" s="331">
        <f>ROUND((F1764*G1764*H1764),0)</f>
        <v>1440</v>
      </c>
      <c r="J1764" s="313"/>
      <c r="K1764" s="323"/>
    </row>
    <row r="1765" spans="2:11" s="317" customFormat="1" ht="38.25" hidden="1" customHeight="1" x14ac:dyDescent="0.2">
      <c r="B1765" s="319" t="s">
        <v>1832</v>
      </c>
      <c r="C1765" s="319"/>
      <c r="D1765" s="320" t="s">
        <v>259</v>
      </c>
      <c r="E1765" s="319" t="s">
        <v>1412</v>
      </c>
      <c r="F1765" s="321"/>
      <c r="G1765" s="312">
        <f>ROUND(SUM(I1765:I1775),0)</f>
        <v>429508</v>
      </c>
      <c r="H1765" s="322"/>
      <c r="I1765" s="312"/>
      <c r="J1765" s="313"/>
      <c r="K1765" s="323"/>
    </row>
    <row r="1766" spans="2:11" s="317" customFormat="1" ht="42.75" hidden="1" customHeight="1" x14ac:dyDescent="0.2">
      <c r="B1766" s="691" t="s">
        <v>1035</v>
      </c>
      <c r="C1766" s="338" t="str">
        <f>'LISTA DE INSUMOS'!A31</f>
        <v>MAT002</v>
      </c>
      <c r="D1766" s="324" t="str">
        <f>'LISTA DE INSUMOS'!B31</f>
        <v>Cemento blanco</v>
      </c>
      <c r="E1766" s="322" t="str">
        <f>'LISTA DE INSUMOS'!C31</f>
        <v>Kg</v>
      </c>
      <c r="F1766" s="321">
        <v>27</v>
      </c>
      <c r="G1766" s="312">
        <f>'LISTA DE INSUMOS'!E31</f>
        <v>2900</v>
      </c>
      <c r="H1766" s="349">
        <v>1.05</v>
      </c>
      <c r="I1766" s="312">
        <f t="shared" ref="I1766:I1771" si="20">ROUND((F1766*G1766*H1766),0)</f>
        <v>82215</v>
      </c>
      <c r="J1766" s="313"/>
      <c r="K1766" s="323"/>
    </row>
    <row r="1767" spans="2:11" s="317" customFormat="1" ht="21.75" hidden="1" customHeight="1" x14ac:dyDescent="0.2">
      <c r="B1767" s="691"/>
      <c r="C1767" s="338" t="str">
        <f>'LISTA DE INSUMOS'!A46</f>
        <v>MAT017</v>
      </c>
      <c r="D1767" s="324" t="str">
        <f>'LISTA DE INSUMOS'!B46</f>
        <v>Tabla para formaleta de 1" x 10" x 2,9 m</v>
      </c>
      <c r="E1767" s="322" t="str">
        <f>'LISTA DE INSUMOS'!C46</f>
        <v>M</v>
      </c>
      <c r="F1767" s="321">
        <v>4.5</v>
      </c>
      <c r="G1767" s="312">
        <f>'LISTA DE INSUMOS'!E46</f>
        <v>8112.0359999999991</v>
      </c>
      <c r="H1767" s="349">
        <f>1/3</f>
        <v>0.33333333333333331</v>
      </c>
      <c r="I1767" s="312">
        <f t="shared" si="20"/>
        <v>12168</v>
      </c>
      <c r="J1767" s="313"/>
      <c r="K1767" s="323"/>
    </row>
    <row r="1768" spans="2:11" s="317" customFormat="1" ht="45.75" hidden="1" customHeight="1" x14ac:dyDescent="0.2">
      <c r="B1768" s="691"/>
      <c r="C1768" s="338" t="str">
        <f>'LISTA DE INSUMOS'!A50</f>
        <v>MAT019</v>
      </c>
      <c r="D1768" s="324" t="str">
        <f>'LISTA DE INSUMOS'!B50</f>
        <v>Listón sajo de 5 x 3 cm x 2,5 m (varilla)</v>
      </c>
      <c r="E1768" s="322" t="str">
        <f>'LISTA DE INSUMOS'!C50</f>
        <v>M</v>
      </c>
      <c r="F1768" s="321">
        <v>6.5</v>
      </c>
      <c r="G1768" s="312">
        <f>'LISTA DE INSUMOS'!E50</f>
        <v>7285.5458999999992</v>
      </c>
      <c r="H1768" s="349">
        <f>1/3</f>
        <v>0.33333333333333331</v>
      </c>
      <c r="I1768" s="312">
        <f t="shared" si="20"/>
        <v>15785</v>
      </c>
      <c r="J1768" s="313"/>
      <c r="K1768" s="323"/>
    </row>
    <row r="1769" spans="2:11" s="317" customFormat="1" ht="51.75" hidden="1" customHeight="1" thickBot="1" x14ac:dyDescent="0.25">
      <c r="B1769" s="692"/>
      <c r="C1769" s="338" t="str">
        <f>'LISTA DE INSUMOS'!A176</f>
        <v>MAT130</v>
      </c>
      <c r="D1769" s="324" t="str">
        <f>'LISTA DE INSUMOS'!B176</f>
        <v>Granito por 25 Kg</v>
      </c>
      <c r="E1769" s="322" t="str">
        <f>'LISTA DE INSUMOS'!C176</f>
        <v>Sc</v>
      </c>
      <c r="F1769" s="321">
        <v>1.1200000000000001</v>
      </c>
      <c r="G1769" s="312">
        <f>'LISTA DE INSUMOS'!E176</f>
        <v>50396.024926932289</v>
      </c>
      <c r="H1769" s="349">
        <v>1.03</v>
      </c>
      <c r="I1769" s="312">
        <f t="shared" si="20"/>
        <v>58137</v>
      </c>
      <c r="J1769" s="313"/>
      <c r="K1769" s="323"/>
    </row>
    <row r="1770" spans="2:11" s="317" customFormat="1" ht="48" hidden="1" customHeight="1" thickTop="1" x14ac:dyDescent="0.2">
      <c r="B1770" s="714" t="s">
        <v>1310</v>
      </c>
      <c r="C1770" s="322" t="str">
        <f>+B571</f>
        <v>ITE095</v>
      </c>
      <c r="D1770" s="324" t="str">
        <f>+D571</f>
        <v>Concreto de 20,7 Mpa (3000 psi) impermeabilizado (producción)</v>
      </c>
      <c r="E1770" s="322" t="str">
        <f>E571</f>
        <v>M3</v>
      </c>
      <c r="F1770" s="321">
        <v>0.11</v>
      </c>
      <c r="G1770" s="312">
        <f>G571</f>
        <v>639576</v>
      </c>
      <c r="H1770" s="349">
        <v>1.05</v>
      </c>
      <c r="I1770" s="312">
        <f t="shared" si="20"/>
        <v>73871</v>
      </c>
      <c r="J1770" s="313"/>
      <c r="K1770" s="323"/>
    </row>
    <row r="1771" spans="2:11" s="317" customFormat="1" ht="45" hidden="1" customHeight="1" x14ac:dyDescent="0.2">
      <c r="B1771" s="714"/>
      <c r="C1771" s="322" t="str">
        <f>+B574</f>
        <v>ITE96</v>
      </c>
      <c r="D1771" s="324" t="str">
        <f>+D574</f>
        <v>Mortero 1:3 (producción)</v>
      </c>
      <c r="E1771" s="322" t="str">
        <f>E574</f>
        <v>M3</v>
      </c>
      <c r="F1771" s="321">
        <v>2.1000000000000001E-2</v>
      </c>
      <c r="G1771" s="312">
        <f>G574</f>
        <v>580906</v>
      </c>
      <c r="H1771" s="349">
        <v>1.05</v>
      </c>
      <c r="I1771" s="312">
        <f t="shared" si="20"/>
        <v>12809</v>
      </c>
      <c r="J1771" s="313"/>
      <c r="K1771" s="323"/>
    </row>
    <row r="1772" spans="2:11" s="317" customFormat="1" ht="57.75" hidden="1" customHeight="1" thickBot="1" x14ac:dyDescent="0.25">
      <c r="B1772" s="732"/>
      <c r="C1772" s="322" t="str">
        <f>+B587</f>
        <v>ITE98</v>
      </c>
      <c r="D1772" s="320" t="str">
        <f>+D587</f>
        <v>Acero Fy = 60.000 psi d&gt;1/4"</v>
      </c>
      <c r="E1772" s="322" t="str">
        <f>E587</f>
        <v>Kg</v>
      </c>
      <c r="F1772" s="321">
        <v>5.3</v>
      </c>
      <c r="G1772" s="312">
        <f>G587</f>
        <v>7240</v>
      </c>
      <c r="H1772" s="349">
        <v>0</v>
      </c>
      <c r="I1772" s="312">
        <f>ROUND((F1772*G1772),0)</f>
        <v>38372</v>
      </c>
      <c r="J1772" s="313"/>
      <c r="K1772" s="323"/>
    </row>
    <row r="1773" spans="2:11" s="317" customFormat="1" ht="14.25" hidden="1" customHeight="1" thickTop="1" thickBot="1" x14ac:dyDescent="0.25">
      <c r="B1773" s="363" t="s">
        <v>1034</v>
      </c>
      <c r="C1773" s="338" t="str">
        <f>'LISTA DE INSUMOS'!A18</f>
        <v>MOB015</v>
      </c>
      <c r="D1773" s="324" t="str">
        <f>'LISTA DE INSUMOS'!B18</f>
        <v>Cuadrilla E 1 Of + 1 Ay (jornal + prestaciones)</v>
      </c>
      <c r="E1773" s="322" t="str">
        <f>'LISTA DE INSUMOS'!C18</f>
        <v>Día</v>
      </c>
      <c r="F1773" s="321">
        <v>1</v>
      </c>
      <c r="G1773" s="312">
        <f>'LISTA DE INSUMOS'!E18</f>
        <v>245584</v>
      </c>
      <c r="H1773" s="349">
        <f>1/2</f>
        <v>0.5</v>
      </c>
      <c r="I1773" s="312">
        <f>ROUND((F1773*G1773*H1773),0)</f>
        <v>122792</v>
      </c>
      <c r="J1773" s="313"/>
      <c r="K1773" s="323"/>
    </row>
    <row r="1774" spans="2:11" s="317" customFormat="1" ht="45.75" hidden="1" customHeight="1" thickTop="1" x14ac:dyDescent="0.2">
      <c r="B1774" s="693" t="s">
        <v>1033</v>
      </c>
      <c r="C1774" s="338" t="str">
        <f>+'LISTA DE INSUMOS'!A758</f>
        <v>EQU002</v>
      </c>
      <c r="D1774" s="324" t="str">
        <f>+'LISTA DE INSUMOS'!B758</f>
        <v>Herramienta menor (% mano obra)</v>
      </c>
      <c r="E1774" s="322" t="str">
        <f>+'LISTA DE INSUMOS'!C758</f>
        <v>%MO</v>
      </c>
      <c r="F1774" s="321">
        <v>0.1</v>
      </c>
      <c r="G1774" s="312">
        <f>I1773</f>
        <v>122792</v>
      </c>
      <c r="H1774" s="349">
        <v>0</v>
      </c>
      <c r="I1774" s="312">
        <f>IF(H1774&gt;=0,(F1774*G1774*(1+H1774/100)),ABS(F1774*G1774/H1774))</f>
        <v>12279.2</v>
      </c>
      <c r="J1774" s="313"/>
      <c r="K1774" s="323"/>
    </row>
    <row r="1775" spans="2:11" s="317" customFormat="1" ht="32.25" hidden="1" customHeight="1" thickBot="1" x14ac:dyDescent="0.25">
      <c r="B1775" s="694"/>
      <c r="C1775" s="365" t="str">
        <f>+'LISTA DE INSUMOS'!A772</f>
        <v>EQU015</v>
      </c>
      <c r="D1775" s="328" t="str">
        <f>+'LISTA DE INSUMOS'!B772</f>
        <v>Pulidora sin operario</v>
      </c>
      <c r="E1775" s="329" t="str">
        <f>+'LISTA DE INSUMOS'!C772</f>
        <v>Día</v>
      </c>
      <c r="F1775" s="362">
        <v>1</v>
      </c>
      <c r="G1775" s="331">
        <f>'LISTA DE INSUMOS'!E772</f>
        <v>21598.9856859348</v>
      </c>
      <c r="H1775" s="350">
        <f>1/20</f>
        <v>0.05</v>
      </c>
      <c r="I1775" s="331">
        <f>ROUND((F1775*G1775*H1775),0)</f>
        <v>1080</v>
      </c>
      <c r="J1775" s="313"/>
      <c r="K1775" s="323"/>
    </row>
    <row r="1776" spans="2:11" ht="24.9" customHeight="1" x14ac:dyDescent="0.2">
      <c r="B1776" s="117" t="s">
        <v>1848</v>
      </c>
      <c r="C1776" s="117"/>
      <c r="D1776" s="112" t="s">
        <v>262</v>
      </c>
      <c r="E1776" s="117" t="s">
        <v>1412</v>
      </c>
      <c r="F1776" s="149"/>
      <c r="G1776" s="119">
        <f>ROUND(SUM(I1776:I1787),0)</f>
        <v>392622</v>
      </c>
      <c r="H1776" s="120"/>
      <c r="I1776" s="119"/>
      <c r="J1776" s="47"/>
      <c r="K1776" s="143"/>
    </row>
    <row r="1777" spans="2:11" ht="24.9" customHeight="1" x14ac:dyDescent="0.2">
      <c r="B1777" s="672" t="s">
        <v>1035</v>
      </c>
      <c r="C1777" s="125" t="str">
        <f>'LISTA DE INSUMOS'!A51</f>
        <v>MAT020</v>
      </c>
      <c r="D1777" s="139" t="str">
        <f>'LISTA DE INSUMOS'!B51</f>
        <v>Guadua basa longitud promedio = 5 m</v>
      </c>
      <c r="E1777" s="108" t="str">
        <f>'LISTA DE INSUMOS'!C51</f>
        <v>Un</v>
      </c>
      <c r="F1777" s="176">
        <v>0.4</v>
      </c>
      <c r="G1777" s="141">
        <f>'LISTA DE INSUMOS'!E51</f>
        <v>8662.3499999999985</v>
      </c>
      <c r="H1777" s="205">
        <f>1/3</f>
        <v>0.33333333333333331</v>
      </c>
      <c r="I1777" s="141">
        <f>ROUND((F1777*G1777*H1777),0)</f>
        <v>1155</v>
      </c>
      <c r="J1777" s="47"/>
      <c r="K1777" s="143"/>
    </row>
    <row r="1778" spans="2:11" ht="24.9" customHeight="1" x14ac:dyDescent="0.2">
      <c r="B1778" s="672"/>
      <c r="C1778" s="125" t="str">
        <f>'LISTA DE INSUMOS'!A50</f>
        <v>MAT019</v>
      </c>
      <c r="D1778" s="139" t="str">
        <f>'LISTA DE INSUMOS'!B50</f>
        <v>Listón sajo de 5 x 3 cm x 2,5 m (varilla)</v>
      </c>
      <c r="E1778" s="108" t="str">
        <f>'LISTA DE INSUMOS'!C50</f>
        <v>M</v>
      </c>
      <c r="F1778" s="176">
        <v>8.1999999999999993</v>
      </c>
      <c r="G1778" s="141">
        <f>'LISTA DE INSUMOS'!E50</f>
        <v>7285.5458999999992</v>
      </c>
      <c r="H1778" s="205">
        <v>0</v>
      </c>
      <c r="I1778" s="141">
        <f>ROUND((F1778*G1778),0)</f>
        <v>59741</v>
      </c>
      <c r="J1778" s="47"/>
      <c r="K1778" s="143"/>
    </row>
    <row r="1779" spans="2:11" ht="24.9" customHeight="1" x14ac:dyDescent="0.2">
      <c r="B1779" s="672"/>
      <c r="C1779" s="125" t="str">
        <f>'LISTA DE INSUMOS'!A52</f>
        <v>MAT021</v>
      </c>
      <c r="D1779" s="139" t="str">
        <f>'LISTA DE INSUMOS'!B52</f>
        <v>Puntilla (promedio)</v>
      </c>
      <c r="E1779" s="108" t="str">
        <f>'LISTA DE INSUMOS'!C52</f>
        <v>Lb</v>
      </c>
      <c r="F1779" s="176">
        <v>0.6</v>
      </c>
      <c r="G1779" s="141">
        <f>'LISTA DE INSUMOS'!E52</f>
        <v>6690.6972299999998</v>
      </c>
      <c r="H1779" s="205">
        <v>3</v>
      </c>
      <c r="I1779" s="141">
        <f>ROUND((F1779*G1779*H1779),0)</f>
        <v>12043</v>
      </c>
      <c r="J1779" s="47"/>
      <c r="K1779" s="143"/>
    </row>
    <row r="1780" spans="2:11" ht="24.9" customHeight="1" thickBot="1" x14ac:dyDescent="0.25">
      <c r="B1780" s="673"/>
      <c r="C1780" s="125" t="str">
        <f>'LISTA DE INSUMOS'!A46</f>
        <v>MAT017</v>
      </c>
      <c r="D1780" s="139" t="str">
        <f>'LISTA DE INSUMOS'!B46</f>
        <v>Tabla para formaleta de 1" x 10" x 2,9 m</v>
      </c>
      <c r="E1780" s="108" t="str">
        <f>'LISTA DE INSUMOS'!C46</f>
        <v>M</v>
      </c>
      <c r="F1780" s="176">
        <v>5</v>
      </c>
      <c r="G1780" s="141">
        <f>'LISTA DE INSUMOS'!E46</f>
        <v>8112.0359999999991</v>
      </c>
      <c r="H1780" s="205">
        <f>1/3</f>
        <v>0.33333333333333331</v>
      </c>
      <c r="I1780" s="141">
        <f>ROUND((F1780*G1780*H1780),0)</f>
        <v>13520</v>
      </c>
      <c r="J1780" s="47"/>
      <c r="K1780" s="143"/>
    </row>
    <row r="1781" spans="2:11" ht="24.9" customHeight="1" thickTop="1" x14ac:dyDescent="0.2">
      <c r="B1781" s="701" t="s">
        <v>1310</v>
      </c>
      <c r="C1781" s="108" t="str">
        <f>+B571</f>
        <v>ITE095</v>
      </c>
      <c r="D1781" s="139" t="str">
        <f>+D571</f>
        <v>Concreto de 20,7 Mpa (3000 psi) impermeabilizado (producción)</v>
      </c>
      <c r="E1781" s="108" t="str">
        <f>E571</f>
        <v>M3</v>
      </c>
      <c r="F1781" s="228">
        <v>6.6000000000000003E-2</v>
      </c>
      <c r="G1781" s="141">
        <f>G571</f>
        <v>639576</v>
      </c>
      <c r="H1781" s="205">
        <v>1.05</v>
      </c>
      <c r="I1781" s="141">
        <f>ROUND((F1781*G1781*H1781),0)</f>
        <v>44323</v>
      </c>
      <c r="J1781" s="47"/>
      <c r="K1781" s="143"/>
    </row>
    <row r="1782" spans="2:11" ht="24.9" customHeight="1" x14ac:dyDescent="0.2">
      <c r="B1782" s="702"/>
      <c r="C1782" s="108" t="str">
        <f>+B587</f>
        <v>ITE98</v>
      </c>
      <c r="D1782" s="167" t="str">
        <f>+D587</f>
        <v>Acero Fy = 60.000 psi d&gt;1/4"</v>
      </c>
      <c r="E1782" s="108" t="str">
        <f>E587</f>
        <v>Kg</v>
      </c>
      <c r="F1782" s="176">
        <v>4.5</v>
      </c>
      <c r="G1782" s="141">
        <f>G587</f>
        <v>7240</v>
      </c>
      <c r="H1782" s="205">
        <v>0</v>
      </c>
      <c r="I1782" s="141">
        <f>ROUND((F1782*G1782),0)</f>
        <v>32580</v>
      </c>
      <c r="J1782" s="47"/>
      <c r="K1782" s="143"/>
    </row>
    <row r="1783" spans="2:11" ht="24.9" customHeight="1" x14ac:dyDescent="0.2">
      <c r="B1783" s="702"/>
      <c r="C1783" s="108" t="str">
        <f>+B1465</f>
        <v>ITE163</v>
      </c>
      <c r="D1783" s="167" t="str">
        <f>+D1465</f>
        <v>Mortero 1:3 impermeabilizado (producción)</v>
      </c>
      <c r="E1783" s="108" t="str">
        <f>E1465</f>
        <v>M3</v>
      </c>
      <c r="F1783" s="176">
        <v>0.04</v>
      </c>
      <c r="G1783" s="141">
        <f>G1465</f>
        <v>583886</v>
      </c>
      <c r="H1783" s="205">
        <v>1.05</v>
      </c>
      <c r="I1783" s="141">
        <f>ROUND((F1783*G1783*H1783),0)</f>
        <v>24523</v>
      </c>
      <c r="J1783" s="47"/>
      <c r="K1783" s="143"/>
    </row>
    <row r="1784" spans="2:11" ht="24.9" customHeight="1" x14ac:dyDescent="0.2">
      <c r="B1784" s="702"/>
      <c r="C1784" s="108" t="str">
        <f>B1519</f>
        <v>ITE170</v>
      </c>
      <c r="D1784" s="139" t="str">
        <f>D1519</f>
        <v>Muro en ladrillo tolete en pandereta</v>
      </c>
      <c r="E1784" s="108" t="str">
        <f>E1519</f>
        <v>M2</v>
      </c>
      <c r="F1784" s="176">
        <v>0.2</v>
      </c>
      <c r="G1784" s="141">
        <f>G1519</f>
        <v>63823</v>
      </c>
      <c r="H1784" s="205">
        <v>0</v>
      </c>
      <c r="I1784" s="141">
        <f>ROUND((F1784*G1784),0)</f>
        <v>12765</v>
      </c>
      <c r="J1784" s="47"/>
      <c r="K1784" s="143"/>
    </row>
    <row r="1785" spans="2:11" ht="24.9" customHeight="1" thickBot="1" x14ac:dyDescent="0.25">
      <c r="B1785" s="702"/>
      <c r="C1785" s="108" t="str">
        <f>+B1927</f>
        <v>ITE245</v>
      </c>
      <c r="D1785" s="139" t="str">
        <f>+D1927</f>
        <v>Enchape en cerámica de 1ra. de 20 x 20 cm tipo Ecocerámica</v>
      </c>
      <c r="E1785" s="108" t="str">
        <f>E1927</f>
        <v>M2</v>
      </c>
      <c r="F1785" s="176">
        <v>2.2000000000000002</v>
      </c>
      <c r="G1785" s="141">
        <f>G1927</f>
        <v>56562</v>
      </c>
      <c r="H1785" s="205">
        <v>0</v>
      </c>
      <c r="I1785" s="141">
        <f>ROUND((F1785*G1785),0)</f>
        <v>124436</v>
      </c>
      <c r="J1785" s="47"/>
      <c r="K1785" s="143"/>
    </row>
    <row r="1786" spans="2:11" ht="24.9" customHeight="1" thickTop="1" thickBot="1" x14ac:dyDescent="0.25">
      <c r="B1786" s="153" t="s">
        <v>1034</v>
      </c>
      <c r="C1786" s="125" t="str">
        <f>'LISTA DE INSUMOS'!A18</f>
        <v>MOB015</v>
      </c>
      <c r="D1786" s="139" t="str">
        <f>'LISTA DE INSUMOS'!B18</f>
        <v>Cuadrilla E 1 Of + 1 Ay (jornal + prestaciones)</v>
      </c>
      <c r="E1786" s="108" t="str">
        <f>'LISTA DE INSUMOS'!C18</f>
        <v>Día</v>
      </c>
      <c r="F1786" s="176">
        <v>1</v>
      </c>
      <c r="G1786" s="141">
        <f>'LISTA DE INSUMOS'!E18</f>
        <v>245584</v>
      </c>
      <c r="H1786" s="205">
        <f>1/4</f>
        <v>0.25</v>
      </c>
      <c r="I1786" s="141">
        <f>ROUND((F1786*G1786*H1786),0)</f>
        <v>61396</v>
      </c>
      <c r="J1786" s="47"/>
      <c r="K1786" s="143"/>
    </row>
    <row r="1787" spans="2:11" ht="24.9" customHeight="1" thickTop="1" thickBot="1" x14ac:dyDescent="0.25">
      <c r="B1787" s="150" t="s">
        <v>1033</v>
      </c>
      <c r="C1787" s="197" t="str">
        <f>+'LISTA DE INSUMOS'!A758</f>
        <v>EQU002</v>
      </c>
      <c r="D1787" s="146" t="str">
        <f>+'LISTA DE INSUMOS'!B758</f>
        <v>Herramienta menor (% mano obra)</v>
      </c>
      <c r="E1787" s="145" t="str">
        <f>+'LISTA DE INSUMOS'!C758</f>
        <v>%MO</v>
      </c>
      <c r="F1787" s="229">
        <v>0.1</v>
      </c>
      <c r="G1787" s="148">
        <f>I1786</f>
        <v>61396</v>
      </c>
      <c r="H1787" s="206">
        <v>0</v>
      </c>
      <c r="I1787" s="148">
        <f>ROUND((F1787*G1787),0)</f>
        <v>6140</v>
      </c>
      <c r="J1787" s="47"/>
      <c r="K1787" s="143"/>
    </row>
    <row r="1788" spans="2:11" ht="45" customHeight="1" x14ac:dyDescent="0.2">
      <c r="B1788" s="117" t="s">
        <v>1850</v>
      </c>
      <c r="C1788" s="117"/>
      <c r="D1788" s="112" t="s">
        <v>263</v>
      </c>
      <c r="E1788" s="117" t="s">
        <v>1412</v>
      </c>
      <c r="F1788" s="149"/>
      <c r="G1788" s="119">
        <f>ROUND(SUM(I1788:I1795),0)</f>
        <v>101511</v>
      </c>
      <c r="H1788" s="120"/>
      <c r="I1788" s="119"/>
      <c r="J1788" s="47"/>
      <c r="K1788" s="143"/>
    </row>
    <row r="1789" spans="2:11" ht="24.9" customHeight="1" x14ac:dyDescent="0.2">
      <c r="B1789" s="672" t="s">
        <v>1035</v>
      </c>
      <c r="C1789" s="125" t="str">
        <f>'LISTA DE INSUMOS'!A65</f>
        <v>MAT033</v>
      </c>
      <c r="D1789" s="155" t="str">
        <f>'LISTA DE INSUMOS'!B65</f>
        <v>Alambre de púas C 12,5</v>
      </c>
      <c r="E1789" s="125" t="str">
        <f>'LISTA DE INSUMOS'!C65</f>
        <v>M</v>
      </c>
      <c r="F1789" s="159">
        <v>5</v>
      </c>
      <c r="G1789" s="170">
        <f>'LISTA DE INSUMOS'!E65</f>
        <v>981.39329999999995</v>
      </c>
      <c r="H1789" s="108">
        <v>0</v>
      </c>
      <c r="I1789" s="141">
        <f>ROUND((F1789*G1789),0)</f>
        <v>4907</v>
      </c>
      <c r="J1789" s="47"/>
      <c r="K1789" s="143"/>
    </row>
    <row r="1790" spans="2:11" ht="24.9" customHeight="1" x14ac:dyDescent="0.2">
      <c r="B1790" s="672"/>
      <c r="C1790" s="108" t="str">
        <f>'LISTA DE INSUMOS'!A178</f>
        <v>MAT132</v>
      </c>
      <c r="D1790" s="139" t="str">
        <f>'LISTA DE INSUMOS'!B178</f>
        <v>Poste para cerramiento en concreto 2,2 m</v>
      </c>
      <c r="E1790" s="108" t="str">
        <f>'LISTA DE INSUMOS'!C178</f>
        <v>Un</v>
      </c>
      <c r="F1790" s="140">
        <v>0.6</v>
      </c>
      <c r="G1790" s="141">
        <f>'LISTA DE INSUMOS'!E178</f>
        <v>44014.586964562499</v>
      </c>
      <c r="H1790" s="108">
        <v>0</v>
      </c>
      <c r="I1790" s="141">
        <f>ROUND((F1790*G1790),0)</f>
        <v>26409</v>
      </c>
      <c r="J1790" s="47"/>
      <c r="K1790" s="143"/>
    </row>
    <row r="1791" spans="2:11" ht="24.9" customHeight="1" thickBot="1" x14ac:dyDescent="0.25">
      <c r="B1791" s="673"/>
      <c r="C1791" s="108" t="str">
        <f>'LISTA DE INSUMOS'!A190</f>
        <v>MAT148</v>
      </c>
      <c r="D1791" s="139" t="str">
        <f>'LISTA DE INSUMOS'!B190</f>
        <v xml:space="preserve">Alambre galvanizado C 12 </v>
      </c>
      <c r="E1791" s="108" t="str">
        <f>'LISTA DE INSUMOS'!C190</f>
        <v>Kg</v>
      </c>
      <c r="F1791" s="140">
        <v>0.1</v>
      </c>
      <c r="G1791" s="141">
        <f>'LISTA DE INSUMOS'!E190</f>
        <v>10174.934703779998</v>
      </c>
      <c r="H1791" s="108">
        <v>0</v>
      </c>
      <c r="I1791" s="141">
        <f>ROUND((F1791*G1791),0)</f>
        <v>1017</v>
      </c>
      <c r="J1791" s="47"/>
      <c r="K1791" s="143"/>
    </row>
    <row r="1792" spans="2:11" ht="24.9" customHeight="1" thickTop="1" x14ac:dyDescent="0.2">
      <c r="B1792" s="685" t="s">
        <v>1310</v>
      </c>
      <c r="C1792" s="108" t="str">
        <f>+B115</f>
        <v>ITE024</v>
      </c>
      <c r="D1792" s="139" t="str">
        <f>+D115</f>
        <v>Excavación en material común seco de 0 - 1,5 m manual</v>
      </c>
      <c r="E1792" s="108" t="str">
        <f>E115</f>
        <v>M3</v>
      </c>
      <c r="F1792" s="140">
        <v>2.3E-2</v>
      </c>
      <c r="G1792" s="141">
        <f>G115</f>
        <v>32745</v>
      </c>
      <c r="H1792" s="108">
        <v>0</v>
      </c>
      <c r="I1792" s="141">
        <f>ROUND((F1792*G1792),0)</f>
        <v>753</v>
      </c>
      <c r="J1792" s="47"/>
      <c r="K1792" s="143"/>
    </row>
    <row r="1793" spans="2:13" ht="24.9" customHeight="1" thickBot="1" x14ac:dyDescent="0.25">
      <c r="B1793" s="686"/>
      <c r="C1793" s="108" t="str">
        <f>+B544</f>
        <v>ITE092</v>
      </c>
      <c r="D1793" s="139" t="str">
        <f>+D544</f>
        <v>Concreto de 20,7 Mpa (3000 psi) (producción)</v>
      </c>
      <c r="E1793" s="108" t="str">
        <f>E544</f>
        <v>M3</v>
      </c>
      <c r="F1793" s="140">
        <v>2.3E-2</v>
      </c>
      <c r="G1793" s="141">
        <f>G544</f>
        <v>596118</v>
      </c>
      <c r="H1793" s="108">
        <v>1.05</v>
      </c>
      <c r="I1793" s="141">
        <f>ROUND((F1793*G1793*H1793),0)</f>
        <v>14396</v>
      </c>
      <c r="J1793" s="47"/>
      <c r="K1793" s="143"/>
    </row>
    <row r="1794" spans="2:13" ht="24.9" customHeight="1" thickTop="1" thickBot="1" x14ac:dyDescent="0.25">
      <c r="B1794" s="153" t="s">
        <v>1034</v>
      </c>
      <c r="C1794" s="108" t="str">
        <f>'LISTA DE INSUMOS'!A9</f>
        <v>MOB006</v>
      </c>
      <c r="D1794" s="139" t="str">
        <f>'LISTA DE INSUMOS'!B9</f>
        <v>Cuadrilla A 1 Of + 4 Ay (jornal + prestaciones)</v>
      </c>
      <c r="E1794" s="108" t="str">
        <f>'LISTA DE INSUMOS'!C9</f>
        <v>Día</v>
      </c>
      <c r="F1794" s="140">
        <v>1</v>
      </c>
      <c r="G1794" s="141">
        <f>'LISTA DE INSUMOS'!E9</f>
        <v>491167</v>
      </c>
      <c r="H1794" s="108">
        <f>1/10</f>
        <v>0.1</v>
      </c>
      <c r="I1794" s="141">
        <f>ROUND((F1794*G1794*H1794),0)</f>
        <v>49117</v>
      </c>
      <c r="J1794" s="47"/>
      <c r="K1794" s="143"/>
    </row>
    <row r="1795" spans="2:13" ht="24.9" customHeight="1" thickTop="1" thickBot="1" x14ac:dyDescent="0.25">
      <c r="B1795" s="150" t="s">
        <v>1033</v>
      </c>
      <c r="C1795" s="151" t="str">
        <f>+'LISTA DE INSUMOS'!A758</f>
        <v>EQU002</v>
      </c>
      <c r="D1795" s="146" t="str">
        <f>+'LISTA DE INSUMOS'!B758</f>
        <v>Herramienta menor (% mano obra)</v>
      </c>
      <c r="E1795" s="145" t="str">
        <f>+'LISTA DE INSUMOS'!C758</f>
        <v>%MO</v>
      </c>
      <c r="F1795" s="147">
        <v>0.1</v>
      </c>
      <c r="G1795" s="148">
        <f>I1794</f>
        <v>49117</v>
      </c>
      <c r="H1795" s="145">
        <v>0</v>
      </c>
      <c r="I1795" s="148">
        <f>ROUND((F1795*G1795),0)</f>
        <v>4912</v>
      </c>
      <c r="J1795" s="47"/>
      <c r="K1795" s="143"/>
    </row>
    <row r="1796" spans="2:13" ht="53.25" customHeight="1" x14ac:dyDescent="0.2">
      <c r="B1796" s="117" t="s">
        <v>1766</v>
      </c>
      <c r="C1796" s="117"/>
      <c r="D1796" s="112" t="s">
        <v>3235</v>
      </c>
      <c r="E1796" s="117" t="s">
        <v>1412</v>
      </c>
      <c r="F1796" s="117"/>
      <c r="G1796" s="517">
        <f>SUM(I1797:I1803)</f>
        <v>55272.117397462673</v>
      </c>
      <c r="H1796" s="117"/>
      <c r="I1796" s="117"/>
      <c r="J1796" s="117"/>
      <c r="K1796" s="117"/>
      <c r="L1796" s="117"/>
      <c r="M1796" s="117"/>
    </row>
    <row r="1797" spans="2:13" ht="24.9" customHeight="1" x14ac:dyDescent="0.2">
      <c r="B1797" s="683" t="s">
        <v>1035</v>
      </c>
      <c r="C1797" s="108" t="s">
        <v>1011</v>
      </c>
      <c r="D1797" s="155" t="str">
        <f>'LISTA DE INSUMOS'!B65</f>
        <v>Alambre de púas C 12,5</v>
      </c>
      <c r="E1797" s="108" t="s">
        <v>1412</v>
      </c>
      <c r="F1797" s="160">
        <v>5</v>
      </c>
      <c r="G1797" s="170">
        <f>'LISTA DE INSUMOS'!E65</f>
        <v>981.39329999999995</v>
      </c>
      <c r="H1797" s="108">
        <v>0</v>
      </c>
      <c r="I1797" s="141">
        <f>G1797*F1797</f>
        <v>4906.9664999999995</v>
      </c>
      <c r="J1797" s="47"/>
      <c r="K1797" s="143"/>
    </row>
    <row r="1798" spans="2:13" ht="24.9" customHeight="1" x14ac:dyDescent="0.2">
      <c r="B1798" s="683"/>
      <c r="C1798" s="108" t="str">
        <f>'LISTA DE INSUMOS'!A179</f>
        <v>MAT133-1</v>
      </c>
      <c r="D1798" s="139" t="str">
        <f>'LISTA DE INSUMOS'!B179</f>
        <v>Poste para cerramiento en madera plàstica 2,2 m</v>
      </c>
      <c r="E1798" s="108" t="s">
        <v>1435</v>
      </c>
      <c r="F1798" s="160">
        <v>0.53300000000000003</v>
      </c>
      <c r="G1798" s="141">
        <f>'LISTA DE INSUMOS'!E179</f>
        <v>41002.729881959989</v>
      </c>
      <c r="H1798" s="108">
        <v>0</v>
      </c>
      <c r="I1798" s="141">
        <f t="shared" ref="I1798:I1803" si="21">G1798*F1798</f>
        <v>21854.455027084674</v>
      </c>
      <c r="J1798" s="47"/>
      <c r="K1798" s="143"/>
    </row>
    <row r="1799" spans="2:13" ht="24.9" customHeight="1" x14ac:dyDescent="0.2">
      <c r="B1799" s="683"/>
      <c r="C1799" s="108" t="s">
        <v>2140</v>
      </c>
      <c r="D1799" s="139" t="str">
        <f>'LISTA DE INSUMOS'!B190</f>
        <v xml:space="preserve">Alambre galvanizado C 12 </v>
      </c>
      <c r="E1799" s="108" t="s">
        <v>1414</v>
      </c>
      <c r="F1799" s="160">
        <v>0.1</v>
      </c>
      <c r="G1799" s="141">
        <f>'LISTA DE INSUMOS'!E190</f>
        <v>10174.934703779998</v>
      </c>
      <c r="H1799" s="108">
        <v>0</v>
      </c>
      <c r="I1799" s="141">
        <f t="shared" si="21"/>
        <v>1017.4934703779999</v>
      </c>
      <c r="J1799" s="47"/>
      <c r="K1799" s="143"/>
    </row>
    <row r="1800" spans="2:13" ht="24.9" customHeight="1" x14ac:dyDescent="0.2">
      <c r="B1800" s="685" t="s">
        <v>1310</v>
      </c>
      <c r="C1800" s="108" t="s">
        <v>1881</v>
      </c>
      <c r="D1800" s="139" t="s">
        <v>409</v>
      </c>
      <c r="E1800" s="108" t="s">
        <v>1432</v>
      </c>
      <c r="F1800" s="160">
        <v>2.3E-2</v>
      </c>
      <c r="G1800" s="141">
        <v>24740</v>
      </c>
      <c r="H1800" s="108">
        <v>0</v>
      </c>
      <c r="I1800" s="141">
        <f t="shared" si="21"/>
        <v>569.02</v>
      </c>
      <c r="J1800" s="47"/>
      <c r="K1800" s="143"/>
    </row>
    <row r="1801" spans="2:13" ht="24.9" customHeight="1" thickBot="1" x14ac:dyDescent="0.25">
      <c r="B1801" s="686"/>
      <c r="C1801" s="108" t="s">
        <v>1577</v>
      </c>
      <c r="D1801" s="139" t="s">
        <v>53</v>
      </c>
      <c r="E1801" s="108" t="s">
        <v>1432</v>
      </c>
      <c r="F1801" s="160">
        <v>2.3E-2</v>
      </c>
      <c r="G1801" s="141">
        <v>389256</v>
      </c>
      <c r="H1801" s="108">
        <v>1.05</v>
      </c>
      <c r="I1801" s="141">
        <f>G1801*F1801*H1801</f>
        <v>9400.5324000000001</v>
      </c>
      <c r="J1801" s="47"/>
      <c r="K1801" s="143"/>
    </row>
    <row r="1802" spans="2:13" ht="24.9" customHeight="1" thickTop="1" thickBot="1" x14ac:dyDescent="0.25">
      <c r="B1802" s="153" t="s">
        <v>1034</v>
      </c>
      <c r="C1802" s="108" t="s">
        <v>2103</v>
      </c>
      <c r="D1802" s="139" t="s">
        <v>2068</v>
      </c>
      <c r="E1802" s="108" t="s">
        <v>2065</v>
      </c>
      <c r="F1802" s="160">
        <v>1</v>
      </c>
      <c r="G1802" s="141">
        <v>309241</v>
      </c>
      <c r="H1802" s="108">
        <v>0.05</v>
      </c>
      <c r="I1802" s="141">
        <f>G1802*F1802*H1802</f>
        <v>15462.050000000001</v>
      </c>
      <c r="J1802" s="47"/>
      <c r="K1802" s="143"/>
    </row>
    <row r="1803" spans="2:13" ht="24.9" customHeight="1" x14ac:dyDescent="0.2">
      <c r="B1803" s="478" t="s">
        <v>1033</v>
      </c>
      <c r="C1803" s="108" t="s">
        <v>1017</v>
      </c>
      <c r="D1803" s="139" t="s">
        <v>1029</v>
      </c>
      <c r="E1803" s="108" t="s">
        <v>2066</v>
      </c>
      <c r="F1803" s="160">
        <v>0.1</v>
      </c>
      <c r="G1803" s="141">
        <v>20616</v>
      </c>
      <c r="H1803" s="108">
        <v>0</v>
      </c>
      <c r="I1803" s="141">
        <f t="shared" si="21"/>
        <v>2061.6</v>
      </c>
      <c r="J1803" s="47"/>
      <c r="K1803" s="143"/>
    </row>
    <row r="1804" spans="2:13" ht="24.9" customHeight="1" x14ac:dyDescent="0.2">
      <c r="B1804" s="117" t="s">
        <v>1765</v>
      </c>
      <c r="C1804" s="117"/>
      <c r="D1804" s="112" t="s">
        <v>265</v>
      </c>
      <c r="E1804" s="117" t="s">
        <v>1412</v>
      </c>
      <c r="F1804" s="149"/>
      <c r="G1804" s="119">
        <f>ROUND(SUM(I1804:I1812),0)</f>
        <v>184151</v>
      </c>
      <c r="H1804" s="120"/>
      <c r="I1804" s="119"/>
      <c r="J1804" s="47"/>
      <c r="K1804" s="143"/>
    </row>
    <row r="1805" spans="2:13" ht="24.9" customHeight="1" x14ac:dyDescent="0.2">
      <c r="B1805" s="672" t="s">
        <v>1035</v>
      </c>
      <c r="C1805" s="125" t="str">
        <f>'LISTA DE INSUMOS'!A65</f>
        <v>MAT033</v>
      </c>
      <c r="D1805" s="155" t="str">
        <f>'LISTA DE INSUMOS'!B65</f>
        <v>Alambre de púas C 12,5</v>
      </c>
      <c r="E1805" s="125" t="str">
        <f>'LISTA DE INSUMOS'!C65</f>
        <v>M</v>
      </c>
      <c r="F1805" s="140">
        <v>3</v>
      </c>
      <c r="G1805" s="141">
        <f>'LISTA DE INSUMOS'!E65</f>
        <v>981.39329999999995</v>
      </c>
      <c r="H1805" s="108">
        <v>0</v>
      </c>
      <c r="I1805" s="141">
        <f>ROUND((F1805*G1805),0)</f>
        <v>2944</v>
      </c>
      <c r="J1805" s="47"/>
      <c r="K1805" s="143"/>
    </row>
    <row r="1806" spans="2:13" ht="49.5" customHeight="1" x14ac:dyDescent="0.2">
      <c r="B1806" s="672"/>
      <c r="C1806" s="108" t="str">
        <f>'LISTA DE INSUMOS'!A178</f>
        <v>MAT132</v>
      </c>
      <c r="D1806" s="139" t="str">
        <f>'LISTA DE INSUMOS'!B178</f>
        <v>Poste para cerramiento en concreto 2,2 m</v>
      </c>
      <c r="E1806" s="108" t="str">
        <f>'LISTA DE INSUMOS'!C178</f>
        <v>Un</v>
      </c>
      <c r="F1806" s="140">
        <v>0.6</v>
      </c>
      <c r="G1806" s="141">
        <f>'LISTA DE INSUMOS'!E178</f>
        <v>44014.586964562499</v>
      </c>
      <c r="H1806" s="108">
        <v>0</v>
      </c>
      <c r="I1806" s="141">
        <f>ROUND((F1806*G1806),0)</f>
        <v>26409</v>
      </c>
      <c r="J1806" s="47"/>
      <c r="K1806" s="143"/>
    </row>
    <row r="1807" spans="2:13" ht="24.9" customHeight="1" x14ac:dyDescent="0.2">
      <c r="B1807" s="672"/>
      <c r="C1807" s="108" t="str">
        <f>'LISTA DE INSUMOS'!A180</f>
        <v>MAT133</v>
      </c>
      <c r="D1807" s="139" t="str">
        <f>'LISTA DE INSUMOS'!B180</f>
        <v>Malla eslabonada 2" x 2" C 13</v>
      </c>
      <c r="E1807" s="108" t="str">
        <f>'LISTA DE INSUMOS'!C180</f>
        <v>M2</v>
      </c>
      <c r="F1807" s="140">
        <v>2.1</v>
      </c>
      <c r="G1807" s="141">
        <f>'LISTA DE INSUMOS'!E180</f>
        <v>43792.809428939989</v>
      </c>
      <c r="H1807" s="108">
        <v>1.05</v>
      </c>
      <c r="I1807" s="141">
        <f>ROUND((F1807*G1807*H1807),0)</f>
        <v>96563</v>
      </c>
      <c r="J1807" s="47"/>
      <c r="K1807" s="143"/>
    </row>
    <row r="1808" spans="2:13" ht="24.9" customHeight="1" thickBot="1" x14ac:dyDescent="0.25">
      <c r="B1808" s="673"/>
      <c r="C1808" s="108" t="str">
        <f>'LISTA DE INSUMOS'!A190</f>
        <v>MAT148</v>
      </c>
      <c r="D1808" s="139" t="str">
        <f>'LISTA DE INSUMOS'!B190</f>
        <v xml:space="preserve">Alambre galvanizado C 12 </v>
      </c>
      <c r="E1808" s="108" t="str">
        <f>'LISTA DE INSUMOS'!C190</f>
        <v>Kg</v>
      </c>
      <c r="F1808" s="140">
        <v>0.15</v>
      </c>
      <c r="G1808" s="141">
        <f>'LISTA DE INSUMOS'!E190</f>
        <v>10174.934703779998</v>
      </c>
      <c r="H1808" s="108">
        <v>0</v>
      </c>
      <c r="I1808" s="141">
        <f>ROUND((F1808*G1808),0)</f>
        <v>1526</v>
      </c>
      <c r="J1808" s="47"/>
      <c r="K1808" s="143"/>
    </row>
    <row r="1809" spans="2:11" ht="24.9" customHeight="1" thickTop="1" x14ac:dyDescent="0.2">
      <c r="B1809" s="685" t="s">
        <v>1310</v>
      </c>
      <c r="C1809" s="108" t="str">
        <f>+B115</f>
        <v>ITE024</v>
      </c>
      <c r="D1809" s="139" t="str">
        <f>+D115</f>
        <v>Excavación en material común seco de 0 - 1,5 m manual</v>
      </c>
      <c r="E1809" s="108" t="str">
        <f>E115</f>
        <v>M3</v>
      </c>
      <c r="F1809" s="140">
        <v>2.3E-2</v>
      </c>
      <c r="G1809" s="141">
        <f>G115</f>
        <v>32745</v>
      </c>
      <c r="H1809" s="108">
        <v>0</v>
      </c>
      <c r="I1809" s="141">
        <f>ROUND((F1809*G1809),0)</f>
        <v>753</v>
      </c>
      <c r="J1809" s="47"/>
      <c r="K1809" s="143"/>
    </row>
    <row r="1810" spans="2:11" ht="24.9" customHeight="1" thickBot="1" x14ac:dyDescent="0.25">
      <c r="B1810" s="686"/>
      <c r="C1810" s="108" t="str">
        <f>+B544</f>
        <v>ITE092</v>
      </c>
      <c r="D1810" s="139" t="str">
        <f>+D544</f>
        <v>Concreto de 20,7 Mpa (3000 psi) (producción)</v>
      </c>
      <c r="E1810" s="108" t="str">
        <f>E544</f>
        <v>M3</v>
      </c>
      <c r="F1810" s="140">
        <v>2.3E-2</v>
      </c>
      <c r="G1810" s="141">
        <f>G544</f>
        <v>596118</v>
      </c>
      <c r="H1810" s="108">
        <v>1.05</v>
      </c>
      <c r="I1810" s="141">
        <f>ROUND((F1810*G1810*H1810),0)</f>
        <v>14396</v>
      </c>
      <c r="J1810" s="47"/>
      <c r="K1810" s="143"/>
    </row>
    <row r="1811" spans="2:11" ht="24.9" customHeight="1" thickTop="1" thickBot="1" x14ac:dyDescent="0.25">
      <c r="B1811" s="153" t="s">
        <v>1034</v>
      </c>
      <c r="C1811" s="108" t="str">
        <f>'LISTA DE INSUMOS'!A9</f>
        <v>MOB006</v>
      </c>
      <c r="D1811" s="139" t="str">
        <f>'LISTA DE INSUMOS'!B9</f>
        <v>Cuadrilla A 1 Of + 4 Ay (jornal + prestaciones)</v>
      </c>
      <c r="E1811" s="108" t="str">
        <f>'LISTA DE INSUMOS'!C9</f>
        <v>Día</v>
      </c>
      <c r="F1811" s="140">
        <v>1</v>
      </c>
      <c r="G1811" s="141">
        <f>'LISTA DE INSUMOS'!E9</f>
        <v>491167</v>
      </c>
      <c r="H1811" s="108">
        <f>1/13</f>
        <v>7.6923076923076927E-2</v>
      </c>
      <c r="I1811" s="141">
        <f>ROUND((F1811*G1811*H1811),0)</f>
        <v>37782</v>
      </c>
      <c r="J1811" s="47"/>
      <c r="K1811" s="143"/>
    </row>
    <row r="1812" spans="2:11" ht="24.9" customHeight="1" thickTop="1" thickBot="1" x14ac:dyDescent="0.25">
      <c r="B1812" s="150" t="s">
        <v>1033</v>
      </c>
      <c r="C1812" s="151" t="str">
        <f>'LISTA DE INSUMOS'!A758</f>
        <v>EQU002</v>
      </c>
      <c r="D1812" s="146" t="str">
        <f>'LISTA DE INSUMOS'!B758</f>
        <v>Herramienta menor (% mano obra)</v>
      </c>
      <c r="E1812" s="145" t="str">
        <f>'LISTA DE INSUMOS'!C758</f>
        <v>%MO</v>
      </c>
      <c r="F1812" s="147">
        <v>0.1</v>
      </c>
      <c r="G1812" s="148">
        <f>I1811</f>
        <v>37782</v>
      </c>
      <c r="H1812" s="145">
        <v>0</v>
      </c>
      <c r="I1812" s="148">
        <f>ROUND((F1812*G1812),0)</f>
        <v>3778</v>
      </c>
      <c r="J1812" s="47"/>
      <c r="K1812" s="143"/>
    </row>
    <row r="1813" spans="2:11" ht="44.25" customHeight="1" x14ac:dyDescent="0.2">
      <c r="B1813" s="117" t="s">
        <v>1953</v>
      </c>
      <c r="C1813" s="117"/>
      <c r="D1813" s="112" t="s">
        <v>264</v>
      </c>
      <c r="E1813" s="117" t="s">
        <v>1412</v>
      </c>
      <c r="F1813" s="149"/>
      <c r="G1813" s="119">
        <f>ROUND(SUM(I1813:I1828),0)</f>
        <v>388269</v>
      </c>
      <c r="H1813" s="120"/>
      <c r="I1813" s="119"/>
      <c r="J1813" s="47"/>
      <c r="K1813" s="143"/>
    </row>
    <row r="1814" spans="2:11" ht="24.9" customHeight="1" x14ac:dyDescent="0.2">
      <c r="B1814" s="672" t="s">
        <v>1035</v>
      </c>
      <c r="C1814" s="125" t="str">
        <f>'LISTA DE INSUMOS'!A65</f>
        <v>MAT033</v>
      </c>
      <c r="D1814" s="155" t="str">
        <f>'LISTA DE INSUMOS'!B65</f>
        <v>Alambre de púas C 12,5</v>
      </c>
      <c r="E1814" s="125" t="str">
        <f>'LISTA DE INSUMOS'!C65</f>
        <v>M</v>
      </c>
      <c r="F1814" s="140">
        <v>3</v>
      </c>
      <c r="G1814" s="141">
        <f>'LISTA DE INSUMOS'!E65</f>
        <v>981.39329999999995</v>
      </c>
      <c r="H1814" s="108">
        <v>0</v>
      </c>
      <c r="I1814" s="141">
        <f>ROUND((F1814*G1814),0)</f>
        <v>2944</v>
      </c>
      <c r="J1814" s="47"/>
      <c r="K1814" s="143"/>
    </row>
    <row r="1815" spans="2:11" ht="24.9" customHeight="1" x14ac:dyDescent="0.2">
      <c r="B1815" s="672"/>
      <c r="C1815" s="108" t="str">
        <f>'LISTA DE INSUMOS'!A178</f>
        <v>MAT132</v>
      </c>
      <c r="D1815" s="139" t="str">
        <f>'LISTA DE INSUMOS'!B178</f>
        <v>Poste para cerramiento en concreto 2,2 m</v>
      </c>
      <c r="E1815" s="108" t="str">
        <f>'LISTA DE INSUMOS'!C178</f>
        <v>Un</v>
      </c>
      <c r="F1815" s="140">
        <v>0.53300000000000003</v>
      </c>
      <c r="G1815" s="141">
        <f>'LISTA DE INSUMOS'!E178</f>
        <v>44014.586964562499</v>
      </c>
      <c r="H1815" s="108">
        <v>0</v>
      </c>
      <c r="I1815" s="141">
        <f>ROUND((F1815*G1815),0)</f>
        <v>23460</v>
      </c>
      <c r="J1815" s="47"/>
      <c r="K1815" s="143"/>
    </row>
    <row r="1816" spans="2:11" ht="24.9" customHeight="1" x14ac:dyDescent="0.2">
      <c r="B1816" s="672"/>
      <c r="C1816" s="108" t="str">
        <f>'LISTA DE INSUMOS'!A180</f>
        <v>MAT133</v>
      </c>
      <c r="D1816" s="139" t="str">
        <f>'LISTA DE INSUMOS'!B180</f>
        <v>Malla eslabonada 2" x 2" C 13</v>
      </c>
      <c r="E1816" s="108" t="str">
        <f>'LISTA DE INSUMOS'!C180</f>
        <v>M2</v>
      </c>
      <c r="F1816" s="140">
        <v>2.1</v>
      </c>
      <c r="G1816" s="141">
        <f>'LISTA DE INSUMOS'!E180</f>
        <v>43792.809428939989</v>
      </c>
      <c r="H1816" s="108">
        <v>1.05</v>
      </c>
      <c r="I1816" s="141">
        <f>ROUND((F1816*G1816*H1816),0)</f>
        <v>96563</v>
      </c>
      <c r="J1816" s="47"/>
      <c r="K1816" s="143"/>
    </row>
    <row r="1817" spans="2:11" ht="24.9" customHeight="1" x14ac:dyDescent="0.2">
      <c r="B1817" s="672"/>
      <c r="C1817" s="108" t="str">
        <f>'LISTA DE INSUMOS'!A213</f>
        <v>MAT177</v>
      </c>
      <c r="D1817" s="139" t="str">
        <f>'LISTA DE INSUMOS'!B213</f>
        <v>Soldadura para hierro estructural</v>
      </c>
      <c r="E1817" s="108" t="str">
        <f>'LISTA DE INSUMOS'!C213</f>
        <v>Kg</v>
      </c>
      <c r="F1817" s="140">
        <v>0.15</v>
      </c>
      <c r="G1817" s="141">
        <f>'LISTA DE INSUMOS'!E213</f>
        <v>14247.017999999998</v>
      </c>
      <c r="H1817" s="108">
        <v>1.03</v>
      </c>
      <c r="I1817" s="141">
        <f>ROUND((F1817*G1817*H1817),0)</f>
        <v>2201</v>
      </c>
      <c r="J1817" s="47"/>
      <c r="K1817" s="143"/>
    </row>
    <row r="1818" spans="2:11" ht="24.9" customHeight="1" thickBot="1" x14ac:dyDescent="0.25">
      <c r="B1818" s="673"/>
      <c r="C1818" s="108" t="str">
        <f>'LISTA DE INSUMOS'!A190</f>
        <v>MAT148</v>
      </c>
      <c r="D1818" s="139" t="str">
        <f>'LISTA DE INSUMOS'!B190</f>
        <v xml:space="preserve">Alambre galvanizado C 12 </v>
      </c>
      <c r="E1818" s="108" t="str">
        <f>'LISTA DE INSUMOS'!C190</f>
        <v>Kg</v>
      </c>
      <c r="F1818" s="140">
        <v>0.3</v>
      </c>
      <c r="G1818" s="141">
        <f>'LISTA DE INSUMOS'!E190</f>
        <v>10174.934703779998</v>
      </c>
      <c r="H1818" s="108">
        <v>0</v>
      </c>
      <c r="I1818" s="141">
        <f>ROUND((F1818*G1818),0)</f>
        <v>3052</v>
      </c>
      <c r="J1818" s="47"/>
      <c r="K1818" s="143"/>
    </row>
    <row r="1819" spans="2:11" ht="24.9" customHeight="1" thickTop="1" x14ac:dyDescent="0.2">
      <c r="B1819" s="701" t="s">
        <v>1310</v>
      </c>
      <c r="C1819" s="166" t="str">
        <f>+B1863</f>
        <v>ITE190</v>
      </c>
      <c r="D1819" s="167" t="str">
        <f>+D1863</f>
        <v>Muro en bloque de cemento de 0,14x0,19x0,39</v>
      </c>
      <c r="E1819" s="166" t="str">
        <f>E1863</f>
        <v>M2</v>
      </c>
      <c r="F1819" s="234">
        <v>0.5</v>
      </c>
      <c r="G1819" s="141">
        <f>G1863</f>
        <v>103482</v>
      </c>
      <c r="H1819" s="108">
        <v>0</v>
      </c>
      <c r="I1819" s="141">
        <f>ROUND((F1819*G1819),0)</f>
        <v>51741</v>
      </c>
      <c r="J1819" s="47"/>
      <c r="K1819" s="143"/>
    </row>
    <row r="1820" spans="2:11" ht="24.9" customHeight="1" x14ac:dyDescent="0.2">
      <c r="B1820" s="702"/>
      <c r="C1820" s="108" t="str">
        <f>+B115</f>
        <v>ITE024</v>
      </c>
      <c r="D1820" s="139" t="str">
        <f>+D115</f>
        <v>Excavación en material común seco de 0 - 1,5 m manual</v>
      </c>
      <c r="E1820" s="108" t="str">
        <f>E115</f>
        <v>M3</v>
      </c>
      <c r="F1820" s="140">
        <v>6.3E-2</v>
      </c>
      <c r="G1820" s="141">
        <f>G115</f>
        <v>32745</v>
      </c>
      <c r="H1820" s="108">
        <v>0</v>
      </c>
      <c r="I1820" s="141">
        <f>ROUND((F1820*G1820),0)</f>
        <v>2063</v>
      </c>
      <c r="J1820" s="47"/>
      <c r="K1820" s="143"/>
    </row>
    <row r="1821" spans="2:11" ht="24.9" customHeight="1" x14ac:dyDescent="0.2">
      <c r="B1821" s="702"/>
      <c r="C1821" s="108" t="str">
        <f>+B544</f>
        <v>ITE092</v>
      </c>
      <c r="D1821" s="139" t="str">
        <f>+D544</f>
        <v>Concreto de 20,7 Mpa (3000 psi) (producción)</v>
      </c>
      <c r="E1821" s="108" t="str">
        <f>E544</f>
        <v>M3</v>
      </c>
      <c r="F1821" s="140">
        <v>0.03</v>
      </c>
      <c r="G1821" s="141">
        <f>G544</f>
        <v>596118</v>
      </c>
      <c r="H1821" s="108">
        <v>1.05</v>
      </c>
      <c r="I1821" s="141">
        <f>ROUND((F1821*G1821*H1821),0)</f>
        <v>18778</v>
      </c>
      <c r="J1821" s="47"/>
      <c r="K1821" s="143"/>
    </row>
    <row r="1822" spans="2:11" ht="24.9" customHeight="1" x14ac:dyDescent="0.2">
      <c r="B1822" s="702"/>
      <c r="C1822" s="108" t="str">
        <f>+B574</f>
        <v>ITE96</v>
      </c>
      <c r="D1822" s="139" t="str">
        <f>+D574</f>
        <v>Mortero 1:3 (producción)</v>
      </c>
      <c r="E1822" s="108" t="str">
        <f>E574</f>
        <v>M3</v>
      </c>
      <c r="F1822" s="140">
        <v>1.7999999999999999E-2</v>
      </c>
      <c r="G1822" s="141">
        <f>G574</f>
        <v>580906</v>
      </c>
      <c r="H1822" s="108">
        <v>1.05</v>
      </c>
      <c r="I1822" s="141">
        <f>ROUND((F1822*G1822*H1822),0)</f>
        <v>10979</v>
      </c>
      <c r="J1822" s="47"/>
      <c r="K1822" s="143"/>
    </row>
    <row r="1823" spans="2:11" ht="24.9" customHeight="1" x14ac:dyDescent="0.2">
      <c r="B1823" s="702"/>
      <c r="C1823" s="108" t="str">
        <f>+B1448</f>
        <v>ITE160</v>
      </c>
      <c r="D1823" s="139" t="str">
        <f>+D1448</f>
        <v>Concreto ciclópeo (producción)</v>
      </c>
      <c r="E1823" s="108" t="str">
        <f>E1448</f>
        <v>M3</v>
      </c>
      <c r="F1823" s="140">
        <v>0.06</v>
      </c>
      <c r="G1823" s="141">
        <f>G1448</f>
        <v>505570</v>
      </c>
      <c r="H1823" s="108">
        <v>1.05</v>
      </c>
      <c r="I1823" s="141">
        <f>ROUND((F1823*G1823*H1823),0)</f>
        <v>31851</v>
      </c>
      <c r="J1823" s="47"/>
      <c r="K1823" s="143"/>
    </row>
    <row r="1824" spans="2:11" ht="24.9" customHeight="1" thickBot="1" x14ac:dyDescent="0.25">
      <c r="B1824" s="702"/>
      <c r="C1824" s="108" t="str">
        <f>+B1552</f>
        <v>ITE203</v>
      </c>
      <c r="D1824" s="139" t="str">
        <f>+D1552</f>
        <v>Sobrecimiento h = 0,20 m revoque impermeabilizado 2 caras</v>
      </c>
      <c r="E1824" s="108" t="str">
        <f>E1552</f>
        <v>M</v>
      </c>
      <c r="F1824" s="140">
        <v>0.8</v>
      </c>
      <c r="G1824" s="141">
        <f>G1552</f>
        <v>73327</v>
      </c>
      <c r="H1824" s="108">
        <v>0</v>
      </c>
      <c r="I1824" s="141">
        <f>ROUND((F1824*G1824),0)</f>
        <v>58662</v>
      </c>
      <c r="J1824" s="47"/>
      <c r="K1824" s="143"/>
    </row>
    <row r="1825" spans="2:11" ht="24.9" customHeight="1" thickTop="1" thickBot="1" x14ac:dyDescent="0.25">
      <c r="B1825" s="153" t="s">
        <v>1034</v>
      </c>
      <c r="C1825" s="108" t="str">
        <f>'LISTA DE INSUMOS'!A9</f>
        <v>MOB006</v>
      </c>
      <c r="D1825" s="139" t="str">
        <f>'LISTA DE INSUMOS'!B9</f>
        <v>Cuadrilla A 1 Of + 4 Ay (jornal + prestaciones)</v>
      </c>
      <c r="E1825" s="108" t="str">
        <f>'LISTA DE INSUMOS'!C9</f>
        <v>Día</v>
      </c>
      <c r="F1825" s="140">
        <v>1</v>
      </c>
      <c r="G1825" s="141">
        <f>'LISTA DE INSUMOS'!E9</f>
        <v>491167</v>
      </c>
      <c r="H1825" s="108">
        <v>0.15</v>
      </c>
      <c r="I1825" s="141">
        <f>ROUND((F1825*G1825*H1825),0)</f>
        <v>73675</v>
      </c>
      <c r="J1825" s="47"/>
      <c r="K1825" s="143"/>
    </row>
    <row r="1826" spans="2:11" ht="24.9" customHeight="1" thickTop="1" x14ac:dyDescent="0.2">
      <c r="B1826" s="647" t="s">
        <v>1033</v>
      </c>
      <c r="C1826" s="108" t="str">
        <f>'LISTA DE INSUMOS'!A758</f>
        <v>EQU002</v>
      </c>
      <c r="D1826" s="139" t="str">
        <f>'LISTA DE INSUMOS'!B758</f>
        <v>Herramienta menor (% mano obra)</v>
      </c>
      <c r="E1826" s="108" t="str">
        <f>'LISTA DE INSUMOS'!C758</f>
        <v>%MO</v>
      </c>
      <c r="F1826" s="160">
        <v>0.1</v>
      </c>
      <c r="G1826" s="141">
        <f>I1825</f>
        <v>73675</v>
      </c>
      <c r="H1826" s="108">
        <v>0</v>
      </c>
      <c r="I1826" s="141">
        <f>ROUND((F1826*G1826),0)</f>
        <v>7368</v>
      </c>
      <c r="J1826" s="47"/>
      <c r="K1826" s="143"/>
    </row>
    <row r="1827" spans="2:11" ht="24.9" customHeight="1" x14ac:dyDescent="0.2">
      <c r="B1827" s="648"/>
      <c r="C1827" s="108" t="str">
        <f>'LISTA DE INSUMOS'!A762</f>
        <v>EQU006</v>
      </c>
      <c r="D1827" s="139" t="str">
        <f>'LISTA DE INSUMOS'!B762</f>
        <v>Andamio (% mano obra)</v>
      </c>
      <c r="E1827" s="108" t="str">
        <f>'LISTA DE INSUMOS'!C762</f>
        <v>%MO</v>
      </c>
      <c r="F1827" s="160">
        <v>0.05</v>
      </c>
      <c r="G1827" s="141">
        <f>I1825</f>
        <v>73675</v>
      </c>
      <c r="H1827" s="108">
        <v>0</v>
      </c>
      <c r="I1827" s="141">
        <f>ROUND((F1827*G1827),0)</f>
        <v>3684</v>
      </c>
      <c r="J1827" s="47"/>
      <c r="K1827" s="143"/>
    </row>
    <row r="1828" spans="2:11" ht="30" customHeight="1" thickBot="1" x14ac:dyDescent="0.25">
      <c r="B1828" s="704"/>
      <c r="C1828" s="194" t="str">
        <f>'LISTA DE INSUMOS'!A796</f>
        <v>EQU039</v>
      </c>
      <c r="D1828" s="198" t="str">
        <f>'LISTA DE INSUMOS'!B796</f>
        <v>Equipo soldadura eléctrica</v>
      </c>
      <c r="E1828" s="194" t="str">
        <f>'LISTA DE INSUMOS'!C796</f>
        <v>Día</v>
      </c>
      <c r="F1828" s="147">
        <v>1</v>
      </c>
      <c r="G1828" s="235">
        <f>'LISTA DE INSUMOS'!E796</f>
        <v>43693.897103999996</v>
      </c>
      <c r="H1828" s="145">
        <f>1/35</f>
        <v>2.8571428571428571E-2</v>
      </c>
      <c r="I1828" s="148">
        <f>ROUND((F1828*G1828*H1828),0)</f>
        <v>1248</v>
      </c>
      <c r="J1828" s="47"/>
      <c r="K1828" s="143"/>
    </row>
    <row r="1829" spans="2:11" ht="70.5" customHeight="1" x14ac:dyDescent="0.2">
      <c r="B1829" s="117" t="s">
        <v>1880</v>
      </c>
      <c r="C1829" s="117"/>
      <c r="D1829" s="112" t="s">
        <v>125</v>
      </c>
      <c r="E1829" s="117" t="s">
        <v>1412</v>
      </c>
      <c r="F1829" s="149"/>
      <c r="G1829" s="119">
        <f>ROUND(SUM(I1829:I1844),0)</f>
        <v>502413</v>
      </c>
      <c r="H1829" s="120"/>
      <c r="I1829" s="119"/>
      <c r="J1829" s="47"/>
      <c r="K1829" s="143"/>
    </row>
    <row r="1830" spans="2:11" ht="30" customHeight="1" x14ac:dyDescent="0.2">
      <c r="B1830" s="672" t="s">
        <v>1035</v>
      </c>
      <c r="C1830" s="125" t="str">
        <f>'LISTA DE INSUMOS'!A65</f>
        <v>MAT033</v>
      </c>
      <c r="D1830" s="155" t="str">
        <f>'LISTA DE INSUMOS'!B65</f>
        <v>Alambre de púas C 12,5</v>
      </c>
      <c r="E1830" s="125" t="str">
        <f>'LISTA DE INSUMOS'!C65</f>
        <v>M</v>
      </c>
      <c r="F1830" s="140">
        <v>3</v>
      </c>
      <c r="G1830" s="141">
        <f>'LISTA DE INSUMOS'!E65</f>
        <v>981.39329999999995</v>
      </c>
      <c r="H1830" s="108">
        <v>0</v>
      </c>
      <c r="I1830" s="141">
        <f>ROUND((F1830*G1830),0)</f>
        <v>2944</v>
      </c>
      <c r="J1830" s="47"/>
      <c r="K1830" s="143"/>
    </row>
    <row r="1831" spans="2:11" ht="24.9" customHeight="1" x14ac:dyDescent="0.2">
      <c r="B1831" s="672"/>
      <c r="C1831" s="108" t="str">
        <f>'LISTA DE INSUMOS'!A180</f>
        <v>MAT133</v>
      </c>
      <c r="D1831" s="139" t="str">
        <f>'LISTA DE INSUMOS'!B180</f>
        <v>Malla eslabonada 2" x 2" C 13</v>
      </c>
      <c r="E1831" s="108" t="str">
        <f>'LISTA DE INSUMOS'!C180</f>
        <v>M2</v>
      </c>
      <c r="F1831" s="140">
        <v>2.1</v>
      </c>
      <c r="G1831" s="141">
        <f>'LISTA DE INSUMOS'!E180</f>
        <v>43792.809428939989</v>
      </c>
      <c r="H1831" s="108">
        <v>0</v>
      </c>
      <c r="I1831" s="141">
        <f>ROUND((F1831*G1831),0)</f>
        <v>91965</v>
      </c>
      <c r="J1831" s="47"/>
      <c r="K1831" s="143"/>
    </row>
    <row r="1832" spans="2:11" ht="24.9" customHeight="1" x14ac:dyDescent="0.2">
      <c r="B1832" s="672"/>
      <c r="C1832" s="108" t="str">
        <f>'LISTA DE INSUMOS'!A190</f>
        <v>MAT148</v>
      </c>
      <c r="D1832" s="139" t="str">
        <f>'LISTA DE INSUMOS'!B190</f>
        <v xml:space="preserve">Alambre galvanizado C 12 </v>
      </c>
      <c r="E1832" s="108" t="str">
        <f>'LISTA DE INSUMOS'!C190</f>
        <v>Kg</v>
      </c>
      <c r="F1832" s="140">
        <v>0.13</v>
      </c>
      <c r="G1832" s="141">
        <f>'LISTA DE INSUMOS'!E190</f>
        <v>10174.934703779998</v>
      </c>
      <c r="H1832" s="108">
        <v>0</v>
      </c>
      <c r="I1832" s="141">
        <f>ROUND((F1832*G1832),0)</f>
        <v>1323</v>
      </c>
      <c r="J1832" s="47"/>
      <c r="K1832" s="143"/>
    </row>
    <row r="1833" spans="2:11" ht="24.9" customHeight="1" x14ac:dyDescent="0.2">
      <c r="B1833" s="672"/>
      <c r="C1833" s="108" t="str">
        <f>'LISTA DE INSUMOS'!A213</f>
        <v>MAT177</v>
      </c>
      <c r="D1833" s="139" t="str">
        <f>'LISTA DE INSUMOS'!B213</f>
        <v>Soldadura para hierro estructural</v>
      </c>
      <c r="E1833" s="108" t="str">
        <f>'LISTA DE INSUMOS'!C213</f>
        <v>Kg</v>
      </c>
      <c r="F1833" s="140">
        <v>0.15</v>
      </c>
      <c r="G1833" s="141">
        <f>G1817</f>
        <v>14247.017999999998</v>
      </c>
      <c r="H1833" s="108">
        <v>1.03</v>
      </c>
      <c r="I1833" s="141">
        <f>ROUND((F1833*G1833*H1833),0)</f>
        <v>2201</v>
      </c>
      <c r="J1833" s="47"/>
      <c r="K1833" s="143"/>
    </row>
    <row r="1834" spans="2:11" ht="24.9" customHeight="1" thickBot="1" x14ac:dyDescent="0.25">
      <c r="B1834" s="673"/>
      <c r="C1834" s="125" t="str">
        <f>'LISTA DE INSUMOS'!A346</f>
        <v>MAT336</v>
      </c>
      <c r="D1834" s="155" t="str">
        <f>'LISTA DE INSUMOS'!B346</f>
        <v>Tubo galvanizadoNIC 505-
001 para cerramiento de 2` x 3 m incluye tapa.</v>
      </c>
      <c r="E1834" s="125" t="str">
        <f>'LISTA DE INSUMOS'!C346</f>
        <v>Un</v>
      </c>
      <c r="F1834" s="140">
        <v>0.6</v>
      </c>
      <c r="G1834" s="141">
        <f>'LISTA DE INSUMOS'!E346</f>
        <v>93963.050801333971</v>
      </c>
      <c r="H1834" s="108">
        <v>0</v>
      </c>
      <c r="I1834" s="141">
        <f>IF(H1834&gt;=0,(F1834*G1834*(1+H1834/100)),ABS(F1834*G1834/H1834))</f>
        <v>56377.830480800381</v>
      </c>
      <c r="J1834" s="47"/>
      <c r="K1834" s="143"/>
    </row>
    <row r="1835" spans="2:11" ht="24.9" customHeight="1" thickTop="1" x14ac:dyDescent="0.2">
      <c r="B1835" s="701" t="s">
        <v>1310</v>
      </c>
      <c r="C1835" s="108" t="str">
        <f>+B115</f>
        <v>ITE024</v>
      </c>
      <c r="D1835" s="139" t="str">
        <f>+D115</f>
        <v>Excavación en material común seco de 0 - 1,5 m manual</v>
      </c>
      <c r="E1835" s="108" t="str">
        <f>E115</f>
        <v>M3</v>
      </c>
      <c r="F1835" s="140">
        <v>0.06</v>
      </c>
      <c r="G1835" s="141">
        <f>G115</f>
        <v>32745</v>
      </c>
      <c r="H1835" s="108">
        <v>0</v>
      </c>
      <c r="I1835" s="141">
        <f>ROUND((F1835*G1835),0)</f>
        <v>1965</v>
      </c>
      <c r="J1835" s="47"/>
      <c r="K1835" s="143"/>
    </row>
    <row r="1836" spans="2:11" ht="24.9" customHeight="1" x14ac:dyDescent="0.2">
      <c r="B1836" s="702"/>
      <c r="C1836" s="108" t="str">
        <f>+B544</f>
        <v>ITE092</v>
      </c>
      <c r="D1836" s="139" t="str">
        <f>+D544</f>
        <v>Concreto de 20,7 Mpa (3000 psi) (producción)</v>
      </c>
      <c r="E1836" s="108" t="str">
        <f>E544</f>
        <v>M3</v>
      </c>
      <c r="F1836" s="152">
        <v>1.7999999999999999E-2</v>
      </c>
      <c r="G1836" s="141">
        <f>G544</f>
        <v>596118</v>
      </c>
      <c r="H1836" s="108">
        <v>1.05</v>
      </c>
      <c r="I1836" s="141">
        <f>ROUND((F1836*G1836*H1836),0)</f>
        <v>11267</v>
      </c>
      <c r="J1836" s="47"/>
      <c r="K1836" s="143"/>
    </row>
    <row r="1837" spans="2:11" ht="24.9" customHeight="1" x14ac:dyDescent="0.2">
      <c r="B1837" s="702"/>
      <c r="C1837" s="108" t="str">
        <f>+B1036</f>
        <v>ITE144</v>
      </c>
      <c r="D1837" s="167" t="str">
        <f>+D1036</f>
        <v>Alfajía en concreto de 20,7 Mpa para remate de muro, incluye refuerzo</v>
      </c>
      <c r="E1837" s="108" t="str">
        <f>E1036</f>
        <v>M</v>
      </c>
      <c r="F1837" s="152">
        <v>1</v>
      </c>
      <c r="G1837" s="141">
        <f>G1036</f>
        <v>107879</v>
      </c>
      <c r="H1837" s="108">
        <v>0</v>
      </c>
      <c r="I1837" s="141">
        <f>ROUND((F1837*G1837),0)</f>
        <v>107879</v>
      </c>
      <c r="J1837" s="47"/>
      <c r="K1837" s="143"/>
    </row>
    <row r="1838" spans="2:11" ht="24.9" customHeight="1" x14ac:dyDescent="0.2">
      <c r="B1838" s="702"/>
      <c r="C1838" s="108" t="str">
        <f>+B1448</f>
        <v>ITE160</v>
      </c>
      <c r="D1838" s="139" t="str">
        <f>+D1448</f>
        <v>Concreto ciclópeo (producción)</v>
      </c>
      <c r="E1838" s="108" t="str">
        <f>E1448</f>
        <v>M3</v>
      </c>
      <c r="F1838" s="140">
        <v>0.06</v>
      </c>
      <c r="G1838" s="141">
        <f>G1448</f>
        <v>505570</v>
      </c>
      <c r="H1838" s="108">
        <v>1.05</v>
      </c>
      <c r="I1838" s="141">
        <f>ROUND((F1838*G1838*H1838),0)</f>
        <v>31851</v>
      </c>
      <c r="J1838" s="47"/>
      <c r="K1838" s="143"/>
    </row>
    <row r="1839" spans="2:11" ht="24.9" customHeight="1" x14ac:dyDescent="0.2">
      <c r="B1839" s="702"/>
      <c r="C1839" s="108" t="str">
        <f>B2611</f>
        <v>ITE249</v>
      </c>
      <c r="D1839" s="139" t="str">
        <f>D2611</f>
        <v>Pintura transparente protectora de fachadas para muro en bloques o ladrillo, incluye filos y dilataciones</v>
      </c>
      <c r="E1839" s="108" t="str">
        <f>E2611</f>
        <v>M2</v>
      </c>
      <c r="F1839" s="140">
        <v>1</v>
      </c>
      <c r="G1839" s="141">
        <f>G2611</f>
        <v>28305</v>
      </c>
      <c r="H1839" s="108">
        <v>0</v>
      </c>
      <c r="I1839" s="141">
        <f>ROUND((F1839*G1839),0)</f>
        <v>28305</v>
      </c>
      <c r="J1839" s="47"/>
      <c r="K1839" s="143"/>
    </row>
    <row r="1840" spans="2:11" ht="24.75" customHeight="1" thickBot="1" x14ac:dyDescent="0.25">
      <c r="B1840" s="703"/>
      <c r="C1840" s="108" t="str">
        <f>B1543</f>
        <v>ITE172</v>
      </c>
      <c r="D1840" s="167" t="str">
        <f>D1543</f>
        <v>Muro en ladrillo prensado visto en soga, dos caras</v>
      </c>
      <c r="E1840" s="108" t="str">
        <f>E1543</f>
        <v>M2</v>
      </c>
      <c r="F1840" s="140">
        <v>0.5</v>
      </c>
      <c r="G1840" s="141">
        <f>G1543</f>
        <v>104238</v>
      </c>
      <c r="H1840" s="108">
        <v>0</v>
      </c>
      <c r="I1840" s="141">
        <f>ROUND((F1840*G1840),0)</f>
        <v>52119</v>
      </c>
      <c r="J1840" s="47"/>
      <c r="K1840" s="143"/>
    </row>
    <row r="1841" spans="2:11" ht="24.9" customHeight="1" thickTop="1" thickBot="1" x14ac:dyDescent="0.25">
      <c r="B1841" s="158" t="s">
        <v>1034</v>
      </c>
      <c r="C1841" s="108" t="str">
        <f>'LISTA DE INSUMOS'!A9</f>
        <v>MOB006</v>
      </c>
      <c r="D1841" s="139" t="str">
        <f>'LISTA DE INSUMOS'!B9</f>
        <v>Cuadrilla A 1 Of + 4 Ay (jornal + prestaciones)</v>
      </c>
      <c r="E1841" s="108" t="str">
        <f>'LISTA DE INSUMOS'!C9</f>
        <v>Día</v>
      </c>
      <c r="F1841" s="140">
        <v>1</v>
      </c>
      <c r="G1841" s="141">
        <f>'LISTA DE INSUMOS'!E9</f>
        <v>491167</v>
      </c>
      <c r="H1841" s="108">
        <f>1/5</f>
        <v>0.2</v>
      </c>
      <c r="I1841" s="141">
        <f>ROUND((F1841*G1841*H1841),0)</f>
        <v>98233</v>
      </c>
      <c r="J1841" s="47"/>
      <c r="K1841" s="143"/>
    </row>
    <row r="1842" spans="2:11" ht="0.75" customHeight="1" thickTop="1" x14ac:dyDescent="0.2">
      <c r="B1842" s="647" t="s">
        <v>1033</v>
      </c>
      <c r="C1842" s="108" t="str">
        <f>'LISTA DE INSUMOS'!A758</f>
        <v>EQU002</v>
      </c>
      <c r="D1842" s="139" t="str">
        <f>'LISTA DE INSUMOS'!B758</f>
        <v>Herramienta menor (% mano obra)</v>
      </c>
      <c r="E1842" s="108" t="str">
        <f>'LISTA DE INSUMOS'!C758</f>
        <v>%MO</v>
      </c>
      <c r="F1842" s="160">
        <v>0.1</v>
      </c>
      <c r="G1842" s="141">
        <f>I1841</f>
        <v>98233</v>
      </c>
      <c r="H1842" s="108">
        <v>0</v>
      </c>
      <c r="I1842" s="141">
        <f>ROUND((F1842*G1842),0)</f>
        <v>9823</v>
      </c>
      <c r="J1842" s="47"/>
      <c r="K1842" s="143"/>
    </row>
    <row r="1843" spans="2:11" ht="24.75" customHeight="1" x14ac:dyDescent="0.2">
      <c r="B1843" s="648"/>
      <c r="C1843" s="108" t="str">
        <f>'LISTA DE INSUMOS'!A762</f>
        <v>EQU006</v>
      </c>
      <c r="D1843" s="139" t="str">
        <f>'LISTA DE INSUMOS'!B762</f>
        <v>Andamio (% mano obra)</v>
      </c>
      <c r="E1843" s="108" t="str">
        <f>'LISTA DE INSUMOS'!C762</f>
        <v>%MO</v>
      </c>
      <c r="F1843" s="160">
        <v>0.05</v>
      </c>
      <c r="G1843" s="141">
        <f>I1841</f>
        <v>98233</v>
      </c>
      <c r="H1843" s="108">
        <v>0</v>
      </c>
      <c r="I1843" s="141">
        <f>ROUND((F1843*G1843),0)</f>
        <v>4912</v>
      </c>
      <c r="J1843" s="47"/>
      <c r="K1843" s="143"/>
    </row>
    <row r="1844" spans="2:11" ht="37.5" customHeight="1" thickBot="1" x14ac:dyDescent="0.25">
      <c r="B1844" s="704"/>
      <c r="C1844" s="194" t="str">
        <f>'LISTA DE INSUMOS'!A796</f>
        <v>EQU039</v>
      </c>
      <c r="D1844" s="198" t="str">
        <f>'LISTA DE INSUMOS'!B796</f>
        <v>Equipo soldadura eléctrica</v>
      </c>
      <c r="E1844" s="194" t="str">
        <f>'LISTA DE INSUMOS'!C796</f>
        <v>Día</v>
      </c>
      <c r="F1844" s="147">
        <v>1</v>
      </c>
      <c r="G1844" s="235">
        <f>'LISTA DE INSUMOS'!E796</f>
        <v>43693.897103999996</v>
      </c>
      <c r="H1844" s="145">
        <f>1/35</f>
        <v>2.8571428571428571E-2</v>
      </c>
      <c r="I1844" s="148">
        <f>ROUND((F1844*G1844*H1844),0)</f>
        <v>1248</v>
      </c>
      <c r="J1844" s="47"/>
      <c r="K1844" s="143"/>
    </row>
    <row r="1845" spans="2:11" s="317" customFormat="1" ht="12" hidden="1" customHeight="1" x14ac:dyDescent="0.2">
      <c r="B1845" s="319" t="s">
        <v>1678</v>
      </c>
      <c r="C1845" s="319"/>
      <c r="D1845" s="320" t="s">
        <v>266</v>
      </c>
      <c r="E1845" s="319" t="s">
        <v>1435</v>
      </c>
      <c r="F1845" s="332"/>
      <c r="G1845" s="312">
        <f>ROUND(SUM(I1845:I1862),0)</f>
        <v>1045612</v>
      </c>
      <c r="H1845" s="322"/>
      <c r="I1845" s="312"/>
      <c r="J1845" s="313"/>
      <c r="K1845" s="323"/>
    </row>
    <row r="1846" spans="2:11" s="317" customFormat="1" ht="35.25" hidden="1" customHeight="1" x14ac:dyDescent="0.2">
      <c r="B1846" s="691" t="s">
        <v>1035</v>
      </c>
      <c r="C1846" s="322" t="str">
        <f>'LISTA DE INSUMOS'!A46</f>
        <v>MAT017</v>
      </c>
      <c r="D1846" s="324" t="str">
        <f>'LISTA DE INSUMOS'!B46</f>
        <v>Tabla para formaleta de 1" x 10" x 2,9 m</v>
      </c>
      <c r="E1846" s="322" t="str">
        <f>'LISTA DE INSUMOS'!C46</f>
        <v>M</v>
      </c>
      <c r="F1846" s="325">
        <v>3</v>
      </c>
      <c r="G1846" s="312">
        <f>'LISTA DE INSUMOS'!E46</f>
        <v>8112.0359999999991</v>
      </c>
      <c r="H1846" s="322">
        <f>1/3</f>
        <v>0.33333333333333331</v>
      </c>
      <c r="I1846" s="312">
        <f>ROUND((F1846*G1846*H1846),0)</f>
        <v>8112</v>
      </c>
      <c r="J1846" s="313"/>
      <c r="K1846" s="323"/>
    </row>
    <row r="1847" spans="2:11" s="317" customFormat="1" ht="40.5" hidden="1" customHeight="1" x14ac:dyDescent="0.2">
      <c r="B1847" s="691"/>
      <c r="C1847" s="322" t="str">
        <f>'LISTA DE INSUMOS'!A52</f>
        <v>MAT021</v>
      </c>
      <c r="D1847" s="324" t="str">
        <f>'LISTA DE INSUMOS'!B52</f>
        <v>Puntilla (promedio)</v>
      </c>
      <c r="E1847" s="322" t="str">
        <f>'LISTA DE INSUMOS'!C52</f>
        <v>Lb</v>
      </c>
      <c r="F1847" s="325">
        <v>0.2</v>
      </c>
      <c r="G1847" s="312">
        <f>'LISTA DE INSUMOS'!E52</f>
        <v>6690.6972299999998</v>
      </c>
      <c r="H1847" s="322">
        <v>0</v>
      </c>
      <c r="I1847" s="312">
        <f>ROUND((F1847*G1847),0)</f>
        <v>1338</v>
      </c>
      <c r="J1847" s="313"/>
      <c r="K1847" s="323"/>
    </row>
    <row r="1848" spans="2:11" s="317" customFormat="1" ht="38.25" hidden="1" customHeight="1" x14ac:dyDescent="0.2">
      <c r="B1848" s="691"/>
      <c r="C1848" s="322" t="str">
        <f>'LISTA DE INSUMOS'!A589</f>
        <v>MAT606</v>
      </c>
      <c r="D1848" s="324" t="str">
        <f>'LISTA DE INSUMOS'!B589</f>
        <v xml:space="preserve">Tubería galvanizada para cerramiento de 1 1/2" </v>
      </c>
      <c r="E1848" s="322" t="str">
        <f>'LISTA DE INSUMOS'!C589</f>
        <v>M</v>
      </c>
      <c r="F1848" s="325">
        <v>5.8</v>
      </c>
      <c r="G1848" s="312">
        <f>'LISTA DE INSUMOS'!E589</f>
        <v>23143.670091184496</v>
      </c>
      <c r="H1848" s="322">
        <v>1.05</v>
      </c>
      <c r="I1848" s="312">
        <f>ROUND((F1848*G1848*H1848),0)</f>
        <v>140945</v>
      </c>
      <c r="J1848" s="313"/>
      <c r="K1848" s="323"/>
    </row>
    <row r="1849" spans="2:11" s="317" customFormat="1" ht="32.25" hidden="1" customHeight="1" x14ac:dyDescent="0.2">
      <c r="B1849" s="691"/>
      <c r="C1849" s="322" t="str">
        <f>'LISTA DE INSUMOS'!A115</f>
        <v>MAT073</v>
      </c>
      <c r="D1849" s="324" t="str">
        <f>'LISTA DE INSUMOS'!B115</f>
        <v>Pasador metálico de 3"</v>
      </c>
      <c r="E1849" s="322" t="str">
        <f>'LISTA DE INSUMOS'!C115</f>
        <v>Un</v>
      </c>
      <c r="F1849" s="325">
        <v>1</v>
      </c>
      <c r="G1849" s="312">
        <f>'LISTA DE INSUMOS'!E115</f>
        <v>10089.089999999998</v>
      </c>
      <c r="H1849" s="322">
        <v>0</v>
      </c>
      <c r="I1849" s="312">
        <f>ROUND((F1849*G1849),0)</f>
        <v>10089</v>
      </c>
      <c r="J1849" s="313"/>
      <c r="K1849" s="323"/>
    </row>
    <row r="1850" spans="2:11" s="317" customFormat="1" ht="39.75" hidden="1" customHeight="1" x14ac:dyDescent="0.2">
      <c r="B1850" s="691"/>
      <c r="C1850" s="322" t="str">
        <f>'LISTA DE INSUMOS'!A132</f>
        <v>MAT091</v>
      </c>
      <c r="D1850" s="324" t="str">
        <f>'LISTA DE INSUMOS'!B132</f>
        <v>Varillón de sajo</v>
      </c>
      <c r="E1850" s="322" t="str">
        <f>'LISTA DE INSUMOS'!C132</f>
        <v>M</v>
      </c>
      <c r="F1850" s="325">
        <v>1.5</v>
      </c>
      <c r="G1850" s="312">
        <f>'LISTA DE INSUMOS'!E132</f>
        <v>2979.6450687603597</v>
      </c>
      <c r="H1850" s="322">
        <f>1/2</f>
        <v>0.5</v>
      </c>
      <c r="I1850" s="312">
        <f>ROUND((F1850*G1850*H1850),0)</f>
        <v>2235</v>
      </c>
      <c r="J1850" s="313"/>
      <c r="K1850" s="323"/>
    </row>
    <row r="1851" spans="2:11" s="317" customFormat="1" ht="11.25" hidden="1" customHeight="1" x14ac:dyDescent="0.2">
      <c r="B1851" s="691"/>
      <c r="C1851" s="322" t="str">
        <f>'LISTA DE INSUMOS'!A153</f>
        <v>MAT112</v>
      </c>
      <c r="D1851" s="324" t="str">
        <f>'LISTA DE INSUMOS'!B153</f>
        <v>Pintura esmalte para exteriores</v>
      </c>
      <c r="E1851" s="322" t="str">
        <f>'LISTA DE INSUMOS'!C153</f>
        <v>Gl</v>
      </c>
      <c r="F1851" s="325">
        <v>0.9</v>
      </c>
      <c r="G1851" s="312">
        <f>'LISTA DE INSUMOS'!E153</f>
        <v>99769.889999999985</v>
      </c>
      <c r="H1851" s="322">
        <v>1.03</v>
      </c>
      <c r="I1851" s="312">
        <f>ROUND((F1851*G1851*H1851),0)</f>
        <v>92487</v>
      </c>
      <c r="J1851" s="313"/>
      <c r="K1851" s="323"/>
    </row>
    <row r="1852" spans="2:11" s="317" customFormat="1" ht="34.5" hidden="1" customHeight="1" x14ac:dyDescent="0.2">
      <c r="B1852" s="691"/>
      <c r="C1852" s="322" t="str">
        <f>'LISTA DE INSUMOS'!A166</f>
        <v>MAT121</v>
      </c>
      <c r="D1852" s="324" t="str">
        <f>'LISTA DE INSUMOS'!B166</f>
        <v>Bisagra de acero 2"</v>
      </c>
      <c r="E1852" s="322" t="str">
        <f>'LISTA DE INSUMOS'!C166</f>
        <v>Un</v>
      </c>
      <c r="F1852" s="325">
        <v>3</v>
      </c>
      <c r="G1852" s="312">
        <f>'LISTA DE INSUMOS'!E166</f>
        <v>12127.289999999999</v>
      </c>
      <c r="H1852" s="322">
        <v>0</v>
      </c>
      <c r="I1852" s="312">
        <f>ROUND((F1852*G1852),0)</f>
        <v>36382</v>
      </c>
      <c r="J1852" s="313"/>
      <c r="K1852" s="323"/>
    </row>
    <row r="1853" spans="2:11" s="317" customFormat="1" ht="30.75" hidden="1" customHeight="1" x14ac:dyDescent="0.2">
      <c r="B1853" s="691"/>
      <c r="C1853" s="322" t="str">
        <f>'LISTA DE INSUMOS'!A180</f>
        <v>MAT133</v>
      </c>
      <c r="D1853" s="324" t="str">
        <f>'LISTA DE INSUMOS'!B180</f>
        <v>Malla eslabonada 2" x 2" C 13</v>
      </c>
      <c r="E1853" s="322" t="str">
        <f>'LISTA DE INSUMOS'!C180</f>
        <v>M2</v>
      </c>
      <c r="F1853" s="325">
        <v>1.8</v>
      </c>
      <c r="G1853" s="312">
        <f>+'LISTA DE INSUMOS'!E180</f>
        <v>43792.809428939989</v>
      </c>
      <c r="H1853" s="322">
        <v>1.05</v>
      </c>
      <c r="I1853" s="312">
        <f>ROUND((F1853*G1853*H1853),0)</f>
        <v>82768</v>
      </c>
      <c r="J1853" s="313"/>
      <c r="K1853" s="323"/>
    </row>
    <row r="1854" spans="2:11" s="317" customFormat="1" ht="9.75" hidden="1" customHeight="1" x14ac:dyDescent="0.2">
      <c r="B1854" s="691"/>
      <c r="C1854" s="322" t="str">
        <f>'LISTA DE INSUMOS'!A181</f>
        <v>MAT134</v>
      </c>
      <c r="D1854" s="324" t="str">
        <f>'LISTA DE INSUMOS'!B181</f>
        <v>Ángulo de 1" x 1/8"</v>
      </c>
      <c r="E1854" s="322" t="str">
        <f>'LISTA DE INSUMOS'!C181</f>
        <v>M</v>
      </c>
      <c r="F1854" s="325">
        <v>5.8</v>
      </c>
      <c r="G1854" s="312">
        <f>+'LISTA DE INSUMOS'!E181</f>
        <v>8460.7605347429999</v>
      </c>
      <c r="H1854" s="322">
        <v>1.1000000000000001</v>
      </c>
      <c r="I1854" s="312">
        <f>ROUND((F1854*G1854*H1854),0)</f>
        <v>53980</v>
      </c>
      <c r="J1854" s="313"/>
      <c r="K1854" s="323"/>
    </row>
    <row r="1855" spans="2:11" s="317" customFormat="1" ht="30.75" hidden="1" customHeight="1" thickBot="1" x14ac:dyDescent="0.25">
      <c r="B1855" s="734"/>
      <c r="C1855" s="322" t="str">
        <f>'LISTA DE INSUMOS'!A213</f>
        <v>MAT177</v>
      </c>
      <c r="D1855" s="324" t="str">
        <f>'LISTA DE INSUMOS'!B213</f>
        <v>Soldadura para hierro estructural</v>
      </c>
      <c r="E1855" s="322" t="str">
        <f>'LISTA DE INSUMOS'!C213</f>
        <v>Kg</v>
      </c>
      <c r="F1855" s="325">
        <v>0.4</v>
      </c>
      <c r="G1855" s="312">
        <f>'LISTA DE INSUMOS'!E213</f>
        <v>14247.017999999998</v>
      </c>
      <c r="H1855" s="322">
        <v>1.05</v>
      </c>
      <c r="I1855" s="312">
        <f>ROUND((F1855*G1855*H1855),0)</f>
        <v>5984</v>
      </c>
      <c r="J1855" s="313"/>
      <c r="K1855" s="323"/>
    </row>
    <row r="1856" spans="2:11" s="317" customFormat="1" ht="36.75" hidden="1" customHeight="1" thickTop="1" x14ac:dyDescent="0.2">
      <c r="B1856" s="733" t="s">
        <v>1310</v>
      </c>
      <c r="C1856" s="322" t="str">
        <f>+B115</f>
        <v>ITE024</v>
      </c>
      <c r="D1856" s="324" t="str">
        <f>+D115</f>
        <v>Excavación en material común seco de 0 - 1,5 m manual</v>
      </c>
      <c r="E1856" s="322" t="str">
        <f>E115</f>
        <v>M3</v>
      </c>
      <c r="F1856" s="325">
        <v>0.14000000000000001</v>
      </c>
      <c r="G1856" s="312">
        <f>G115</f>
        <v>32745</v>
      </c>
      <c r="H1856" s="322">
        <v>0</v>
      </c>
      <c r="I1856" s="312">
        <f>ROUND((F1856*G1856),0)</f>
        <v>4584</v>
      </c>
      <c r="J1856" s="313"/>
      <c r="K1856" s="323"/>
    </row>
    <row r="1857" spans="2:11" s="317" customFormat="1" ht="25.5" hidden="1" customHeight="1" x14ac:dyDescent="0.2">
      <c r="B1857" s="714"/>
      <c r="C1857" s="322" t="str">
        <f>+B544</f>
        <v>ITE092</v>
      </c>
      <c r="D1857" s="324" t="str">
        <f>+D544</f>
        <v>Concreto de 20,7 Mpa (3000 psi) (producción)</v>
      </c>
      <c r="E1857" s="322" t="str">
        <f>E544</f>
        <v>M3</v>
      </c>
      <c r="F1857" s="325">
        <v>0.2</v>
      </c>
      <c r="G1857" s="312">
        <f>G544</f>
        <v>596118</v>
      </c>
      <c r="H1857" s="322">
        <v>1.05</v>
      </c>
      <c r="I1857" s="312">
        <f>ROUND((F1857*G1857*H1857),0)</f>
        <v>125185</v>
      </c>
      <c r="J1857" s="313"/>
      <c r="K1857" s="323"/>
    </row>
    <row r="1858" spans="2:11" s="317" customFormat="1" ht="35.25" hidden="1" customHeight="1" thickBot="1" x14ac:dyDescent="0.25">
      <c r="B1858" s="714"/>
      <c r="C1858" s="322" t="str">
        <f>+B587</f>
        <v>ITE98</v>
      </c>
      <c r="D1858" s="320" t="str">
        <f>+D587</f>
        <v>Acero Fy = 60.000 psi d&gt;1/4"</v>
      </c>
      <c r="E1858" s="322" t="str">
        <f>E587</f>
        <v>Kg</v>
      </c>
      <c r="F1858" s="325">
        <f>22+13</f>
        <v>35</v>
      </c>
      <c r="G1858" s="312">
        <f>G587</f>
        <v>7240</v>
      </c>
      <c r="H1858" s="349">
        <v>0</v>
      </c>
      <c r="I1858" s="312">
        <f>ROUND((F1858*G1858),0)</f>
        <v>253400</v>
      </c>
      <c r="J1858" s="313"/>
      <c r="K1858" s="323"/>
    </row>
    <row r="1859" spans="2:11" s="317" customFormat="1" ht="33" hidden="1" customHeight="1" thickTop="1" x14ac:dyDescent="0.2">
      <c r="B1859" s="655" t="s">
        <v>1034</v>
      </c>
      <c r="C1859" s="322" t="str">
        <f>'LISTA DE INSUMOS'!A9</f>
        <v>MOB006</v>
      </c>
      <c r="D1859" s="324" t="str">
        <f>'LISTA DE INSUMOS'!B9</f>
        <v>Cuadrilla A 1 Of + 4 Ay (jornal + prestaciones)</v>
      </c>
      <c r="E1859" s="322" t="str">
        <f>'LISTA DE INSUMOS'!C9</f>
        <v>Día</v>
      </c>
      <c r="F1859" s="325">
        <v>1</v>
      </c>
      <c r="G1859" s="312">
        <f>'LISTA DE INSUMOS'!E9</f>
        <v>491167</v>
      </c>
      <c r="H1859" s="322">
        <f>1/3</f>
        <v>0.33333333333333331</v>
      </c>
      <c r="I1859" s="312">
        <f>ROUND((F1859*G1859*H1859),0)</f>
        <v>163722</v>
      </c>
      <c r="J1859" s="313"/>
      <c r="K1859" s="323"/>
    </row>
    <row r="1860" spans="2:11" s="317" customFormat="1" ht="33" hidden="1" customHeight="1" thickBot="1" x14ac:dyDescent="0.25">
      <c r="B1860" s="656"/>
      <c r="C1860" s="322" t="str">
        <f>'LISTA DE INSUMOS'!A12</f>
        <v>MOB009</v>
      </c>
      <c r="D1860" s="339" t="str">
        <f>'LISTA DE INSUMOS'!B12</f>
        <v>Cuadrilla S (1Sold.+1Ay práctico) (jornal + prestaciones)</v>
      </c>
      <c r="E1860" s="322" t="str">
        <f>'LISTA DE INSUMOS'!C12</f>
        <v>Día</v>
      </c>
      <c r="F1860" s="325">
        <v>1</v>
      </c>
      <c r="G1860" s="312">
        <f>'LISTA DE INSUMOS'!E12</f>
        <v>261957</v>
      </c>
      <c r="H1860" s="322">
        <f>1/6</f>
        <v>0.16666666666666666</v>
      </c>
      <c r="I1860" s="312">
        <f>ROUND((F1860*G1860*H1860),0)</f>
        <v>43660</v>
      </c>
      <c r="J1860" s="313"/>
      <c r="K1860" s="323"/>
    </row>
    <row r="1861" spans="2:11" s="317" customFormat="1" ht="30" hidden="1" customHeight="1" thickTop="1" x14ac:dyDescent="0.2">
      <c r="B1861" s="652" t="s">
        <v>1033</v>
      </c>
      <c r="C1861" s="338" t="str">
        <f>'LISTA DE INSUMOS'!A796</f>
        <v>EQU039</v>
      </c>
      <c r="D1861" s="339" t="str">
        <f>'LISTA DE INSUMOS'!B796</f>
        <v>Equipo soldadura eléctrica</v>
      </c>
      <c r="E1861" s="338" t="str">
        <f>'LISTA DE INSUMOS'!C796</f>
        <v>Día</v>
      </c>
      <c r="F1861" s="325">
        <v>1</v>
      </c>
      <c r="G1861" s="341">
        <f>'LISTA DE INSUMOS'!E796</f>
        <v>43693.897103999996</v>
      </c>
      <c r="H1861" s="322">
        <f>1/10</f>
        <v>0.1</v>
      </c>
      <c r="I1861" s="312">
        <f>ROUND((F1861*G1861*H1861),0)</f>
        <v>4369</v>
      </c>
      <c r="J1861" s="313"/>
      <c r="K1861" s="323"/>
    </row>
    <row r="1862" spans="2:11" s="317" customFormat="1" ht="29.25" hidden="1" customHeight="1" thickBot="1" x14ac:dyDescent="0.25">
      <c r="B1862" s="653"/>
      <c r="C1862" s="327" t="str">
        <f>'LISTA DE INSUMOS'!A758</f>
        <v>EQU002</v>
      </c>
      <c r="D1862" s="328" t="str">
        <f>'LISTA DE INSUMOS'!B758</f>
        <v>Herramienta menor (% mano obra)</v>
      </c>
      <c r="E1862" s="329" t="str">
        <f>'LISTA DE INSUMOS'!C758</f>
        <v>%MO</v>
      </c>
      <c r="F1862" s="330">
        <v>0.1</v>
      </c>
      <c r="G1862" s="331">
        <f>I1859</f>
        <v>163722</v>
      </c>
      <c r="H1862" s="329">
        <v>0</v>
      </c>
      <c r="I1862" s="331">
        <f>ROUND((F1862*G1862),0)</f>
        <v>16372</v>
      </c>
      <c r="J1862" s="313"/>
      <c r="K1862" s="323"/>
    </row>
    <row r="1863" spans="2:11" ht="24.9" customHeight="1" x14ac:dyDescent="0.2">
      <c r="B1863" s="117" t="s">
        <v>1901</v>
      </c>
      <c r="C1863" s="117"/>
      <c r="D1863" s="112" t="s">
        <v>277</v>
      </c>
      <c r="E1863" s="117" t="s">
        <v>2585</v>
      </c>
      <c r="F1863" s="149"/>
      <c r="G1863" s="119">
        <f>ROUND(SUM(I1863:I1868),0)</f>
        <v>103482</v>
      </c>
      <c r="H1863" s="120"/>
      <c r="I1863" s="119"/>
      <c r="J1863" s="47"/>
      <c r="K1863" s="143"/>
    </row>
    <row r="1864" spans="2:11" ht="24.9" customHeight="1" thickBot="1" x14ac:dyDescent="0.25">
      <c r="B1864" s="175" t="s">
        <v>1325</v>
      </c>
      <c r="C1864" s="108" t="str">
        <f>'LISTA DE INSUMOS'!A198</f>
        <v>MAT158</v>
      </c>
      <c r="D1864" s="139" t="str">
        <f>'LISTA DE INSUMOS'!B198</f>
        <v>Bloque de cemento de 0,14 x 0,19 x 0,39 m</v>
      </c>
      <c r="E1864" s="108" t="str">
        <f>'LISTA DE INSUMOS'!C198</f>
        <v>Un</v>
      </c>
      <c r="F1864" s="140">
        <v>13</v>
      </c>
      <c r="G1864" s="141">
        <f>'LISTA DE INSUMOS'!E198</f>
        <v>4069.5101196749997</v>
      </c>
      <c r="H1864" s="108">
        <v>1.05</v>
      </c>
      <c r="I1864" s="141">
        <f>ROUND((F1864*G1864*H1864),0)</f>
        <v>55549</v>
      </c>
      <c r="J1864" s="47"/>
      <c r="K1864" s="143"/>
    </row>
    <row r="1865" spans="2:11" ht="24.9" customHeight="1" thickTop="1" thickBot="1" x14ac:dyDescent="0.25">
      <c r="B1865" s="191" t="s">
        <v>1310</v>
      </c>
      <c r="C1865" s="108" t="str">
        <f>B574</f>
        <v>ITE96</v>
      </c>
      <c r="D1865" s="139" t="str">
        <f>D574</f>
        <v>Mortero 1:3 (producción)</v>
      </c>
      <c r="E1865" s="108" t="str">
        <f>E574</f>
        <v>M3</v>
      </c>
      <c r="F1865" s="140">
        <v>0.04</v>
      </c>
      <c r="G1865" s="141">
        <f>G574</f>
        <v>580906</v>
      </c>
      <c r="H1865" s="108">
        <v>1.05</v>
      </c>
      <c r="I1865" s="141">
        <f>ROUND((F1865*G1865*H1865),0)</f>
        <v>24398</v>
      </c>
      <c r="J1865" s="47"/>
      <c r="K1865" s="143"/>
    </row>
    <row r="1866" spans="2:11" ht="24.9" customHeight="1" thickTop="1" thickBot="1" x14ac:dyDescent="0.25">
      <c r="B1866" s="153" t="s">
        <v>1034</v>
      </c>
      <c r="C1866" s="108" t="str">
        <f>'LISTA DE INSUMOS'!A18</f>
        <v>MOB015</v>
      </c>
      <c r="D1866" s="139" t="str">
        <f>'LISTA DE INSUMOS'!B18</f>
        <v>Cuadrilla E 1 Of + 1 Ay (jornal + prestaciones)</v>
      </c>
      <c r="E1866" s="108" t="str">
        <f>'LISTA DE INSUMOS'!C18</f>
        <v>Día</v>
      </c>
      <c r="F1866" s="140">
        <v>1</v>
      </c>
      <c r="G1866" s="141">
        <f>'LISTA DE INSUMOS'!E18</f>
        <v>245584</v>
      </c>
      <c r="H1866" s="108">
        <f>1/12</f>
        <v>8.3333333333333329E-2</v>
      </c>
      <c r="I1866" s="141">
        <f>ROUND((F1866*G1866*H1866),0)</f>
        <v>20465</v>
      </c>
      <c r="J1866" s="47"/>
      <c r="K1866" s="143"/>
    </row>
    <row r="1867" spans="2:11" ht="24.9" customHeight="1" thickTop="1" x14ac:dyDescent="0.2">
      <c r="B1867" s="674" t="s">
        <v>1033</v>
      </c>
      <c r="C1867" s="108" t="str">
        <f>'LISTA DE INSUMOS'!A758</f>
        <v>EQU002</v>
      </c>
      <c r="D1867" s="139" t="str">
        <f>'LISTA DE INSUMOS'!B758</f>
        <v>Herramienta menor (% mano obra)</v>
      </c>
      <c r="E1867" s="108" t="str">
        <f>'LISTA DE INSUMOS'!C758</f>
        <v>%MO</v>
      </c>
      <c r="F1867" s="140">
        <v>0.1</v>
      </c>
      <c r="G1867" s="141">
        <f>I1866</f>
        <v>20465</v>
      </c>
      <c r="H1867" s="108">
        <v>0</v>
      </c>
      <c r="I1867" s="141">
        <f>ROUND((F1867*G1867),0)</f>
        <v>2047</v>
      </c>
      <c r="J1867" s="47"/>
      <c r="K1867" s="143"/>
    </row>
    <row r="1868" spans="2:11" ht="24.9" customHeight="1" thickBot="1" x14ac:dyDescent="0.25">
      <c r="B1868" s="709"/>
      <c r="C1868" s="145" t="str">
        <f>'LISTA DE INSUMOS'!A762</f>
        <v>EQU006</v>
      </c>
      <c r="D1868" s="146" t="str">
        <f>'LISTA DE INSUMOS'!B762</f>
        <v>Andamio (% mano obra)</v>
      </c>
      <c r="E1868" s="145" t="str">
        <f>'LISTA DE INSUMOS'!C762</f>
        <v>%MO</v>
      </c>
      <c r="F1868" s="147">
        <v>0.05</v>
      </c>
      <c r="G1868" s="148">
        <f>I1866</f>
        <v>20465</v>
      </c>
      <c r="H1868" s="145">
        <v>0</v>
      </c>
      <c r="I1868" s="148">
        <f>ROUND((F1868*G1868),0)</f>
        <v>1023</v>
      </c>
      <c r="J1868" s="47"/>
      <c r="K1868" s="143"/>
    </row>
    <row r="1869" spans="2:11" s="317" customFormat="1" ht="24.9" hidden="1" customHeight="1" x14ac:dyDescent="0.2">
      <c r="B1869" s="319" t="s">
        <v>2061</v>
      </c>
      <c r="C1869" s="319"/>
      <c r="D1869" s="320" t="s">
        <v>1842</v>
      </c>
      <c r="E1869" s="319" t="s">
        <v>2585</v>
      </c>
      <c r="F1869" s="321"/>
      <c r="G1869" s="312">
        <f>ROUND(SUM(I1869:I1875),0)</f>
        <v>76006</v>
      </c>
      <c r="H1869" s="322"/>
      <c r="I1869" s="312"/>
      <c r="J1869" s="313"/>
      <c r="K1869" s="323"/>
    </row>
    <row r="1870" spans="2:11" s="317" customFormat="1" ht="24.9" hidden="1" customHeight="1" x14ac:dyDescent="0.2">
      <c r="B1870" s="730" t="s">
        <v>1035</v>
      </c>
      <c r="C1870" s="322" t="str">
        <f>'LISTA DE INSUMOS'!A30</f>
        <v>MAT001</v>
      </c>
      <c r="D1870" s="324" t="str">
        <f>'LISTA DE INSUMOS'!B30</f>
        <v>Cemento gris saco por 50 kilos, incluye cargue, descargue y transporte</v>
      </c>
      <c r="E1870" s="322" t="str">
        <f>'LISTA DE INSUMOS'!C30</f>
        <v>Sc</v>
      </c>
      <c r="F1870" s="325">
        <v>0.15</v>
      </c>
      <c r="G1870" s="312">
        <f>'LISTA DE INSUMOS'!E30</f>
        <v>34500</v>
      </c>
      <c r="H1870" s="322">
        <v>1.05</v>
      </c>
      <c r="I1870" s="312">
        <f>ROUND((F1870*G1870*H1870),0)</f>
        <v>5434</v>
      </c>
      <c r="J1870" s="313"/>
      <c r="K1870" s="323"/>
    </row>
    <row r="1871" spans="2:11" s="317" customFormat="1" ht="24.9" hidden="1" customHeight="1" x14ac:dyDescent="0.2">
      <c r="B1871" s="730"/>
      <c r="C1871" s="322" t="str">
        <f>'LISTA DE INSUMOS'!A203</f>
        <v>MAT162</v>
      </c>
      <c r="D1871" s="324" t="str">
        <f>'LISTA DE INSUMOS'!B203</f>
        <v>Tableta tipo Tradicional de 0,30 x 0,30 m</v>
      </c>
      <c r="E1871" s="322" t="str">
        <f>'LISTA DE INSUMOS'!C203</f>
        <v>M2</v>
      </c>
      <c r="F1871" s="325">
        <v>1</v>
      </c>
      <c r="G1871" s="312">
        <f>'LISTA DE INSUMOS'!E203</f>
        <v>31975.109941267347</v>
      </c>
      <c r="H1871" s="322">
        <v>1.1000000000000001</v>
      </c>
      <c r="I1871" s="312">
        <f>ROUND((F1871*G1871*H1871),0)</f>
        <v>35173</v>
      </c>
      <c r="J1871" s="313"/>
      <c r="K1871" s="323"/>
    </row>
    <row r="1872" spans="2:11" s="317" customFormat="1" ht="24.9" hidden="1" customHeight="1" x14ac:dyDescent="0.2">
      <c r="B1872" s="730"/>
      <c r="C1872" s="338" t="str">
        <f>'LISTA DE INSUMOS'!A618</f>
        <v>MAT634</v>
      </c>
      <c r="D1872" s="339" t="str">
        <f>'LISTA DE INSUMOS'!B618</f>
        <v>Boquilla para enchape</v>
      </c>
      <c r="E1872" s="322" t="str">
        <f>'LISTA DE INSUMOS'!C618</f>
        <v>Kg</v>
      </c>
      <c r="F1872" s="325">
        <v>0.35</v>
      </c>
      <c r="G1872" s="312">
        <f>'LISTA DE INSUMOS'!E618</f>
        <v>6158.7571953599981</v>
      </c>
      <c r="H1872" s="322">
        <v>1.05</v>
      </c>
      <c r="I1872" s="312">
        <f>ROUND((F1872*G1872*H1872),0)</f>
        <v>2263</v>
      </c>
      <c r="J1872" s="313"/>
      <c r="K1872" s="323"/>
    </row>
    <row r="1873" spans="2:11" s="317" customFormat="1" ht="24.9" hidden="1" customHeight="1" thickBot="1" x14ac:dyDescent="0.25">
      <c r="B1873" s="731"/>
      <c r="C1873" s="322" t="str">
        <f>'LISTA DE INSUMOS'!A515</f>
        <v>MAT532</v>
      </c>
      <c r="D1873" s="324" t="str">
        <f>'LISTA DE INSUMOS'!B515</f>
        <v>Fijador de cerámica tipo pegacor o similar</v>
      </c>
      <c r="E1873" s="322" t="str">
        <f>'LISTA DE INSUMOS'!C515</f>
        <v>Kg</v>
      </c>
      <c r="F1873" s="325">
        <v>4</v>
      </c>
      <c r="G1873" s="312">
        <f>'LISTA DE INSUMOS'!E515</f>
        <v>1457.6318472728572</v>
      </c>
      <c r="H1873" s="322">
        <v>1.05</v>
      </c>
      <c r="I1873" s="312">
        <f>ROUND((F1873*G1873*H1873),0)</f>
        <v>6122</v>
      </c>
      <c r="J1873" s="313"/>
      <c r="K1873" s="323"/>
    </row>
    <row r="1874" spans="2:11" s="317" customFormat="1" ht="24.9" hidden="1" customHeight="1" thickTop="1" thickBot="1" x14ac:dyDescent="0.25">
      <c r="B1874" s="363" t="s">
        <v>1034</v>
      </c>
      <c r="C1874" s="322" t="str">
        <f>'LISTA DE INSUMOS'!A18</f>
        <v>MOB015</v>
      </c>
      <c r="D1874" s="324" t="str">
        <f>'LISTA DE INSUMOS'!B18</f>
        <v>Cuadrilla E 1 Of + 1 Ay (jornal + prestaciones)</v>
      </c>
      <c r="E1874" s="322" t="str">
        <f>'LISTA DE INSUMOS'!C18</f>
        <v>Día</v>
      </c>
      <c r="F1874" s="325">
        <v>1</v>
      </c>
      <c r="G1874" s="312">
        <f>+'LISTA DE INSUMOS'!E18</f>
        <v>245584</v>
      </c>
      <c r="H1874" s="322">
        <f>1/10</f>
        <v>0.1</v>
      </c>
      <c r="I1874" s="312">
        <f>ROUND((F1874*G1874*H1874),0)</f>
        <v>24558</v>
      </c>
      <c r="J1874" s="313"/>
      <c r="K1874" s="323"/>
    </row>
    <row r="1875" spans="2:11" s="317" customFormat="1" ht="24.9" hidden="1" customHeight="1" thickTop="1" thickBot="1" x14ac:dyDescent="0.25">
      <c r="B1875" s="255" t="s">
        <v>1033</v>
      </c>
      <c r="C1875" s="327" t="str">
        <f>'LISTA DE INSUMOS'!A758</f>
        <v>EQU002</v>
      </c>
      <c r="D1875" s="328" t="str">
        <f>'LISTA DE INSUMOS'!B758</f>
        <v>Herramienta menor (% mano obra)</v>
      </c>
      <c r="E1875" s="329" t="str">
        <f>'LISTA DE INSUMOS'!C758</f>
        <v>%MO</v>
      </c>
      <c r="F1875" s="330">
        <v>0.1</v>
      </c>
      <c r="G1875" s="331">
        <f>I1874</f>
        <v>24558</v>
      </c>
      <c r="H1875" s="329">
        <v>0</v>
      </c>
      <c r="I1875" s="331">
        <f>ROUND((F1875*G1875),0)</f>
        <v>2456</v>
      </c>
      <c r="J1875" s="313"/>
      <c r="K1875" s="323"/>
    </row>
    <row r="1876" spans="2:11" ht="24.9" customHeight="1" x14ac:dyDescent="0.2">
      <c r="B1876" s="117" t="s">
        <v>1411</v>
      </c>
      <c r="C1876" s="117"/>
      <c r="D1876" s="112" t="s">
        <v>436</v>
      </c>
      <c r="E1876" s="117" t="s">
        <v>2585</v>
      </c>
      <c r="F1876" s="118"/>
      <c r="G1876" s="119">
        <f>ROUND(SUM(I1876:I1882),0)</f>
        <v>98772</v>
      </c>
      <c r="H1876" s="120"/>
      <c r="I1876" s="119"/>
      <c r="J1876" s="47"/>
      <c r="K1876" s="143"/>
    </row>
    <row r="1877" spans="2:11" ht="24.9" customHeight="1" x14ac:dyDescent="0.2">
      <c r="B1877" s="672" t="s">
        <v>1035</v>
      </c>
      <c r="C1877" s="108" t="str">
        <f>'LISTA DE INSUMOS'!A32</f>
        <v>MAT003</v>
      </c>
      <c r="D1877" s="139" t="str">
        <f>'LISTA DE INSUMOS'!B32</f>
        <v>Arena</v>
      </c>
      <c r="E1877" s="108" t="str">
        <f>'LISTA DE INSUMOS'!C32</f>
        <v>M3</v>
      </c>
      <c r="F1877" s="140">
        <v>0.06</v>
      </c>
      <c r="G1877" s="141">
        <f>'LISTA DE INSUMOS'!E32</f>
        <v>112536.56002875</v>
      </c>
      <c r="H1877" s="108">
        <v>1.05</v>
      </c>
      <c r="I1877" s="141">
        <f>ROUND((F1877*G1877*H1877),0)</f>
        <v>7090</v>
      </c>
      <c r="J1877" s="47"/>
      <c r="K1877" s="143"/>
    </row>
    <row r="1878" spans="2:11" ht="24.9" customHeight="1" x14ac:dyDescent="0.2">
      <c r="B1878" s="672"/>
      <c r="C1878" s="108" t="str">
        <f>'LISTA DE INSUMOS'!A42</f>
        <v>MAT013</v>
      </c>
      <c r="D1878" s="139" t="str">
        <f>'LISTA DE INSUMOS'!B42</f>
        <v xml:space="preserve">Agua </v>
      </c>
      <c r="E1878" s="108" t="str">
        <f>'LISTA DE INSUMOS'!C42</f>
        <v>Lt</v>
      </c>
      <c r="F1878" s="140">
        <v>10</v>
      </c>
      <c r="G1878" s="141">
        <f>'LISTA DE INSUMOS'!E42</f>
        <v>96.828790046226644</v>
      </c>
      <c r="H1878" s="108">
        <v>0</v>
      </c>
      <c r="I1878" s="141">
        <f>ROUND((F1878*G1878),0)</f>
        <v>968</v>
      </c>
      <c r="J1878" s="47"/>
      <c r="K1878" s="143"/>
    </row>
    <row r="1879" spans="2:11" ht="24.9" customHeight="1" thickBot="1" x14ac:dyDescent="0.25">
      <c r="B1879" s="673"/>
      <c r="C1879" s="108" t="str">
        <f>'LISTA DE INSUMOS'!A212</f>
        <v>MAT175</v>
      </c>
      <c r="D1879" s="139" t="str">
        <f>'LISTA DE INSUMOS'!B212</f>
        <v>Adoquín vehicular gris de concreto e = 0,06 m</v>
      </c>
      <c r="E1879" s="108" t="str">
        <f>'LISTA DE INSUMOS'!C212</f>
        <v>M2</v>
      </c>
      <c r="F1879" s="140">
        <v>1</v>
      </c>
      <c r="G1879" s="141">
        <f>'LISTA DE INSUMOS'!E212</f>
        <v>52643.227075909796</v>
      </c>
      <c r="H1879" s="108">
        <v>1.1000000000000001</v>
      </c>
      <c r="I1879" s="141">
        <f>ROUND((F1879*G1879*H1879),0)</f>
        <v>57908</v>
      </c>
      <c r="J1879" s="47"/>
      <c r="K1879" s="143"/>
    </row>
    <row r="1880" spans="2:11" ht="24" customHeight="1" thickTop="1" thickBot="1" x14ac:dyDescent="0.25">
      <c r="B1880" s="153" t="s">
        <v>1034</v>
      </c>
      <c r="C1880" s="108" t="str">
        <f>'LISTA DE INSUMOS'!A20</f>
        <v>MOB017</v>
      </c>
      <c r="D1880" s="139" t="str">
        <f>'LISTA DE INSUMOS'!B20</f>
        <v>Cuadrilla G 1 Of + 2 Ay (jornal + prestaciones)</v>
      </c>
      <c r="E1880" s="108" t="str">
        <f>'LISTA DE INSUMOS'!C20</f>
        <v>Día</v>
      </c>
      <c r="F1880" s="140">
        <v>1</v>
      </c>
      <c r="G1880" s="141">
        <f>'LISTA DE INSUMOS'!E20</f>
        <v>327445</v>
      </c>
      <c r="H1880" s="108">
        <f>1/12</f>
        <v>8.3333333333333329E-2</v>
      </c>
      <c r="I1880" s="141">
        <f>ROUND((F1880*G1880*H1880),0)</f>
        <v>27287</v>
      </c>
      <c r="J1880" s="47"/>
      <c r="K1880" s="143"/>
    </row>
    <row r="1881" spans="2:11" ht="24" customHeight="1" thickTop="1" x14ac:dyDescent="0.2">
      <c r="B1881" s="674" t="s">
        <v>1033</v>
      </c>
      <c r="C1881" s="108" t="str">
        <f>'LISTA DE INSUMOS'!A769</f>
        <v>EQU012</v>
      </c>
      <c r="D1881" s="139" t="str">
        <f>'LISTA DE INSUMOS'!B769</f>
        <v xml:space="preserve">Vibrocompactador manual </v>
      </c>
      <c r="E1881" s="108" t="str">
        <f>'LISTA DE INSUMOS'!C769</f>
        <v>Día</v>
      </c>
      <c r="F1881" s="140">
        <v>1</v>
      </c>
      <c r="G1881" s="141">
        <f>'LISTA DE INSUMOS'!E769</f>
        <v>83697.986602732781</v>
      </c>
      <c r="H1881" s="108">
        <f>1/30</f>
        <v>3.3333333333333333E-2</v>
      </c>
      <c r="I1881" s="141">
        <f>ROUND((F1881*G1881*H1881),0)</f>
        <v>2790</v>
      </c>
      <c r="J1881" s="47"/>
      <c r="K1881" s="143"/>
    </row>
    <row r="1882" spans="2:11" ht="24" customHeight="1" thickBot="1" x14ac:dyDescent="0.25">
      <c r="B1882" s="709"/>
      <c r="C1882" s="145" t="str">
        <f>'LISTA DE INSUMOS'!A758</f>
        <v>EQU002</v>
      </c>
      <c r="D1882" s="146" t="str">
        <f>'LISTA DE INSUMOS'!B758</f>
        <v>Herramienta menor (% mano obra)</v>
      </c>
      <c r="E1882" s="145" t="str">
        <f>'LISTA DE INSUMOS'!C758</f>
        <v>%MO</v>
      </c>
      <c r="F1882" s="147">
        <v>0.1</v>
      </c>
      <c r="G1882" s="148">
        <f>I1880</f>
        <v>27287</v>
      </c>
      <c r="H1882" s="145">
        <v>0</v>
      </c>
      <c r="I1882" s="148">
        <f>ROUND((F1882*G1882),0)</f>
        <v>2729</v>
      </c>
      <c r="J1882" s="47"/>
      <c r="K1882" s="143"/>
    </row>
    <row r="1883" spans="2:11" ht="24" customHeight="1" x14ac:dyDescent="0.2">
      <c r="B1883" s="117" t="s">
        <v>190</v>
      </c>
      <c r="C1883" s="117"/>
      <c r="D1883" s="112" t="s">
        <v>437</v>
      </c>
      <c r="E1883" s="117" t="s">
        <v>2585</v>
      </c>
      <c r="F1883" s="118"/>
      <c r="G1883" s="119">
        <f>ROUND(SUM(I1883:I1889),0)</f>
        <v>87383</v>
      </c>
      <c r="H1883" s="120"/>
      <c r="I1883" s="119"/>
      <c r="J1883" s="47"/>
      <c r="K1883" s="143"/>
    </row>
    <row r="1884" spans="2:11" ht="24.9" customHeight="1" x14ac:dyDescent="0.2">
      <c r="B1884" s="672" t="s">
        <v>1035</v>
      </c>
      <c r="C1884" s="108" t="str">
        <f>'LISTA DE INSUMOS'!A32</f>
        <v>MAT003</v>
      </c>
      <c r="D1884" s="139" t="str">
        <f>'LISTA DE INSUMOS'!B32</f>
        <v>Arena</v>
      </c>
      <c r="E1884" s="108" t="str">
        <f>'LISTA DE INSUMOS'!C32</f>
        <v>M3</v>
      </c>
      <c r="F1884" s="140">
        <v>0.06</v>
      </c>
      <c r="G1884" s="141">
        <f>'LISTA DE INSUMOS'!E32</f>
        <v>112536.56002875</v>
      </c>
      <c r="H1884" s="108">
        <v>1.05</v>
      </c>
      <c r="I1884" s="141">
        <f>ROUND((F1884*G1884*H1884),0)</f>
        <v>7090</v>
      </c>
      <c r="J1884" s="47"/>
      <c r="K1884" s="143"/>
    </row>
    <row r="1885" spans="2:11" ht="24.9" customHeight="1" x14ac:dyDescent="0.2">
      <c r="B1885" s="672"/>
      <c r="C1885" s="108" t="str">
        <f>'LISTA DE INSUMOS'!A42</f>
        <v>MAT013</v>
      </c>
      <c r="D1885" s="139" t="str">
        <f>'LISTA DE INSUMOS'!B42</f>
        <v xml:space="preserve">Agua </v>
      </c>
      <c r="E1885" s="108" t="str">
        <f>'LISTA DE INSUMOS'!C42</f>
        <v>Lt</v>
      </c>
      <c r="F1885" s="140">
        <v>10</v>
      </c>
      <c r="G1885" s="141">
        <f>'LISTA DE INSUMOS'!E42</f>
        <v>96.828790046226644</v>
      </c>
      <c r="H1885" s="108">
        <v>0</v>
      </c>
      <c r="I1885" s="141">
        <f>ROUND((F1885*G1885),0)</f>
        <v>968</v>
      </c>
      <c r="J1885" s="47"/>
      <c r="K1885" s="143"/>
    </row>
    <row r="1886" spans="2:11" ht="24.9" customHeight="1" thickBot="1" x14ac:dyDescent="0.25">
      <c r="B1886" s="673"/>
      <c r="C1886" s="108" t="str">
        <f>'LISTA DE INSUMOS'!A206</f>
        <v>MAT166</v>
      </c>
      <c r="D1886" s="139" t="str">
        <f>'LISTA DE INSUMOS'!B206</f>
        <v>Adoquín peatonal gris de concreto e = 0,06 m</v>
      </c>
      <c r="E1886" s="108" t="str">
        <f>'LISTA DE INSUMOS'!C206</f>
        <v>M2</v>
      </c>
      <c r="F1886" s="140">
        <v>1</v>
      </c>
      <c r="G1886" s="141">
        <f>'LISTA DE INSUMOS'!E206</f>
        <v>42289.70762645475</v>
      </c>
      <c r="H1886" s="108">
        <v>1.1000000000000001</v>
      </c>
      <c r="I1886" s="141">
        <f>ROUND((F1886*G1886*H1886),0)</f>
        <v>46519</v>
      </c>
      <c r="J1886" s="47"/>
      <c r="K1886" s="143"/>
    </row>
    <row r="1887" spans="2:11" ht="24.9" customHeight="1" thickTop="1" thickBot="1" x14ac:dyDescent="0.25">
      <c r="B1887" s="153" t="s">
        <v>1034</v>
      </c>
      <c r="C1887" s="108" t="str">
        <f>'LISTA DE INSUMOS'!A20</f>
        <v>MOB017</v>
      </c>
      <c r="D1887" s="139" t="str">
        <f>'LISTA DE INSUMOS'!B20</f>
        <v>Cuadrilla G 1 Of + 2 Ay (jornal + prestaciones)</v>
      </c>
      <c r="E1887" s="108" t="str">
        <f>'LISTA DE INSUMOS'!C20</f>
        <v>Día</v>
      </c>
      <c r="F1887" s="140">
        <v>1</v>
      </c>
      <c r="G1887" s="141">
        <f>'LISTA DE INSUMOS'!E20</f>
        <v>327445</v>
      </c>
      <c r="H1887" s="108">
        <f>1/12</f>
        <v>8.3333333333333329E-2</v>
      </c>
      <c r="I1887" s="141">
        <f>ROUND((F1887*G1887*H1887),0)</f>
        <v>27287</v>
      </c>
      <c r="J1887" s="47"/>
      <c r="K1887" s="143"/>
    </row>
    <row r="1888" spans="2:11" ht="24.9" customHeight="1" thickTop="1" x14ac:dyDescent="0.2">
      <c r="B1888" s="674" t="s">
        <v>1033</v>
      </c>
      <c r="C1888" s="108" t="str">
        <f>'LISTA DE INSUMOS'!A769</f>
        <v>EQU012</v>
      </c>
      <c r="D1888" s="139" t="str">
        <f>'LISTA DE INSUMOS'!B769</f>
        <v xml:space="preserve">Vibrocompactador manual </v>
      </c>
      <c r="E1888" s="108" t="str">
        <f>'LISTA DE INSUMOS'!C769</f>
        <v>Día</v>
      </c>
      <c r="F1888" s="140">
        <v>1</v>
      </c>
      <c r="G1888" s="141">
        <f>'LISTA DE INSUMOS'!E769</f>
        <v>83697.986602732781</v>
      </c>
      <c r="H1888" s="108">
        <f>1/30</f>
        <v>3.3333333333333333E-2</v>
      </c>
      <c r="I1888" s="141">
        <f>ROUND((F1888*G1888*H1888),0)</f>
        <v>2790</v>
      </c>
      <c r="J1888" s="47"/>
      <c r="K1888" s="143"/>
    </row>
    <row r="1889" spans="2:11" ht="24.9" customHeight="1" thickBot="1" x14ac:dyDescent="0.25">
      <c r="B1889" s="709"/>
      <c r="C1889" s="145" t="str">
        <f>'LISTA DE INSUMOS'!A758</f>
        <v>EQU002</v>
      </c>
      <c r="D1889" s="146" t="str">
        <f>'LISTA DE INSUMOS'!B758</f>
        <v>Herramienta menor (% mano obra)</v>
      </c>
      <c r="E1889" s="145" t="str">
        <f>'LISTA DE INSUMOS'!C758</f>
        <v>%MO</v>
      </c>
      <c r="F1889" s="147">
        <v>0.1</v>
      </c>
      <c r="G1889" s="148">
        <f>I1887</f>
        <v>27287</v>
      </c>
      <c r="H1889" s="145">
        <v>0</v>
      </c>
      <c r="I1889" s="148">
        <f>ROUND((F1889*G1889),0)</f>
        <v>2729</v>
      </c>
      <c r="J1889" s="47"/>
      <c r="K1889" s="143"/>
    </row>
    <row r="1890" spans="2:11" ht="24.9" customHeight="1" x14ac:dyDescent="0.2">
      <c r="B1890" s="117" t="s">
        <v>191</v>
      </c>
      <c r="C1890" s="117"/>
      <c r="D1890" s="112" t="s">
        <v>1774</v>
      </c>
      <c r="E1890" s="117" t="s">
        <v>2585</v>
      </c>
      <c r="F1890" s="149"/>
      <c r="G1890" s="119">
        <f>ROUND(SUM(I1890:I1896),0)</f>
        <v>67632</v>
      </c>
      <c r="H1890" s="120"/>
      <c r="I1890" s="119"/>
      <c r="J1890" s="47"/>
      <c r="K1890" s="143"/>
    </row>
    <row r="1891" spans="2:11" ht="24.9" customHeight="1" x14ac:dyDescent="0.2">
      <c r="B1891" s="657" t="s">
        <v>1325</v>
      </c>
      <c r="C1891" s="108" t="str">
        <f>'LISTA DE INSUMOS'!A237</f>
        <v>MAT205</v>
      </c>
      <c r="D1891" s="139" t="str">
        <f>'LISTA DE INSUMOS'!B237</f>
        <v>Ladrillo farol rayado de 0,12 x 0,20 x 0,30 m</v>
      </c>
      <c r="E1891" s="108" t="str">
        <f>'LISTA DE INSUMOS'!C237</f>
        <v>Un</v>
      </c>
      <c r="F1891" s="140">
        <v>15</v>
      </c>
      <c r="G1891" s="141">
        <f>'LISTA DE INSUMOS'!E237</f>
        <v>1834.3799999999999</v>
      </c>
      <c r="H1891" s="108">
        <v>1.05</v>
      </c>
      <c r="I1891" s="141">
        <f>ROUND((F1891*G1891*H1891),0)</f>
        <v>28891</v>
      </c>
      <c r="J1891" s="47"/>
      <c r="K1891" s="143"/>
    </row>
    <row r="1892" spans="2:11" ht="24.9" customHeight="1" thickBot="1" x14ac:dyDescent="0.25">
      <c r="B1892" s="659"/>
      <c r="C1892" s="108" t="str">
        <f>'LISTA DE INSUMOS'!A42</f>
        <v>MAT013</v>
      </c>
      <c r="D1892" s="139" t="str">
        <f>'LISTA DE INSUMOS'!B42</f>
        <v xml:space="preserve">Agua </v>
      </c>
      <c r="E1892" s="108" t="str">
        <f>'LISTA DE INSUMOS'!C42</f>
        <v>Lt</v>
      </c>
      <c r="F1892" s="140">
        <v>50</v>
      </c>
      <c r="G1892" s="141">
        <f>'LISTA DE INSUMOS'!E42</f>
        <v>96.828790046226644</v>
      </c>
      <c r="H1892" s="108">
        <v>0</v>
      </c>
      <c r="I1892" s="141">
        <f>ROUND((F1892*G1892),0)</f>
        <v>4841</v>
      </c>
      <c r="J1892" s="47"/>
      <c r="K1892" s="143"/>
    </row>
    <row r="1893" spans="2:11" ht="24.9" customHeight="1" thickTop="1" thickBot="1" x14ac:dyDescent="0.25">
      <c r="B1893" s="191" t="s">
        <v>1310</v>
      </c>
      <c r="C1893" s="108" t="str">
        <f>+B574</f>
        <v>ITE96</v>
      </c>
      <c r="D1893" s="139" t="str">
        <f>+D574</f>
        <v>Mortero 1:3 (producción)</v>
      </c>
      <c r="E1893" s="108" t="str">
        <f>E574</f>
        <v>M3</v>
      </c>
      <c r="F1893" s="152">
        <v>1.7999999999999999E-2</v>
      </c>
      <c r="G1893" s="141">
        <f>+G574</f>
        <v>580906</v>
      </c>
      <c r="H1893" s="108">
        <v>1.05</v>
      </c>
      <c r="I1893" s="141">
        <f>ROUND((F1893*G1893*H1893),0)</f>
        <v>10979</v>
      </c>
      <c r="J1893" s="47"/>
      <c r="K1893" s="143"/>
    </row>
    <row r="1894" spans="2:11" ht="24.9" customHeight="1" thickTop="1" thickBot="1" x14ac:dyDescent="0.25">
      <c r="B1894" s="153" t="s">
        <v>1034</v>
      </c>
      <c r="C1894" s="108" t="str">
        <f>'LISTA DE INSUMOS'!A18</f>
        <v>MOB015</v>
      </c>
      <c r="D1894" s="139" t="str">
        <f>'LISTA DE INSUMOS'!B18</f>
        <v>Cuadrilla E 1 Of + 1 Ay (jornal + prestaciones)</v>
      </c>
      <c r="E1894" s="108" t="str">
        <f>'LISTA DE INSUMOS'!C18</f>
        <v>Día</v>
      </c>
      <c r="F1894" s="140">
        <v>1</v>
      </c>
      <c r="G1894" s="141">
        <f>'LISTA DE INSUMOS'!E18</f>
        <v>245584</v>
      </c>
      <c r="H1894" s="108">
        <f>1/12</f>
        <v>8.3333333333333329E-2</v>
      </c>
      <c r="I1894" s="141">
        <f>ROUND((F1894*G1894*H1894),0)</f>
        <v>20465</v>
      </c>
      <c r="J1894" s="47"/>
      <c r="K1894" s="143"/>
    </row>
    <row r="1895" spans="2:11" ht="24.9" customHeight="1" thickTop="1" x14ac:dyDescent="0.2">
      <c r="B1895" s="674" t="s">
        <v>1033</v>
      </c>
      <c r="C1895" s="108" t="str">
        <f>'LISTA DE INSUMOS'!A758</f>
        <v>EQU002</v>
      </c>
      <c r="D1895" s="139" t="str">
        <f>'LISTA DE INSUMOS'!B758</f>
        <v>Herramienta menor (% mano obra)</v>
      </c>
      <c r="E1895" s="108" t="str">
        <f>'LISTA DE INSUMOS'!C758</f>
        <v>%MO</v>
      </c>
      <c r="F1895" s="140">
        <v>0.1</v>
      </c>
      <c r="G1895" s="141">
        <f>I1894</f>
        <v>20465</v>
      </c>
      <c r="H1895" s="108">
        <v>0</v>
      </c>
      <c r="I1895" s="141">
        <f>ROUND((F1895*G1895),0)</f>
        <v>2047</v>
      </c>
      <c r="J1895" s="47"/>
      <c r="K1895" s="143"/>
    </row>
    <row r="1896" spans="2:11" ht="24.9" customHeight="1" thickBot="1" x14ac:dyDescent="0.25">
      <c r="B1896" s="709"/>
      <c r="C1896" s="145" t="str">
        <f>'LISTA DE INSUMOS'!A762</f>
        <v>EQU006</v>
      </c>
      <c r="D1896" s="146" t="str">
        <f>'LISTA DE INSUMOS'!B762</f>
        <v>Andamio (% mano obra)</v>
      </c>
      <c r="E1896" s="145" t="str">
        <f>'LISTA DE INSUMOS'!C762</f>
        <v>%MO</v>
      </c>
      <c r="F1896" s="147">
        <v>0.02</v>
      </c>
      <c r="G1896" s="148">
        <f>I1894</f>
        <v>20465</v>
      </c>
      <c r="H1896" s="145">
        <v>0</v>
      </c>
      <c r="I1896" s="148">
        <f>ROUND((F1896*G1896),0)</f>
        <v>409</v>
      </c>
      <c r="J1896" s="47"/>
      <c r="K1896" s="143"/>
    </row>
    <row r="1897" spans="2:11" s="317" customFormat="1" ht="24.9" hidden="1" customHeight="1" x14ac:dyDescent="0.2">
      <c r="B1897" s="319" t="s">
        <v>1859</v>
      </c>
      <c r="C1897" s="319"/>
      <c r="D1897" s="320" t="s">
        <v>2544</v>
      </c>
      <c r="E1897" s="319" t="s">
        <v>2585</v>
      </c>
      <c r="F1897" s="321"/>
      <c r="G1897" s="312">
        <f>ROUND(SUM(I1897:I1905),0)</f>
        <v>78118</v>
      </c>
      <c r="H1897" s="322"/>
      <c r="I1897" s="312"/>
      <c r="J1897" s="313"/>
      <c r="K1897" s="323"/>
    </row>
    <row r="1898" spans="2:11" s="317" customFormat="1" ht="24.9" hidden="1" customHeight="1" x14ac:dyDescent="0.2">
      <c r="B1898" s="691" t="s">
        <v>1035</v>
      </c>
      <c r="C1898" s="322" t="str">
        <f>'LISTA DE INSUMOS'!A31</f>
        <v>MAT002</v>
      </c>
      <c r="D1898" s="324" t="str">
        <f>'LISTA DE INSUMOS'!B31</f>
        <v>Cemento blanco</v>
      </c>
      <c r="E1898" s="322" t="str">
        <f>'LISTA DE INSUMOS'!C31</f>
        <v>Kg</v>
      </c>
      <c r="F1898" s="325">
        <v>2</v>
      </c>
      <c r="G1898" s="312">
        <f>'LISTA DE INSUMOS'!E31</f>
        <v>2900</v>
      </c>
      <c r="H1898" s="322">
        <v>1.05</v>
      </c>
      <c r="I1898" s="312">
        <f>ROUND((F1898*G1898*H1898),0)</f>
        <v>6090</v>
      </c>
      <c r="J1898" s="313"/>
      <c r="K1898" s="323"/>
    </row>
    <row r="1899" spans="2:11" s="317" customFormat="1" ht="24.9" hidden="1" customHeight="1" x14ac:dyDescent="0.2">
      <c r="B1899" s="691"/>
      <c r="C1899" s="322" t="str">
        <f>'LISTA DE INSUMOS'!A227</f>
        <v>MAT195</v>
      </c>
      <c r="D1899" s="324" t="str">
        <f>'LISTA DE INSUMOS'!B227</f>
        <v>Cera</v>
      </c>
      <c r="E1899" s="322" t="str">
        <f>'LISTA DE INSUMOS'!C227</f>
        <v>Lb</v>
      </c>
      <c r="F1899" s="325">
        <v>0.04</v>
      </c>
      <c r="G1899" s="312">
        <f>'LISTA DE INSUMOS'!E227</f>
        <v>8043.979980220799</v>
      </c>
      <c r="H1899" s="322">
        <v>0</v>
      </c>
      <c r="I1899" s="312">
        <f>ROUND((F1899*G1899),0)</f>
        <v>322</v>
      </c>
      <c r="J1899" s="313"/>
      <c r="K1899" s="323"/>
    </row>
    <row r="1900" spans="2:11" s="317" customFormat="1" ht="24.9" hidden="1" customHeight="1" x14ac:dyDescent="0.2">
      <c r="B1900" s="691"/>
      <c r="C1900" s="322" t="str">
        <f>'LISTA DE INSUMOS'!A257</f>
        <v>MAT226</v>
      </c>
      <c r="D1900" s="324" t="str">
        <f>'LISTA DE INSUMOS'!B257</f>
        <v>Baldosa tipo britania</v>
      </c>
      <c r="E1900" s="322" t="str">
        <f>'LISTA DE INSUMOS'!C257</f>
        <v>M2</v>
      </c>
      <c r="F1900" s="325">
        <v>1</v>
      </c>
      <c r="G1900" s="312">
        <f>'LISTA DE INSUMOS'!E257</f>
        <v>35135.377869723328</v>
      </c>
      <c r="H1900" s="322">
        <v>1.1000000000000001</v>
      </c>
      <c r="I1900" s="312">
        <f>ROUND((F1900*G1900*H1900),0)</f>
        <v>38649</v>
      </c>
      <c r="J1900" s="313"/>
      <c r="K1900" s="323"/>
    </row>
    <row r="1901" spans="2:11" s="317" customFormat="1" ht="24.9" hidden="1" customHeight="1" x14ac:dyDescent="0.2">
      <c r="B1901" s="691"/>
      <c r="C1901" s="338" t="str">
        <f>'LISTA DE INSUMOS'!A618</f>
        <v>MAT634</v>
      </c>
      <c r="D1901" s="339" t="str">
        <f>'LISTA DE INSUMOS'!B618</f>
        <v>Boquilla para enchape</v>
      </c>
      <c r="E1901" s="322" t="str">
        <f>'LISTA DE INSUMOS'!C618</f>
        <v>Kg</v>
      </c>
      <c r="F1901" s="325">
        <v>0.35</v>
      </c>
      <c r="G1901" s="312">
        <f>'LISTA DE INSUMOS'!E618</f>
        <v>6158.7571953599981</v>
      </c>
      <c r="H1901" s="322">
        <v>1.05</v>
      </c>
      <c r="I1901" s="312">
        <f>ROUND((F1901*G1901*H1901),0)</f>
        <v>2263</v>
      </c>
      <c r="J1901" s="313"/>
      <c r="K1901" s="323"/>
    </row>
    <row r="1902" spans="2:11" s="317" customFormat="1" ht="24.9" hidden="1" customHeight="1" thickBot="1" x14ac:dyDescent="0.25">
      <c r="B1902" s="692"/>
      <c r="C1902" s="322" t="str">
        <f>'LISTA DE INSUMOS'!A515</f>
        <v>MAT532</v>
      </c>
      <c r="D1902" s="324" t="str">
        <f>'LISTA DE INSUMOS'!B515</f>
        <v>Fijador de cerámica tipo pegacor o similar</v>
      </c>
      <c r="E1902" s="322" t="str">
        <f>'LISTA DE INSUMOS'!C515</f>
        <v>Kg</v>
      </c>
      <c r="F1902" s="325">
        <v>4</v>
      </c>
      <c r="G1902" s="312">
        <f>'LISTA DE INSUMOS'!E515</f>
        <v>1457.6318472728572</v>
      </c>
      <c r="H1902" s="322">
        <v>1.05</v>
      </c>
      <c r="I1902" s="312">
        <f>ROUND((F1902*G1902*H1902),0)</f>
        <v>6122</v>
      </c>
      <c r="J1902" s="313"/>
      <c r="K1902" s="323"/>
    </row>
    <row r="1903" spans="2:11" s="317" customFormat="1" ht="24.9" hidden="1" customHeight="1" thickTop="1" thickBot="1" x14ac:dyDescent="0.25">
      <c r="B1903" s="363" t="s">
        <v>1034</v>
      </c>
      <c r="C1903" s="322" t="str">
        <f>'LISTA DE INSUMOS'!A18</f>
        <v>MOB015</v>
      </c>
      <c r="D1903" s="324" t="str">
        <f>'LISTA DE INSUMOS'!B18</f>
        <v>Cuadrilla E 1 Of + 1 Ay (jornal + prestaciones)</v>
      </c>
      <c r="E1903" s="322" t="str">
        <f>'LISTA DE INSUMOS'!C18</f>
        <v>Día</v>
      </c>
      <c r="F1903" s="325">
        <v>1</v>
      </c>
      <c r="G1903" s="312">
        <f>'LISTA DE INSUMOS'!E18</f>
        <v>245584</v>
      </c>
      <c r="H1903" s="322">
        <f>1/12</f>
        <v>8.3333333333333329E-2</v>
      </c>
      <c r="I1903" s="312">
        <f>ROUND((F1903*G1903*H1903),0)</f>
        <v>20465</v>
      </c>
      <c r="J1903" s="313"/>
      <c r="K1903" s="323"/>
    </row>
    <row r="1904" spans="2:11" s="317" customFormat="1" ht="24.9" hidden="1" customHeight="1" thickTop="1" x14ac:dyDescent="0.2">
      <c r="B1904" s="693" t="s">
        <v>1033</v>
      </c>
      <c r="C1904" s="322" t="str">
        <f>'LISTA DE INSUMOS'!A758</f>
        <v>EQU002</v>
      </c>
      <c r="D1904" s="324" t="str">
        <f>'LISTA DE INSUMOS'!B758</f>
        <v>Herramienta menor (% mano obra)</v>
      </c>
      <c r="E1904" s="322" t="str">
        <f>'LISTA DE INSUMOS'!C758</f>
        <v>%MO</v>
      </c>
      <c r="F1904" s="325">
        <v>0.1</v>
      </c>
      <c r="G1904" s="312">
        <f>I1903</f>
        <v>20465</v>
      </c>
      <c r="H1904" s="322">
        <v>0</v>
      </c>
      <c r="I1904" s="312">
        <f>ROUND((F1904*G1904),0)</f>
        <v>2047</v>
      </c>
      <c r="J1904" s="313"/>
      <c r="K1904" s="323"/>
    </row>
    <row r="1905" spans="2:11" s="317" customFormat="1" ht="24.9" hidden="1" customHeight="1" thickBot="1" x14ac:dyDescent="0.25">
      <c r="B1905" s="694"/>
      <c r="C1905" s="329" t="str">
        <f>'LISTA DE INSUMOS'!A772</f>
        <v>EQU015</v>
      </c>
      <c r="D1905" s="328" t="str">
        <f>'LISTA DE INSUMOS'!B772</f>
        <v>Pulidora sin operario</v>
      </c>
      <c r="E1905" s="329" t="str">
        <f>'LISTA DE INSUMOS'!C772</f>
        <v>Día</v>
      </c>
      <c r="F1905" s="330">
        <v>1</v>
      </c>
      <c r="G1905" s="331">
        <f>+'LISTA DE INSUMOS'!E772</f>
        <v>21598.9856859348</v>
      </c>
      <c r="H1905" s="329">
        <f>1/10</f>
        <v>0.1</v>
      </c>
      <c r="I1905" s="331">
        <f>ROUND((F1905*G1905*H1905),0)</f>
        <v>2160</v>
      </c>
      <c r="J1905" s="313"/>
      <c r="K1905" s="323"/>
    </row>
    <row r="1906" spans="2:11" s="317" customFormat="1" ht="24.9" hidden="1" customHeight="1" x14ac:dyDescent="0.2">
      <c r="B1906" s="319" t="s">
        <v>1789</v>
      </c>
      <c r="C1906" s="322"/>
      <c r="D1906" s="324" t="s">
        <v>268</v>
      </c>
      <c r="E1906" s="322" t="s">
        <v>2585</v>
      </c>
      <c r="F1906" s="325"/>
      <c r="G1906" s="312">
        <f>ROUND(SUM(I1906:I1912),0)</f>
        <v>65116</v>
      </c>
      <c r="H1906" s="322"/>
      <c r="I1906" s="312"/>
      <c r="J1906" s="313"/>
      <c r="K1906" s="323"/>
    </row>
    <row r="1907" spans="2:11" s="317" customFormat="1" ht="24.9" hidden="1" customHeight="1" x14ac:dyDescent="0.2">
      <c r="B1907" s="691" t="s">
        <v>1035</v>
      </c>
      <c r="C1907" s="322" t="str">
        <f>'LISTA DE INSUMOS'!A30</f>
        <v>MAT001</v>
      </c>
      <c r="D1907" s="324" t="str">
        <f>'LISTA DE INSUMOS'!B30</f>
        <v>Cemento gris saco por 50 kilos, incluye cargue, descargue y transporte</v>
      </c>
      <c r="E1907" s="322" t="str">
        <f>'LISTA DE INSUMOS'!C30</f>
        <v>Sc</v>
      </c>
      <c r="F1907" s="325">
        <v>0.15</v>
      </c>
      <c r="G1907" s="312">
        <f>'LISTA DE INSUMOS'!E30</f>
        <v>34500</v>
      </c>
      <c r="H1907" s="322">
        <v>1.05</v>
      </c>
      <c r="I1907" s="312">
        <f>ROUND((F1907*G1907*H1907),0)</f>
        <v>5434</v>
      </c>
      <c r="J1907" s="313"/>
      <c r="K1907" s="323"/>
    </row>
    <row r="1908" spans="2:11" s="317" customFormat="1" ht="30" hidden="1" customHeight="1" x14ac:dyDescent="0.2">
      <c r="B1908" s="691"/>
      <c r="C1908" s="322" t="str">
        <f>'LISTA DE INSUMOS'!A258</f>
        <v>MAT227</v>
      </c>
      <c r="D1908" s="324" t="str">
        <f>'LISTA DE INSUMOS'!B258</f>
        <v>Tablón de 0,20 x 0,20 m rojo</v>
      </c>
      <c r="E1908" s="322" t="str">
        <f>'LISTA DE INSUMOS'!C258</f>
        <v>M2</v>
      </c>
      <c r="F1908" s="325">
        <v>1</v>
      </c>
      <c r="G1908" s="312">
        <f>'LISTA DE INSUMOS'!E258</f>
        <v>22075.513549888517</v>
      </c>
      <c r="H1908" s="322">
        <v>1.1000000000000001</v>
      </c>
      <c r="I1908" s="312">
        <f>ROUND((F1908*G1908*H1908),0)</f>
        <v>24283</v>
      </c>
      <c r="J1908" s="313"/>
      <c r="K1908" s="323"/>
    </row>
    <row r="1909" spans="2:11" s="317" customFormat="1" ht="30" hidden="1" customHeight="1" x14ac:dyDescent="0.2">
      <c r="B1909" s="691"/>
      <c r="C1909" s="338" t="str">
        <f>'LISTA DE INSUMOS'!A618</f>
        <v>MAT634</v>
      </c>
      <c r="D1909" s="339" t="str">
        <f>'LISTA DE INSUMOS'!B618</f>
        <v>Boquilla para enchape</v>
      </c>
      <c r="E1909" s="322" t="str">
        <f>'LISTA DE INSUMOS'!C618</f>
        <v>Kg</v>
      </c>
      <c r="F1909" s="325">
        <v>0.35</v>
      </c>
      <c r="G1909" s="312">
        <f>'LISTA DE INSUMOS'!E618</f>
        <v>6158.7571953599981</v>
      </c>
      <c r="H1909" s="322">
        <v>1.05</v>
      </c>
      <c r="I1909" s="312">
        <f>ROUND((F1909*G1909*H1909),0)</f>
        <v>2263</v>
      </c>
      <c r="J1909" s="313"/>
      <c r="K1909" s="323"/>
    </row>
    <row r="1910" spans="2:11" s="317" customFormat="1" ht="30" hidden="1" customHeight="1" thickBot="1" x14ac:dyDescent="0.25">
      <c r="B1910" s="692"/>
      <c r="C1910" s="322" t="str">
        <f>'LISTA DE INSUMOS'!A515</f>
        <v>MAT532</v>
      </c>
      <c r="D1910" s="324" t="str">
        <f>'LISTA DE INSUMOS'!B515</f>
        <v>Fijador de cerámica tipo pegacor o similar</v>
      </c>
      <c r="E1910" s="322" t="str">
        <f>'LISTA DE INSUMOS'!C515</f>
        <v>Kg</v>
      </c>
      <c r="F1910" s="325">
        <v>4</v>
      </c>
      <c r="G1910" s="312">
        <f>'LISTA DE INSUMOS'!E515</f>
        <v>1457.6318472728572</v>
      </c>
      <c r="H1910" s="322">
        <v>1.05</v>
      </c>
      <c r="I1910" s="312">
        <f>ROUND((F1910*G1910*H1910),0)</f>
        <v>6122</v>
      </c>
      <c r="J1910" s="313"/>
      <c r="K1910" s="323"/>
    </row>
    <row r="1911" spans="2:11" s="317" customFormat="1" ht="24.9" hidden="1" customHeight="1" thickTop="1" thickBot="1" x14ac:dyDescent="0.25">
      <c r="B1911" s="363" t="s">
        <v>1034</v>
      </c>
      <c r="C1911" s="322" t="str">
        <f>'LISTA DE INSUMOS'!A18</f>
        <v>MOB015</v>
      </c>
      <c r="D1911" s="324" t="str">
        <f>'LISTA DE INSUMOS'!B18</f>
        <v>Cuadrilla E 1 Of + 1 Ay (jornal + prestaciones)</v>
      </c>
      <c r="E1911" s="322" t="str">
        <f>'LISTA DE INSUMOS'!C18</f>
        <v>Día</v>
      </c>
      <c r="F1911" s="325">
        <v>1</v>
      </c>
      <c r="G1911" s="312">
        <f>'LISTA DE INSUMOS'!E18</f>
        <v>245584</v>
      </c>
      <c r="H1911" s="322">
        <f>1/10</f>
        <v>0.1</v>
      </c>
      <c r="I1911" s="312">
        <f>ROUND((F1911*G1911*H1911),0)</f>
        <v>24558</v>
      </c>
      <c r="J1911" s="313"/>
      <c r="K1911" s="323"/>
    </row>
    <row r="1912" spans="2:11" s="317" customFormat="1" ht="24.9" hidden="1" customHeight="1" thickTop="1" thickBot="1" x14ac:dyDescent="0.25">
      <c r="B1912" s="255" t="s">
        <v>1033</v>
      </c>
      <c r="C1912" s="327" t="str">
        <f>'LISTA DE INSUMOS'!A758</f>
        <v>EQU002</v>
      </c>
      <c r="D1912" s="328" t="str">
        <f>'LISTA DE INSUMOS'!B758</f>
        <v>Herramienta menor (% mano obra)</v>
      </c>
      <c r="E1912" s="329" t="str">
        <f>'LISTA DE INSUMOS'!C758</f>
        <v>%MO</v>
      </c>
      <c r="F1912" s="330">
        <v>0.1</v>
      </c>
      <c r="G1912" s="331">
        <f>I1911</f>
        <v>24558</v>
      </c>
      <c r="H1912" s="329">
        <v>0</v>
      </c>
      <c r="I1912" s="331">
        <f>ROUND((F1912*G1912),0)</f>
        <v>2456</v>
      </c>
      <c r="J1912" s="313"/>
      <c r="K1912" s="323"/>
    </row>
    <row r="1913" spans="2:11" s="317" customFormat="1" ht="24.9" hidden="1" customHeight="1" x14ac:dyDescent="0.2">
      <c r="B1913" s="319" t="s">
        <v>1949</v>
      </c>
      <c r="C1913" s="319"/>
      <c r="D1913" s="320" t="s">
        <v>269</v>
      </c>
      <c r="E1913" s="319" t="s">
        <v>1412</v>
      </c>
      <c r="F1913" s="321"/>
      <c r="G1913" s="312">
        <f>ROUND(SUM(I1913:I1919),0)</f>
        <v>14957</v>
      </c>
      <c r="H1913" s="322"/>
      <c r="I1913" s="312"/>
      <c r="J1913" s="313"/>
      <c r="K1913" s="323"/>
    </row>
    <row r="1914" spans="2:11" s="317" customFormat="1" ht="24.9" hidden="1" customHeight="1" x14ac:dyDescent="0.2">
      <c r="B1914" s="691" t="s">
        <v>1035</v>
      </c>
      <c r="C1914" s="322" t="str">
        <f>'LISTA DE INSUMOS'!A30</f>
        <v>MAT001</v>
      </c>
      <c r="D1914" s="324" t="str">
        <f>'LISTA DE INSUMOS'!B30</f>
        <v>Cemento gris saco por 50 kilos, incluye cargue, descargue y transporte</v>
      </c>
      <c r="E1914" s="322" t="str">
        <f>'LISTA DE INSUMOS'!C30</f>
        <v>Sc</v>
      </c>
      <c r="F1914" s="325">
        <v>0.01</v>
      </c>
      <c r="G1914" s="312">
        <f>'LISTA DE INSUMOS'!E30</f>
        <v>34500</v>
      </c>
      <c r="H1914" s="322">
        <v>1.05</v>
      </c>
      <c r="I1914" s="312">
        <f>ROUND((F1914*G1914*H1914),0)</f>
        <v>362</v>
      </c>
      <c r="J1914" s="313"/>
      <c r="K1914" s="323"/>
    </row>
    <row r="1915" spans="2:11" s="317" customFormat="1" ht="30" hidden="1" customHeight="1" x14ac:dyDescent="0.2">
      <c r="B1915" s="691"/>
      <c r="C1915" s="322" t="str">
        <f>'LISTA DE INSUMOS'!A258</f>
        <v>MAT227</v>
      </c>
      <c r="D1915" s="324" t="str">
        <f>'LISTA DE INSUMOS'!B258</f>
        <v>Tablón de 0,20 x 0,20 m rojo</v>
      </c>
      <c r="E1915" s="322" t="str">
        <f>'LISTA DE INSUMOS'!C258</f>
        <v>M2</v>
      </c>
      <c r="F1915" s="325">
        <v>0.1</v>
      </c>
      <c r="G1915" s="312">
        <f>'LISTA DE INSUMOS'!E258</f>
        <v>22075.513549888517</v>
      </c>
      <c r="H1915" s="322">
        <v>1.1000000000000001</v>
      </c>
      <c r="I1915" s="312">
        <f>ROUND((F1915*G1915*H1915),0)</f>
        <v>2428</v>
      </c>
      <c r="J1915" s="313"/>
      <c r="K1915" s="323"/>
    </row>
    <row r="1916" spans="2:11" s="317" customFormat="1" ht="30" hidden="1" customHeight="1" x14ac:dyDescent="0.2">
      <c r="B1916" s="691"/>
      <c r="C1916" s="338" t="str">
        <f>'LISTA DE INSUMOS'!A618</f>
        <v>MAT634</v>
      </c>
      <c r="D1916" s="339" t="str">
        <f>'LISTA DE INSUMOS'!B618</f>
        <v>Boquilla para enchape</v>
      </c>
      <c r="E1916" s="322" t="str">
        <f>'LISTA DE INSUMOS'!C618</f>
        <v>Kg</v>
      </c>
      <c r="F1916" s="325">
        <v>0.04</v>
      </c>
      <c r="G1916" s="312">
        <f>'LISTA DE INSUMOS'!E618</f>
        <v>6158.7571953599981</v>
      </c>
      <c r="H1916" s="322">
        <v>1.05</v>
      </c>
      <c r="I1916" s="312">
        <f>ROUND((F1916*G1916*H1916),0)</f>
        <v>259</v>
      </c>
      <c r="J1916" s="313"/>
      <c r="K1916" s="323"/>
    </row>
    <row r="1917" spans="2:11" s="317" customFormat="1" ht="30" hidden="1" customHeight="1" thickBot="1" x14ac:dyDescent="0.25">
      <c r="B1917" s="692"/>
      <c r="C1917" s="322" t="str">
        <f>'LISTA DE INSUMOS'!A515</f>
        <v>MAT532</v>
      </c>
      <c r="D1917" s="324" t="str">
        <f>'LISTA DE INSUMOS'!B515</f>
        <v>Fijador de cerámica tipo pegacor o similar</v>
      </c>
      <c r="E1917" s="322" t="str">
        <f>'LISTA DE INSUMOS'!C515</f>
        <v>Kg</v>
      </c>
      <c r="F1917" s="325">
        <v>0.4</v>
      </c>
      <c r="G1917" s="312">
        <f>'LISTA DE INSUMOS'!E515</f>
        <v>1457.6318472728572</v>
      </c>
      <c r="H1917" s="322">
        <v>1.05</v>
      </c>
      <c r="I1917" s="312">
        <f>ROUND((F1917*G1917*H1917),0)</f>
        <v>612</v>
      </c>
      <c r="J1917" s="313"/>
      <c r="K1917" s="323"/>
    </row>
    <row r="1918" spans="2:11" s="317" customFormat="1" ht="24.9" hidden="1" customHeight="1" thickTop="1" thickBot="1" x14ac:dyDescent="0.25">
      <c r="B1918" s="363" t="s">
        <v>1034</v>
      </c>
      <c r="C1918" s="322" t="str">
        <f>'LISTA DE INSUMOS'!A18</f>
        <v>MOB015</v>
      </c>
      <c r="D1918" s="324" t="str">
        <f>'LISTA DE INSUMOS'!B18</f>
        <v>Cuadrilla E 1 Of + 1 Ay (jornal + prestaciones)</v>
      </c>
      <c r="E1918" s="322" t="str">
        <f>'LISTA DE INSUMOS'!C18</f>
        <v>Día</v>
      </c>
      <c r="F1918" s="325">
        <v>1</v>
      </c>
      <c r="G1918" s="312">
        <f>'LISTA DE INSUMOS'!E18</f>
        <v>245584</v>
      </c>
      <c r="H1918" s="322">
        <f>1/25</f>
        <v>0.04</v>
      </c>
      <c r="I1918" s="312">
        <f>ROUND((F1918*G1918*H1918),0)</f>
        <v>9823</v>
      </c>
      <c r="J1918" s="313"/>
      <c r="K1918" s="323"/>
    </row>
    <row r="1919" spans="2:11" s="317" customFormat="1" ht="24.9" hidden="1" customHeight="1" thickTop="1" thickBot="1" x14ac:dyDescent="0.25">
      <c r="B1919" s="255" t="s">
        <v>1033</v>
      </c>
      <c r="C1919" s="327" t="str">
        <f>'LISTA DE INSUMOS'!A758</f>
        <v>EQU002</v>
      </c>
      <c r="D1919" s="328" t="str">
        <f>'LISTA DE INSUMOS'!B758</f>
        <v>Herramienta menor (% mano obra)</v>
      </c>
      <c r="E1919" s="329" t="str">
        <f>'LISTA DE INSUMOS'!C758</f>
        <v>%MO</v>
      </c>
      <c r="F1919" s="330">
        <v>0.15</v>
      </c>
      <c r="G1919" s="331">
        <f>I1918</f>
        <v>9823</v>
      </c>
      <c r="H1919" s="329">
        <v>0</v>
      </c>
      <c r="I1919" s="331">
        <f>ROUND((F1919*G1919),0)</f>
        <v>1473</v>
      </c>
      <c r="J1919" s="313"/>
      <c r="K1919" s="323"/>
    </row>
    <row r="1920" spans="2:11" s="317" customFormat="1" ht="24.9" hidden="1" customHeight="1" x14ac:dyDescent="0.2">
      <c r="B1920" s="319" t="s">
        <v>1479</v>
      </c>
      <c r="C1920" s="319"/>
      <c r="D1920" s="320" t="s">
        <v>267</v>
      </c>
      <c r="E1920" s="319" t="s">
        <v>2585</v>
      </c>
      <c r="F1920" s="321"/>
      <c r="G1920" s="312">
        <f>ROUND(SUM(I1920:I1926),0)</f>
        <v>60896</v>
      </c>
      <c r="H1920" s="322"/>
      <c r="I1920" s="312"/>
      <c r="J1920" s="313"/>
      <c r="K1920" s="323"/>
    </row>
    <row r="1921" spans="2:11" s="317" customFormat="1" ht="24.9" hidden="1" customHeight="1" x14ac:dyDescent="0.2">
      <c r="B1921" s="691" t="s">
        <v>1035</v>
      </c>
      <c r="C1921" s="322" t="str">
        <f>'LISTA DE INSUMOS'!A31</f>
        <v>MAT002</v>
      </c>
      <c r="D1921" s="324" t="str">
        <f>'LISTA DE INSUMOS'!B31</f>
        <v>Cemento blanco</v>
      </c>
      <c r="E1921" s="322" t="str">
        <f>'LISTA DE INSUMOS'!C31</f>
        <v>Kg</v>
      </c>
      <c r="F1921" s="325">
        <v>2</v>
      </c>
      <c r="G1921" s="312">
        <f>'LISTA DE INSUMOS'!E31</f>
        <v>2900</v>
      </c>
      <c r="H1921" s="322">
        <v>1.05</v>
      </c>
      <c r="I1921" s="312">
        <f>ROUND((F1921*G1921*H1921),0)</f>
        <v>6090</v>
      </c>
      <c r="J1921" s="313"/>
      <c r="K1921" s="323"/>
    </row>
    <row r="1922" spans="2:11" s="317" customFormat="1" ht="24.9" hidden="1" customHeight="1" x14ac:dyDescent="0.2">
      <c r="B1922" s="691"/>
      <c r="C1922" s="322" t="str">
        <f>'LISTA DE INSUMOS'!A259</f>
        <v>MAT229</v>
      </c>
      <c r="D1922" s="324" t="str">
        <f>'LISTA DE INSUMOS'!B259</f>
        <v>Cerámica de 1ra. de 20 x 20 cm tipo Duratech</v>
      </c>
      <c r="E1922" s="322" t="str">
        <f>'LISTA DE INSUMOS'!C259</f>
        <v>M2</v>
      </c>
      <c r="F1922" s="325">
        <v>1</v>
      </c>
      <c r="G1922" s="312">
        <f>'LISTA DE INSUMOS'!E259</f>
        <v>20853.887849664628</v>
      </c>
      <c r="H1922" s="322">
        <v>1.1000000000000001</v>
      </c>
      <c r="I1922" s="312">
        <f>ROUND((F1922*G1922*H1922),0)</f>
        <v>22939</v>
      </c>
      <c r="J1922" s="313"/>
      <c r="K1922" s="323"/>
    </row>
    <row r="1923" spans="2:11" s="317" customFormat="1" ht="24.9" hidden="1" customHeight="1" x14ac:dyDescent="0.2">
      <c r="B1923" s="691"/>
      <c r="C1923" s="338" t="str">
        <f>'LISTA DE INSUMOS'!A618</f>
        <v>MAT634</v>
      </c>
      <c r="D1923" s="339" t="str">
        <f>'LISTA DE INSUMOS'!B618</f>
        <v>Boquilla para enchape</v>
      </c>
      <c r="E1923" s="322" t="str">
        <f>'LISTA DE INSUMOS'!C618</f>
        <v>Kg</v>
      </c>
      <c r="F1923" s="325">
        <v>0.5</v>
      </c>
      <c r="G1923" s="312">
        <f>'LISTA DE INSUMOS'!E618</f>
        <v>6158.7571953599981</v>
      </c>
      <c r="H1923" s="322">
        <v>1.05</v>
      </c>
      <c r="I1923" s="312">
        <f>ROUND((F1923*G1923*H1923),0)</f>
        <v>3233</v>
      </c>
      <c r="J1923" s="313"/>
      <c r="K1923" s="323"/>
    </row>
    <row r="1924" spans="2:11" s="317" customFormat="1" ht="24.9" hidden="1" customHeight="1" thickBot="1" x14ac:dyDescent="0.25">
      <c r="B1924" s="692"/>
      <c r="C1924" s="322" t="str">
        <f>'LISTA DE INSUMOS'!A515</f>
        <v>MAT532</v>
      </c>
      <c r="D1924" s="324" t="str">
        <f>'LISTA DE INSUMOS'!B515</f>
        <v>Fijador de cerámica tipo pegacor o similar</v>
      </c>
      <c r="E1924" s="322" t="str">
        <f>'LISTA DE INSUMOS'!C515</f>
        <v>Kg</v>
      </c>
      <c r="F1924" s="325">
        <v>4</v>
      </c>
      <c r="G1924" s="312">
        <f>'LISTA DE INSUMOS'!E515</f>
        <v>1457.6318472728572</v>
      </c>
      <c r="H1924" s="322">
        <v>1.05</v>
      </c>
      <c r="I1924" s="312">
        <f>ROUND((F1924*G1924*H1924),0)</f>
        <v>6122</v>
      </c>
      <c r="J1924" s="313"/>
      <c r="K1924" s="323"/>
    </row>
    <row r="1925" spans="2:11" s="317" customFormat="1" ht="24.9" hidden="1" customHeight="1" thickTop="1" thickBot="1" x14ac:dyDescent="0.25">
      <c r="B1925" s="363" t="s">
        <v>1034</v>
      </c>
      <c r="C1925" s="322" t="str">
        <f>'LISTA DE INSUMOS'!A18</f>
        <v>MOB015</v>
      </c>
      <c r="D1925" s="324" t="str">
        <f>'LISTA DE INSUMOS'!B18</f>
        <v>Cuadrilla E 1 Of + 1 Ay (jornal + prestaciones)</v>
      </c>
      <c r="E1925" s="322" t="str">
        <f>'LISTA DE INSUMOS'!C18</f>
        <v>Día</v>
      </c>
      <c r="F1925" s="325">
        <v>1</v>
      </c>
      <c r="G1925" s="312">
        <f>'LISTA DE INSUMOS'!E18</f>
        <v>245584</v>
      </c>
      <c r="H1925" s="322">
        <f>1/12</f>
        <v>8.3333333333333329E-2</v>
      </c>
      <c r="I1925" s="312">
        <f>ROUND((F1925*G1925*H1925),0)</f>
        <v>20465</v>
      </c>
      <c r="J1925" s="313"/>
      <c r="K1925" s="323"/>
    </row>
    <row r="1926" spans="2:11" s="317" customFormat="1" ht="24.9" hidden="1" customHeight="1" thickTop="1" thickBot="1" x14ac:dyDescent="0.25">
      <c r="B1926" s="255" t="s">
        <v>1033</v>
      </c>
      <c r="C1926" s="327" t="str">
        <f>'LISTA DE INSUMOS'!A758</f>
        <v>EQU002</v>
      </c>
      <c r="D1926" s="328" t="str">
        <f>'LISTA DE INSUMOS'!B758</f>
        <v>Herramienta menor (% mano obra)</v>
      </c>
      <c r="E1926" s="329" t="str">
        <f>'LISTA DE INSUMOS'!C758</f>
        <v>%MO</v>
      </c>
      <c r="F1926" s="330">
        <v>0.1</v>
      </c>
      <c r="G1926" s="331">
        <f>I1925</f>
        <v>20465</v>
      </c>
      <c r="H1926" s="329">
        <v>0</v>
      </c>
      <c r="I1926" s="331">
        <f>ROUND((F1926*G1926),0)</f>
        <v>2047</v>
      </c>
      <c r="J1926" s="313"/>
      <c r="K1926" s="323"/>
    </row>
    <row r="1927" spans="2:11" s="317" customFormat="1" ht="24.9" hidden="1" customHeight="1" x14ac:dyDescent="0.2">
      <c r="B1927" s="319" t="s">
        <v>1480</v>
      </c>
      <c r="C1927" s="319"/>
      <c r="D1927" s="366" t="s">
        <v>256</v>
      </c>
      <c r="E1927" s="319" t="s">
        <v>2585</v>
      </c>
      <c r="F1927" s="332"/>
      <c r="G1927" s="312">
        <f>ROUND(SUM(I1927:I1933),0)</f>
        <v>56562</v>
      </c>
      <c r="H1927" s="322"/>
      <c r="I1927" s="312"/>
      <c r="J1927" s="313"/>
      <c r="K1927" s="323"/>
    </row>
    <row r="1928" spans="2:11" s="317" customFormat="1" ht="24.9" hidden="1" customHeight="1" x14ac:dyDescent="0.2">
      <c r="B1928" s="691" t="s">
        <v>1035</v>
      </c>
      <c r="C1928" s="322" t="str">
        <f>'LISTA DE INSUMOS'!A31</f>
        <v>MAT002</v>
      </c>
      <c r="D1928" s="324" t="str">
        <f>'LISTA DE INSUMOS'!B31</f>
        <v>Cemento blanco</v>
      </c>
      <c r="E1928" s="322" t="str">
        <f>'LISTA DE INSUMOS'!C31</f>
        <v>Kg</v>
      </c>
      <c r="F1928" s="325">
        <v>2</v>
      </c>
      <c r="G1928" s="312">
        <f>'LISTA DE INSUMOS'!E31</f>
        <v>2900</v>
      </c>
      <c r="H1928" s="322">
        <v>1.05</v>
      </c>
      <c r="I1928" s="312">
        <f>ROUND((F1928*G1928*H1928),0)</f>
        <v>6090</v>
      </c>
      <c r="J1928" s="313"/>
      <c r="K1928" s="323"/>
    </row>
    <row r="1929" spans="2:11" s="317" customFormat="1" ht="24.9" hidden="1" customHeight="1" x14ac:dyDescent="0.2">
      <c r="B1929" s="691"/>
      <c r="C1929" s="322" t="str">
        <f>'LISTA DE INSUMOS'!A261</f>
        <v>MAT231</v>
      </c>
      <c r="D1929" s="324" t="str">
        <f>'LISTA DE INSUMOS'!B261</f>
        <v>Cerámica de 1ra. de 20 x 20 cm tipo Ecocerámica</v>
      </c>
      <c r="E1929" s="322" t="str">
        <f>'LISTA DE INSUMOS'!C261</f>
        <v>M2</v>
      </c>
      <c r="F1929" s="325">
        <v>1</v>
      </c>
      <c r="G1929" s="312">
        <f>'LISTA DE INSUMOS'!E261</f>
        <v>16913.200775786514</v>
      </c>
      <c r="H1929" s="322">
        <v>1.1000000000000001</v>
      </c>
      <c r="I1929" s="312">
        <f>ROUND((F1929*G1929*H1929),0)</f>
        <v>18605</v>
      </c>
      <c r="J1929" s="313"/>
      <c r="K1929" s="323"/>
    </row>
    <row r="1930" spans="2:11" s="317" customFormat="1" ht="24.9" hidden="1" customHeight="1" x14ac:dyDescent="0.2">
      <c r="B1930" s="691"/>
      <c r="C1930" s="338" t="str">
        <f>'LISTA DE INSUMOS'!A618</f>
        <v>MAT634</v>
      </c>
      <c r="D1930" s="339" t="str">
        <f>'LISTA DE INSUMOS'!B618</f>
        <v>Boquilla para enchape</v>
      </c>
      <c r="E1930" s="322" t="str">
        <f>'LISTA DE INSUMOS'!C618</f>
        <v>Kg</v>
      </c>
      <c r="F1930" s="325">
        <v>0.5</v>
      </c>
      <c r="G1930" s="312">
        <f>'LISTA DE INSUMOS'!E618</f>
        <v>6158.7571953599981</v>
      </c>
      <c r="H1930" s="322">
        <v>1.05</v>
      </c>
      <c r="I1930" s="312">
        <f>ROUND((F1930*G1930*H1930),0)</f>
        <v>3233</v>
      </c>
      <c r="J1930" s="313"/>
      <c r="K1930" s="323"/>
    </row>
    <row r="1931" spans="2:11" s="317" customFormat="1" ht="24.9" hidden="1" customHeight="1" thickBot="1" x14ac:dyDescent="0.25">
      <c r="B1931" s="692"/>
      <c r="C1931" s="322" t="str">
        <f>'LISTA DE INSUMOS'!A515</f>
        <v>MAT532</v>
      </c>
      <c r="D1931" s="324" t="str">
        <f>'LISTA DE INSUMOS'!B515</f>
        <v>Fijador de cerámica tipo pegacor o similar</v>
      </c>
      <c r="E1931" s="322" t="str">
        <f>'LISTA DE INSUMOS'!C515</f>
        <v>Kg</v>
      </c>
      <c r="F1931" s="325">
        <v>4</v>
      </c>
      <c r="G1931" s="312">
        <f>'LISTA DE INSUMOS'!E515</f>
        <v>1457.6318472728572</v>
      </c>
      <c r="H1931" s="322">
        <v>1.05</v>
      </c>
      <c r="I1931" s="312">
        <f>ROUND((F1931*G1931*H1931),0)</f>
        <v>6122</v>
      </c>
      <c r="J1931" s="313"/>
      <c r="K1931" s="323"/>
    </row>
    <row r="1932" spans="2:11" s="317" customFormat="1" ht="24.9" hidden="1" customHeight="1" thickTop="1" thickBot="1" x14ac:dyDescent="0.25">
      <c r="B1932" s="363" t="s">
        <v>1034</v>
      </c>
      <c r="C1932" s="322" t="str">
        <f>'LISTA DE INSUMOS'!A18</f>
        <v>MOB015</v>
      </c>
      <c r="D1932" s="324" t="str">
        <f>'LISTA DE INSUMOS'!B18</f>
        <v>Cuadrilla E 1 Of + 1 Ay (jornal + prestaciones)</v>
      </c>
      <c r="E1932" s="322" t="str">
        <f>'LISTA DE INSUMOS'!C18</f>
        <v>Día</v>
      </c>
      <c r="F1932" s="325">
        <v>1</v>
      </c>
      <c r="G1932" s="312">
        <f>'LISTA DE INSUMOS'!E18</f>
        <v>245584</v>
      </c>
      <c r="H1932" s="322">
        <f>1/12</f>
        <v>8.3333333333333329E-2</v>
      </c>
      <c r="I1932" s="312">
        <f>ROUND((F1932*G1932*H1932),0)</f>
        <v>20465</v>
      </c>
      <c r="J1932" s="313"/>
      <c r="K1932" s="323"/>
    </row>
    <row r="1933" spans="2:11" s="317" customFormat="1" ht="24.9" hidden="1" customHeight="1" thickTop="1" thickBot="1" x14ac:dyDescent="0.25">
      <c r="B1933" s="255" t="s">
        <v>1033</v>
      </c>
      <c r="C1933" s="327" t="str">
        <f>'LISTA DE INSUMOS'!A758</f>
        <v>EQU002</v>
      </c>
      <c r="D1933" s="328" t="str">
        <f>'LISTA DE INSUMOS'!B758</f>
        <v>Herramienta menor (% mano obra)</v>
      </c>
      <c r="E1933" s="329" t="str">
        <f>'LISTA DE INSUMOS'!C758</f>
        <v>%MO</v>
      </c>
      <c r="F1933" s="330">
        <v>0.1</v>
      </c>
      <c r="G1933" s="331">
        <f>I1932</f>
        <v>20465</v>
      </c>
      <c r="H1933" s="329">
        <v>0</v>
      </c>
      <c r="I1933" s="331">
        <f>ROUND((F1933*G1933),0)</f>
        <v>2047</v>
      </c>
      <c r="J1933" s="313"/>
      <c r="K1933" s="323"/>
    </row>
    <row r="1934" spans="2:11" s="317" customFormat="1" ht="24.9" hidden="1" customHeight="1" x14ac:dyDescent="0.2">
      <c r="B1934" s="319" t="s">
        <v>1481</v>
      </c>
      <c r="C1934" s="319"/>
      <c r="D1934" s="320" t="s">
        <v>270</v>
      </c>
      <c r="E1934" s="319" t="s">
        <v>2585</v>
      </c>
      <c r="F1934" s="321"/>
      <c r="G1934" s="312">
        <f>ROUND(SUM(I1934:I1940),0)</f>
        <v>101314</v>
      </c>
      <c r="H1934" s="322"/>
      <c r="I1934" s="312"/>
      <c r="J1934" s="313"/>
      <c r="K1934" s="323"/>
    </row>
    <row r="1935" spans="2:11" s="317" customFormat="1" ht="24.9" hidden="1" customHeight="1" x14ac:dyDescent="0.2">
      <c r="B1935" s="691" t="s">
        <v>1035</v>
      </c>
      <c r="C1935" s="322" t="str">
        <f>'LISTA DE INSUMOS'!A31</f>
        <v>MAT002</v>
      </c>
      <c r="D1935" s="324" t="str">
        <f>'LISTA DE INSUMOS'!B31</f>
        <v>Cemento blanco</v>
      </c>
      <c r="E1935" s="322" t="str">
        <f>'LISTA DE INSUMOS'!C31</f>
        <v>Kg</v>
      </c>
      <c r="F1935" s="325">
        <v>2</v>
      </c>
      <c r="G1935" s="312">
        <f>'LISTA DE INSUMOS'!E31</f>
        <v>2900</v>
      </c>
      <c r="H1935" s="322">
        <v>1.05</v>
      </c>
      <c r="I1935" s="312">
        <f>ROUND((F1935*G1935*H1935),0)</f>
        <v>6090</v>
      </c>
      <c r="J1935" s="313"/>
      <c r="K1935" s="323"/>
    </row>
    <row r="1936" spans="2:11" s="317" customFormat="1" ht="24.9" hidden="1" customHeight="1" x14ac:dyDescent="0.2">
      <c r="B1936" s="691"/>
      <c r="C1936" s="322" t="str">
        <f>'LISTA DE INSUMOS'!A248</f>
        <v>MAT217</v>
      </c>
      <c r="D1936" s="324" t="str">
        <f>'LISTA DE INSUMOS'!B248</f>
        <v>Cerámica de 1ra. trafico 4 de 32 x 32 cm tipo Terranova</v>
      </c>
      <c r="E1936" s="322" t="str">
        <f>'LISTA DE INSUMOS'!C248</f>
        <v>M2</v>
      </c>
      <c r="F1936" s="325">
        <v>1</v>
      </c>
      <c r="G1936" s="312">
        <f>'LISTA DE INSUMOS'!E248</f>
        <v>58478.82177291</v>
      </c>
      <c r="H1936" s="322">
        <v>1.1000000000000001</v>
      </c>
      <c r="I1936" s="312">
        <f>ROUND((F1936*G1936*H1936),0)</f>
        <v>64327</v>
      </c>
      <c r="J1936" s="313"/>
      <c r="K1936" s="323"/>
    </row>
    <row r="1937" spans="2:11" s="317" customFormat="1" ht="24.9" hidden="1" customHeight="1" x14ac:dyDescent="0.2">
      <c r="B1937" s="691"/>
      <c r="C1937" s="338" t="str">
        <f>'LISTA DE INSUMOS'!A618</f>
        <v>MAT634</v>
      </c>
      <c r="D1937" s="339" t="str">
        <f>'LISTA DE INSUMOS'!B618</f>
        <v>Boquilla para enchape</v>
      </c>
      <c r="E1937" s="322" t="str">
        <f>'LISTA DE INSUMOS'!C618</f>
        <v>Kg</v>
      </c>
      <c r="F1937" s="325">
        <v>0.35</v>
      </c>
      <c r="G1937" s="312">
        <f>'LISTA DE INSUMOS'!E618</f>
        <v>6158.7571953599981</v>
      </c>
      <c r="H1937" s="322">
        <v>1.05</v>
      </c>
      <c r="I1937" s="312">
        <f>ROUND((F1937*G1937*H1937),0)</f>
        <v>2263</v>
      </c>
      <c r="J1937" s="313"/>
      <c r="K1937" s="323"/>
    </row>
    <row r="1938" spans="2:11" s="317" customFormat="1" ht="24.9" hidden="1" customHeight="1" thickBot="1" x14ac:dyDescent="0.25">
      <c r="B1938" s="692"/>
      <c r="C1938" s="322" t="str">
        <f>'LISTA DE INSUMOS'!A515</f>
        <v>MAT532</v>
      </c>
      <c r="D1938" s="324" t="str">
        <f>'LISTA DE INSUMOS'!B515</f>
        <v>Fijador de cerámica tipo pegacor o similar</v>
      </c>
      <c r="E1938" s="322" t="str">
        <f>'LISTA DE INSUMOS'!C515</f>
        <v>Kg</v>
      </c>
      <c r="F1938" s="325">
        <v>4</v>
      </c>
      <c r="G1938" s="312">
        <f>'LISTA DE INSUMOS'!E515</f>
        <v>1457.6318472728572</v>
      </c>
      <c r="H1938" s="322">
        <v>1.05</v>
      </c>
      <c r="I1938" s="312">
        <f>ROUND((F1938*G1938*H1938),0)</f>
        <v>6122</v>
      </c>
      <c r="J1938" s="313"/>
      <c r="K1938" s="323"/>
    </row>
    <row r="1939" spans="2:11" s="317" customFormat="1" ht="24.9" hidden="1" customHeight="1" thickTop="1" thickBot="1" x14ac:dyDescent="0.25">
      <c r="B1939" s="363" t="s">
        <v>1034</v>
      </c>
      <c r="C1939" s="322" t="str">
        <f>'LISTA DE INSUMOS'!A18</f>
        <v>MOB015</v>
      </c>
      <c r="D1939" s="324" t="str">
        <f>'LISTA DE INSUMOS'!B18</f>
        <v>Cuadrilla E 1 Of + 1 Ay (jornal + prestaciones)</v>
      </c>
      <c r="E1939" s="322" t="str">
        <f>'LISTA DE INSUMOS'!C18</f>
        <v>Día</v>
      </c>
      <c r="F1939" s="325">
        <v>1</v>
      </c>
      <c r="G1939" s="312">
        <f>'LISTA DE INSUMOS'!E18</f>
        <v>245584</v>
      </c>
      <c r="H1939" s="322">
        <f>1/12</f>
        <v>8.3333333333333329E-2</v>
      </c>
      <c r="I1939" s="312">
        <f>ROUND((F1939*G1939*H1939),0)</f>
        <v>20465</v>
      </c>
      <c r="J1939" s="313"/>
      <c r="K1939" s="323"/>
    </row>
    <row r="1940" spans="2:11" s="317" customFormat="1" ht="24.9" hidden="1" customHeight="1" thickTop="1" thickBot="1" x14ac:dyDescent="0.25">
      <c r="B1940" s="255" t="s">
        <v>1033</v>
      </c>
      <c r="C1940" s="327" t="str">
        <f>'LISTA DE INSUMOS'!A758</f>
        <v>EQU002</v>
      </c>
      <c r="D1940" s="328" t="str">
        <f>'LISTA DE INSUMOS'!B758</f>
        <v>Herramienta menor (% mano obra)</v>
      </c>
      <c r="E1940" s="329" t="str">
        <f>'LISTA DE INSUMOS'!C758</f>
        <v>%MO</v>
      </c>
      <c r="F1940" s="330">
        <v>0.1</v>
      </c>
      <c r="G1940" s="331">
        <f>I1939</f>
        <v>20465</v>
      </c>
      <c r="H1940" s="329">
        <v>0</v>
      </c>
      <c r="I1940" s="331">
        <f>ROUND((F1940*G1940),0)</f>
        <v>2047</v>
      </c>
      <c r="J1940" s="313"/>
      <c r="K1940" s="323"/>
    </row>
    <row r="1941" spans="2:11" s="317" customFormat="1" ht="24.9" hidden="1" customHeight="1" x14ac:dyDescent="0.2">
      <c r="B1941" s="319" t="s">
        <v>1484</v>
      </c>
      <c r="C1941" s="319"/>
      <c r="D1941" s="320" t="s">
        <v>271</v>
      </c>
      <c r="E1941" s="319" t="s">
        <v>2585</v>
      </c>
      <c r="F1941" s="321"/>
      <c r="G1941" s="312">
        <f>ROUND(SUM(I1941:I1947),0)</f>
        <v>73795</v>
      </c>
      <c r="H1941" s="322"/>
      <c r="I1941" s="312"/>
      <c r="J1941" s="313"/>
      <c r="K1941" s="323"/>
    </row>
    <row r="1942" spans="2:11" s="317" customFormat="1" ht="24.9" hidden="1" customHeight="1" x14ac:dyDescent="0.2">
      <c r="B1942" s="691" t="s">
        <v>1035</v>
      </c>
      <c r="C1942" s="322" t="str">
        <f>'LISTA DE INSUMOS'!A31</f>
        <v>MAT002</v>
      </c>
      <c r="D1942" s="324" t="str">
        <f>'LISTA DE INSUMOS'!B31</f>
        <v>Cemento blanco</v>
      </c>
      <c r="E1942" s="322" t="str">
        <f>'LISTA DE INSUMOS'!C31</f>
        <v>Kg</v>
      </c>
      <c r="F1942" s="325">
        <v>2</v>
      </c>
      <c r="G1942" s="312">
        <f>'LISTA DE INSUMOS'!E31</f>
        <v>2900</v>
      </c>
      <c r="H1942" s="322">
        <v>1.05</v>
      </c>
      <c r="I1942" s="312">
        <f>ROUND((F1942*G1942*H1942),0)</f>
        <v>6090</v>
      </c>
      <c r="J1942" s="313"/>
      <c r="K1942" s="323"/>
    </row>
    <row r="1943" spans="2:11" s="317" customFormat="1" ht="24.9" hidden="1" customHeight="1" x14ac:dyDescent="0.2">
      <c r="B1943" s="691"/>
      <c r="C1943" s="322" t="str">
        <f>'LISTA DE INSUMOS'!A249</f>
        <v>MAT218</v>
      </c>
      <c r="D1943" s="324" t="str">
        <f>'LISTA DE INSUMOS'!B249</f>
        <v>Cerámica de 1ra. de 40 x 40 cm tipo Mangle Euro-cerámica</v>
      </c>
      <c r="E1943" s="322" t="str">
        <f>'LISTA DE INSUMOS'!C249</f>
        <v>M2</v>
      </c>
      <c r="F1943" s="325">
        <v>1</v>
      </c>
      <c r="G1943" s="312">
        <f>'LISTA DE INSUMOS'!E249</f>
        <v>34049.504492025</v>
      </c>
      <c r="H1943" s="322">
        <v>1.1000000000000001</v>
      </c>
      <c r="I1943" s="312">
        <f>ROUND((F1943*G1943*H1943),0)</f>
        <v>37454</v>
      </c>
      <c r="J1943" s="313"/>
      <c r="K1943" s="323"/>
    </row>
    <row r="1944" spans="2:11" s="317" customFormat="1" ht="24.9" hidden="1" customHeight="1" x14ac:dyDescent="0.2">
      <c r="B1944" s="691"/>
      <c r="C1944" s="338" t="str">
        <f>'LISTA DE INSUMOS'!A618</f>
        <v>MAT634</v>
      </c>
      <c r="D1944" s="339" t="str">
        <f>'LISTA DE INSUMOS'!B618</f>
        <v>Boquilla para enchape</v>
      </c>
      <c r="E1944" s="322" t="str">
        <f>'LISTA DE INSUMOS'!C618</f>
        <v>Kg</v>
      </c>
      <c r="F1944" s="325">
        <v>0.25</v>
      </c>
      <c r="G1944" s="312">
        <f>'LISTA DE INSUMOS'!E618</f>
        <v>6158.7571953599981</v>
      </c>
      <c r="H1944" s="322">
        <v>1.05</v>
      </c>
      <c r="I1944" s="312">
        <f>ROUND((F1944*G1944*H1944),0)</f>
        <v>1617</v>
      </c>
      <c r="J1944" s="313"/>
      <c r="K1944" s="323"/>
    </row>
    <row r="1945" spans="2:11" s="317" customFormat="1" ht="24.9" hidden="1" customHeight="1" thickBot="1" x14ac:dyDescent="0.25">
      <c r="B1945" s="692"/>
      <c r="C1945" s="322" t="str">
        <f>'LISTA DE INSUMOS'!A515</f>
        <v>MAT532</v>
      </c>
      <c r="D1945" s="324" t="str">
        <f>'LISTA DE INSUMOS'!B515</f>
        <v>Fijador de cerámica tipo pegacor o similar</v>
      </c>
      <c r="E1945" s="322" t="str">
        <f>'LISTA DE INSUMOS'!C515</f>
        <v>Kg</v>
      </c>
      <c r="F1945" s="325">
        <v>4</v>
      </c>
      <c r="G1945" s="312">
        <f>'LISTA DE INSUMOS'!E515</f>
        <v>1457.6318472728572</v>
      </c>
      <c r="H1945" s="322">
        <v>1.05</v>
      </c>
      <c r="I1945" s="312">
        <f>ROUND((F1945*G1945*H1945),0)</f>
        <v>6122</v>
      </c>
      <c r="J1945" s="313"/>
      <c r="K1945" s="323"/>
    </row>
    <row r="1946" spans="2:11" s="317" customFormat="1" ht="24.9" hidden="1" customHeight="1" thickTop="1" thickBot="1" x14ac:dyDescent="0.25">
      <c r="B1946" s="363" t="s">
        <v>1034</v>
      </c>
      <c r="C1946" s="322" t="str">
        <f>'LISTA DE INSUMOS'!A18</f>
        <v>MOB015</v>
      </c>
      <c r="D1946" s="324" t="str">
        <f>'LISTA DE INSUMOS'!B18</f>
        <v>Cuadrilla E 1 Of + 1 Ay (jornal + prestaciones)</v>
      </c>
      <c r="E1946" s="322" t="str">
        <f>'LISTA DE INSUMOS'!C18</f>
        <v>Día</v>
      </c>
      <c r="F1946" s="325">
        <v>1</v>
      </c>
      <c r="G1946" s="312">
        <f>'LISTA DE INSUMOS'!E18</f>
        <v>245584</v>
      </c>
      <c r="H1946" s="322">
        <f>1/12</f>
        <v>8.3333333333333329E-2</v>
      </c>
      <c r="I1946" s="312">
        <f>ROUND((F1946*G1946*H1946),0)</f>
        <v>20465</v>
      </c>
      <c r="J1946" s="313"/>
      <c r="K1946" s="323"/>
    </row>
    <row r="1947" spans="2:11" s="317" customFormat="1" ht="24.9" hidden="1" customHeight="1" thickTop="1" thickBot="1" x14ac:dyDescent="0.25">
      <c r="B1947" s="255" t="s">
        <v>1033</v>
      </c>
      <c r="C1947" s="327" t="str">
        <f>'LISTA DE INSUMOS'!A758</f>
        <v>EQU002</v>
      </c>
      <c r="D1947" s="328" t="str">
        <f>'LISTA DE INSUMOS'!B758</f>
        <v>Herramienta menor (% mano obra)</v>
      </c>
      <c r="E1947" s="329" t="str">
        <f>'LISTA DE INSUMOS'!C758</f>
        <v>%MO</v>
      </c>
      <c r="F1947" s="330">
        <v>0.1</v>
      </c>
      <c r="G1947" s="331">
        <f>I1946</f>
        <v>20465</v>
      </c>
      <c r="H1947" s="329">
        <v>0</v>
      </c>
      <c r="I1947" s="331">
        <f>ROUND((F1947*G1947),0)</f>
        <v>2047</v>
      </c>
      <c r="J1947" s="313"/>
      <c r="K1947" s="323"/>
    </row>
    <row r="1948" spans="2:11" s="317" customFormat="1" ht="24.9" hidden="1" customHeight="1" x14ac:dyDescent="0.2">
      <c r="B1948" s="319" t="s">
        <v>1870</v>
      </c>
      <c r="C1948" s="319"/>
      <c r="D1948" s="320" t="s">
        <v>134</v>
      </c>
      <c r="E1948" s="319" t="s">
        <v>2585</v>
      </c>
      <c r="F1948" s="321"/>
      <c r="G1948" s="312">
        <f>ROUND(SUM(I1948:I1952),0)</f>
        <v>56958</v>
      </c>
      <c r="H1948" s="322"/>
      <c r="I1948" s="312"/>
      <c r="J1948" s="313"/>
      <c r="K1948" s="323"/>
    </row>
    <row r="1949" spans="2:11" s="317" customFormat="1" ht="24.9" hidden="1" customHeight="1" x14ac:dyDescent="0.2">
      <c r="B1949" s="658" t="s">
        <v>1325</v>
      </c>
      <c r="C1949" s="322" t="str">
        <f>'LISTA DE INSUMOS'!A252</f>
        <v>MAT221</v>
      </c>
      <c r="D1949" s="324" t="str">
        <f>'LISTA DE INSUMOS'!B252</f>
        <v>Piso en lámina de vinilo C 1,6 mm.</v>
      </c>
      <c r="E1949" s="322" t="str">
        <f>'LISTA DE INSUMOS'!C252</f>
        <v>M2</v>
      </c>
      <c r="F1949" s="332">
        <v>1</v>
      </c>
      <c r="G1949" s="312">
        <f>'LISTA DE INSUMOS'!E252</f>
        <v>41002.729881959989</v>
      </c>
      <c r="H1949" s="322">
        <v>1.05</v>
      </c>
      <c r="I1949" s="312">
        <f>ROUND((F1949*G1949*H1949),0)</f>
        <v>43053</v>
      </c>
      <c r="J1949" s="313"/>
      <c r="K1949" s="323"/>
    </row>
    <row r="1950" spans="2:11" s="317" customFormat="1" ht="24.9" hidden="1" customHeight="1" thickBot="1" x14ac:dyDescent="0.25">
      <c r="B1950" s="668"/>
      <c r="C1950" s="322" t="str">
        <f>'LISTA DE INSUMOS'!A680</f>
        <v>MAT694</v>
      </c>
      <c r="D1950" s="324" t="str">
        <f>'LISTA DE INSUMOS'!B680</f>
        <v>Adhesivo para piso de vinilo</v>
      </c>
      <c r="E1950" s="322" t="str">
        <f>'LISTA DE INSUMOS'!C680</f>
        <v>Gl</v>
      </c>
      <c r="F1950" s="332">
        <v>1</v>
      </c>
      <c r="G1950" s="312">
        <f>+'LISTA DE INSUMOS'!E680</f>
        <v>89497.006643906396</v>
      </c>
      <c r="H1950" s="322">
        <f>1/12</f>
        <v>8.3333333333333329E-2</v>
      </c>
      <c r="I1950" s="312">
        <f>ROUND((F1950*G1950*H1950),0)</f>
        <v>7458</v>
      </c>
      <c r="J1950" s="313"/>
      <c r="K1950" s="323"/>
    </row>
    <row r="1951" spans="2:11" s="317" customFormat="1" ht="24.9" hidden="1" customHeight="1" thickTop="1" thickBot="1" x14ac:dyDescent="0.25">
      <c r="B1951" s="363" t="s">
        <v>1034</v>
      </c>
      <c r="C1951" s="322" t="str">
        <f>'LISTA DE INSUMOS'!A18</f>
        <v>MOB015</v>
      </c>
      <c r="D1951" s="324" t="str">
        <f>'LISTA DE INSUMOS'!B18</f>
        <v>Cuadrilla E 1 Of + 1 Ay (jornal + prestaciones)</v>
      </c>
      <c r="E1951" s="322" t="str">
        <f>'LISTA DE INSUMOS'!C18</f>
        <v>Día</v>
      </c>
      <c r="F1951" s="325">
        <v>1</v>
      </c>
      <c r="G1951" s="312">
        <f>'LISTA DE INSUMOS'!E18</f>
        <v>245584</v>
      </c>
      <c r="H1951" s="322">
        <f>1/40</f>
        <v>2.5000000000000001E-2</v>
      </c>
      <c r="I1951" s="312">
        <f>ROUND((F1951*G1951*H1951),0)</f>
        <v>6140</v>
      </c>
      <c r="J1951" s="313"/>
      <c r="K1951" s="323"/>
    </row>
    <row r="1952" spans="2:11" s="317" customFormat="1" ht="24.9" hidden="1" customHeight="1" thickTop="1" thickBot="1" x14ac:dyDescent="0.25">
      <c r="B1952" s="255" t="s">
        <v>1033</v>
      </c>
      <c r="C1952" s="327" t="str">
        <f>'LISTA DE INSUMOS'!A758</f>
        <v>EQU002</v>
      </c>
      <c r="D1952" s="328" t="str">
        <f>'LISTA DE INSUMOS'!B758</f>
        <v>Herramienta menor (% mano obra)</v>
      </c>
      <c r="E1952" s="329" t="str">
        <f>'LISTA DE INSUMOS'!C758</f>
        <v>%MO</v>
      </c>
      <c r="F1952" s="330">
        <v>0.05</v>
      </c>
      <c r="G1952" s="331">
        <f>I1951</f>
        <v>6140</v>
      </c>
      <c r="H1952" s="329">
        <v>0</v>
      </c>
      <c r="I1952" s="331">
        <f>ROUND((F1952*G1952),0)</f>
        <v>307</v>
      </c>
      <c r="J1952" s="313"/>
      <c r="K1952" s="323"/>
    </row>
    <row r="1953" spans="2:11" s="317" customFormat="1" ht="24.9" hidden="1" customHeight="1" x14ac:dyDescent="0.2">
      <c r="B1953" s="319" t="s">
        <v>1768</v>
      </c>
      <c r="C1953" s="319"/>
      <c r="D1953" s="320" t="s">
        <v>135</v>
      </c>
      <c r="E1953" s="319" t="s">
        <v>1412</v>
      </c>
      <c r="F1953" s="321"/>
      <c r="G1953" s="312">
        <f>ROUND(SUM(I1953:I1957),0)</f>
        <v>4624</v>
      </c>
      <c r="H1953" s="322"/>
      <c r="I1953" s="312"/>
      <c r="J1953" s="313"/>
      <c r="K1953" s="323"/>
    </row>
    <row r="1954" spans="2:11" s="317" customFormat="1" ht="24.9" hidden="1" customHeight="1" x14ac:dyDescent="0.2">
      <c r="B1954" s="658" t="s">
        <v>1325</v>
      </c>
      <c r="C1954" s="322" t="str">
        <f>'LISTA DE INSUMOS'!A252</f>
        <v>MAT221</v>
      </c>
      <c r="D1954" s="324" t="str">
        <f>'LISTA DE INSUMOS'!B252</f>
        <v>Piso en lámina de vinilo C 1,6 mm.</v>
      </c>
      <c r="E1954" s="322" t="str">
        <f>'LISTA DE INSUMOS'!C252</f>
        <v>M2</v>
      </c>
      <c r="F1954" s="332">
        <v>6.8000000000000005E-2</v>
      </c>
      <c r="G1954" s="312">
        <f>'LISTA DE INSUMOS'!E252</f>
        <v>41002.729881959989</v>
      </c>
      <c r="H1954" s="322">
        <v>1.05</v>
      </c>
      <c r="I1954" s="312">
        <f>ROUND((F1954*G1954*H1954),0)</f>
        <v>2928</v>
      </c>
      <c r="J1954" s="313"/>
      <c r="K1954" s="323"/>
    </row>
    <row r="1955" spans="2:11" s="317" customFormat="1" ht="24.9" hidden="1" customHeight="1" thickBot="1" x14ac:dyDescent="0.25">
      <c r="B1955" s="668"/>
      <c r="C1955" s="322" t="str">
        <f>'LISTA DE INSUMOS'!A680</f>
        <v>MAT694</v>
      </c>
      <c r="D1955" s="324" t="str">
        <f>'LISTA DE INSUMOS'!B680</f>
        <v>Adhesivo para piso de vinilo</v>
      </c>
      <c r="E1955" s="322" t="str">
        <f>'LISTA DE INSUMOS'!C680</f>
        <v>Gl</v>
      </c>
      <c r="F1955" s="332">
        <v>1</v>
      </c>
      <c r="G1955" s="312">
        <f>+'LISTA DE INSUMOS'!E680</f>
        <v>89497.006643906396</v>
      </c>
      <c r="H1955" s="326">
        <f>1/220</f>
        <v>4.5454545454545452E-3</v>
      </c>
      <c r="I1955" s="312">
        <f>ROUND((F1955*G1955*H1955),0)</f>
        <v>407</v>
      </c>
      <c r="J1955" s="313"/>
      <c r="K1955" s="323"/>
    </row>
    <row r="1956" spans="2:11" s="317" customFormat="1" ht="24.9" hidden="1" customHeight="1" thickTop="1" thickBot="1" x14ac:dyDescent="0.25">
      <c r="B1956" s="363" t="s">
        <v>1034</v>
      </c>
      <c r="C1956" s="322" t="str">
        <f>'LISTA DE INSUMOS'!A18</f>
        <v>MOB015</v>
      </c>
      <c r="D1956" s="324" t="str">
        <f>'LISTA DE INSUMOS'!B18</f>
        <v>Cuadrilla E 1 Of + 1 Ay (jornal + prestaciones)</v>
      </c>
      <c r="E1956" s="322" t="str">
        <f>'LISTA DE INSUMOS'!C18</f>
        <v>Día</v>
      </c>
      <c r="F1956" s="325">
        <v>1</v>
      </c>
      <c r="G1956" s="312">
        <f>'LISTA DE INSUMOS'!E18</f>
        <v>245584</v>
      </c>
      <c r="H1956" s="322">
        <f>1/200</f>
        <v>5.0000000000000001E-3</v>
      </c>
      <c r="I1956" s="312">
        <f>ROUND((F1956*G1956*H1956),0)</f>
        <v>1228</v>
      </c>
      <c r="J1956" s="313"/>
      <c r="K1956" s="323"/>
    </row>
    <row r="1957" spans="2:11" s="317" customFormat="1" ht="24.9" hidden="1" customHeight="1" thickTop="1" thickBot="1" x14ac:dyDescent="0.25">
      <c r="B1957" s="255" t="s">
        <v>1033</v>
      </c>
      <c r="C1957" s="327" t="str">
        <f>'LISTA DE INSUMOS'!A758</f>
        <v>EQU002</v>
      </c>
      <c r="D1957" s="328" t="str">
        <f>'LISTA DE INSUMOS'!B758</f>
        <v>Herramienta menor (% mano obra)</v>
      </c>
      <c r="E1957" s="329" t="str">
        <f>'LISTA DE INSUMOS'!C758</f>
        <v>%MO</v>
      </c>
      <c r="F1957" s="330">
        <v>0.05</v>
      </c>
      <c r="G1957" s="331">
        <f>I1956</f>
        <v>1228</v>
      </c>
      <c r="H1957" s="329">
        <v>0</v>
      </c>
      <c r="I1957" s="331">
        <f>ROUND((F1957*G1957),0)</f>
        <v>61</v>
      </c>
      <c r="J1957" s="313"/>
      <c r="K1957" s="323"/>
    </row>
    <row r="1958" spans="2:11" ht="24.9" customHeight="1" x14ac:dyDescent="0.2">
      <c r="B1958" s="117" t="s">
        <v>192</v>
      </c>
      <c r="C1958" s="117"/>
      <c r="D1958" s="236" t="s">
        <v>272</v>
      </c>
      <c r="E1958" s="117" t="s">
        <v>2585</v>
      </c>
      <c r="F1958" s="118"/>
      <c r="G1958" s="119">
        <f>ROUND(SUM(I1958:I1966),0)</f>
        <v>106578</v>
      </c>
      <c r="H1958" s="120"/>
      <c r="I1958" s="119"/>
      <c r="J1958" s="47"/>
      <c r="K1958" s="143"/>
    </row>
    <row r="1959" spans="2:11" ht="24.9" customHeight="1" x14ac:dyDescent="0.2">
      <c r="B1959" s="672" t="s">
        <v>1035</v>
      </c>
      <c r="C1959" s="108" t="str">
        <f>'LISTA DE INSUMOS'!A30</f>
        <v>MAT001</v>
      </c>
      <c r="D1959" s="139" t="str">
        <f>'LISTA DE INSUMOS'!B30</f>
        <v>Cemento gris saco por 50 kilos, incluye cargue, descargue y transporte</v>
      </c>
      <c r="E1959" s="108" t="str">
        <f>'LISTA DE INSUMOS'!C30</f>
        <v>Sc</v>
      </c>
      <c r="F1959" s="140">
        <v>0.15</v>
      </c>
      <c r="G1959" s="141">
        <f>'LISTA DE INSUMOS'!E30</f>
        <v>34500</v>
      </c>
      <c r="H1959" s="108">
        <v>1.05</v>
      </c>
      <c r="I1959" s="141">
        <f>ROUND((F1959*G1959*H1959),0)</f>
        <v>5434</v>
      </c>
      <c r="J1959" s="47"/>
      <c r="K1959" s="143"/>
    </row>
    <row r="1960" spans="2:11" ht="24.9" customHeight="1" x14ac:dyDescent="0.2">
      <c r="B1960" s="672"/>
      <c r="C1960" s="108" t="str">
        <f>'LISTA DE INSUMOS'!A41</f>
        <v>MAT012</v>
      </c>
      <c r="D1960" s="139" t="str">
        <f>'LISTA DE INSUMOS'!B41</f>
        <v>Gravilla #2</v>
      </c>
      <c r="E1960" s="108" t="str">
        <f>'LISTA DE INSUMOS'!C41</f>
        <v>Sc</v>
      </c>
      <c r="F1960" s="140">
        <v>0.5</v>
      </c>
      <c r="G1960" s="141">
        <f>'LISTA DE INSUMOS'!E41</f>
        <v>29154.431975760002</v>
      </c>
      <c r="H1960" s="108">
        <v>1.03</v>
      </c>
      <c r="I1960" s="141">
        <f>ROUND((F1960*G1960*H1960),0)</f>
        <v>15015</v>
      </c>
      <c r="J1960" s="47"/>
      <c r="K1960" s="143"/>
    </row>
    <row r="1961" spans="2:11" ht="24.9" customHeight="1" x14ac:dyDescent="0.2">
      <c r="B1961" s="672"/>
      <c r="C1961" s="108" t="str">
        <f>'LISTA DE INSUMOS'!A273</f>
        <v>MAT243</v>
      </c>
      <c r="D1961" s="139" t="str">
        <f>'LISTA DE INSUMOS'!B273</f>
        <v>Dilatación de vidrio</v>
      </c>
      <c r="E1961" s="108" t="str">
        <f>'LISTA DE INSUMOS'!C273</f>
        <v>M</v>
      </c>
      <c r="F1961" s="140">
        <v>1.75</v>
      </c>
      <c r="G1961" s="141">
        <f>'LISTA DE INSUMOS'!E273</f>
        <v>378.6537487116384</v>
      </c>
      <c r="H1961" s="108">
        <v>0</v>
      </c>
      <c r="I1961" s="141">
        <f>ROUND((F1961*G1961),0)</f>
        <v>663</v>
      </c>
      <c r="J1961" s="47"/>
      <c r="K1961" s="143"/>
    </row>
    <row r="1962" spans="2:11" ht="24.9" customHeight="1" x14ac:dyDescent="0.2">
      <c r="B1962" s="672"/>
      <c r="C1962" s="108" t="str">
        <f>'LISTA DE INSUMOS'!A42</f>
        <v>MAT013</v>
      </c>
      <c r="D1962" s="139" t="str">
        <f>'LISTA DE INSUMOS'!B42</f>
        <v xml:space="preserve">Agua </v>
      </c>
      <c r="E1962" s="108" t="str">
        <f>'LISTA DE INSUMOS'!C42</f>
        <v>Lt</v>
      </c>
      <c r="F1962" s="140">
        <v>35</v>
      </c>
      <c r="G1962" s="141">
        <f>'LISTA DE INSUMOS'!E42</f>
        <v>96.828790046226644</v>
      </c>
      <c r="H1962" s="108">
        <v>0</v>
      </c>
      <c r="I1962" s="141">
        <f>ROUND((F1962*G1962),0)</f>
        <v>3389</v>
      </c>
      <c r="J1962" s="47"/>
      <c r="K1962" s="143"/>
    </row>
    <row r="1963" spans="2:11" ht="24.9" customHeight="1" thickBot="1" x14ac:dyDescent="0.25">
      <c r="B1963" s="673"/>
      <c r="C1963" s="108" t="str">
        <f>'LISTA DE INSUMOS'!A297</f>
        <v>MAT269</v>
      </c>
      <c r="D1963" s="139" t="str">
        <f>'LISTA DE INSUMOS'!B297</f>
        <v>Tableta tipo Portal de 0,30 x 0,15 m</v>
      </c>
      <c r="E1963" s="108" t="str">
        <f>'LISTA DE INSUMOS'!C297</f>
        <v>M2</v>
      </c>
      <c r="F1963" s="140">
        <v>0.5</v>
      </c>
      <c r="G1963" s="141">
        <f>'LISTA DE INSUMOS'!E297</f>
        <v>45189.654914352097</v>
      </c>
      <c r="H1963" s="108">
        <v>1.1000000000000001</v>
      </c>
      <c r="I1963" s="141">
        <f>ROUND((F1963*G1963*H1963),0)</f>
        <v>24854</v>
      </c>
      <c r="J1963" s="47"/>
      <c r="K1963" s="143"/>
    </row>
    <row r="1964" spans="2:11" ht="24.9" customHeight="1" thickTop="1" thickBot="1" x14ac:dyDescent="0.25">
      <c r="B1964" s="191" t="s">
        <v>1310</v>
      </c>
      <c r="C1964" s="108" t="str">
        <f>+B574</f>
        <v>ITE96</v>
      </c>
      <c r="D1964" s="139" t="str">
        <f>+D574</f>
        <v>Mortero 1:3 (producción)</v>
      </c>
      <c r="E1964" s="108" t="str">
        <f>E574</f>
        <v>M3</v>
      </c>
      <c r="F1964" s="140">
        <v>0.02</v>
      </c>
      <c r="G1964" s="141">
        <f>G574</f>
        <v>580906</v>
      </c>
      <c r="H1964" s="108">
        <v>1.05</v>
      </c>
      <c r="I1964" s="141">
        <f>ROUND((F1964*G1964*H1964),0)</f>
        <v>12199</v>
      </c>
      <c r="J1964" s="47"/>
      <c r="K1964" s="143"/>
    </row>
    <row r="1965" spans="2:11" ht="24.9" customHeight="1" thickTop="1" thickBot="1" x14ac:dyDescent="0.25">
      <c r="B1965" s="158" t="s">
        <v>1034</v>
      </c>
      <c r="C1965" s="108" t="str">
        <f>+'LISTA DE INSUMOS'!A18</f>
        <v>MOB015</v>
      </c>
      <c r="D1965" s="139" t="str">
        <f>'LISTA DE INSUMOS'!B18</f>
        <v>Cuadrilla E 1 Of + 1 Ay (jornal + prestaciones)</v>
      </c>
      <c r="E1965" s="108" t="str">
        <f>'LISTA DE INSUMOS'!C18</f>
        <v>Día</v>
      </c>
      <c r="F1965" s="140">
        <v>1</v>
      </c>
      <c r="G1965" s="141">
        <f>'LISTA DE INSUMOS'!E18</f>
        <v>245584</v>
      </c>
      <c r="H1965" s="108">
        <f>1/6</f>
        <v>0.16666666666666666</v>
      </c>
      <c r="I1965" s="141">
        <f>ROUND((F1965*G1965*H1965),0)</f>
        <v>40931</v>
      </c>
      <c r="J1965" s="47"/>
      <c r="K1965" s="143"/>
    </row>
    <row r="1966" spans="2:11" ht="22.5" customHeight="1" thickTop="1" thickBot="1" x14ac:dyDescent="0.25">
      <c r="B1966" s="150" t="s">
        <v>1033</v>
      </c>
      <c r="C1966" s="151" t="str">
        <f>'LISTA DE INSUMOS'!A758</f>
        <v>EQU002</v>
      </c>
      <c r="D1966" s="146" t="str">
        <f>'LISTA DE INSUMOS'!B758</f>
        <v>Herramienta menor (% mano obra)</v>
      </c>
      <c r="E1966" s="145" t="str">
        <f>'LISTA DE INSUMOS'!C758</f>
        <v>%MO</v>
      </c>
      <c r="F1966" s="147">
        <v>0.1</v>
      </c>
      <c r="G1966" s="148">
        <f>I1965</f>
        <v>40931</v>
      </c>
      <c r="H1966" s="145">
        <v>0</v>
      </c>
      <c r="I1966" s="148">
        <f>ROUND((F1966*G1966),0)</f>
        <v>4093</v>
      </c>
      <c r="J1966" s="47"/>
      <c r="K1966" s="143"/>
    </row>
    <row r="1967" spans="2:11" s="317" customFormat="1" ht="24.9" hidden="1" customHeight="1" x14ac:dyDescent="0.2">
      <c r="B1967" s="319" t="s">
        <v>1841</v>
      </c>
      <c r="C1967" s="319"/>
      <c r="D1967" s="320" t="s">
        <v>1673</v>
      </c>
      <c r="E1967" s="319" t="s">
        <v>1424</v>
      </c>
      <c r="F1967" s="321"/>
      <c r="G1967" s="312">
        <f>ROUND(SUM(I1967:I1976),0)</f>
        <v>134471</v>
      </c>
      <c r="H1967" s="322"/>
      <c r="I1967" s="312"/>
      <c r="J1967" s="313"/>
      <c r="K1967" s="323"/>
    </row>
    <row r="1968" spans="2:11" s="317" customFormat="1" ht="24.9" hidden="1" customHeight="1" x14ac:dyDescent="0.2">
      <c r="B1968" s="691" t="s">
        <v>1035</v>
      </c>
      <c r="C1968" s="322" t="str">
        <f>'LISTA DE INSUMOS'!A30</f>
        <v>MAT001</v>
      </c>
      <c r="D1968" s="324" t="str">
        <f>'LISTA DE INSUMOS'!B30</f>
        <v>Cemento gris saco por 50 kilos, incluye cargue, descargue y transporte</v>
      </c>
      <c r="E1968" s="322" t="str">
        <f>'LISTA DE INSUMOS'!C30</f>
        <v>Sc</v>
      </c>
      <c r="F1968" s="325">
        <v>0.15</v>
      </c>
      <c r="G1968" s="312">
        <f>'LISTA DE INSUMOS'!E30</f>
        <v>34500</v>
      </c>
      <c r="H1968" s="322">
        <v>1.05</v>
      </c>
      <c r="I1968" s="312">
        <f>ROUND((F1968*G1968*H1968),0)</f>
        <v>5434</v>
      </c>
      <c r="J1968" s="313"/>
      <c r="K1968" s="323"/>
    </row>
    <row r="1969" spans="2:11" s="317" customFormat="1" ht="24.9" hidden="1" customHeight="1" x14ac:dyDescent="0.2">
      <c r="B1969" s="691"/>
      <c r="C1969" s="322" t="str">
        <f>'LISTA DE INSUMOS'!A298</f>
        <v>MAT270</v>
      </c>
      <c r="D1969" s="324" t="str">
        <f>'LISTA DE INSUMOS'!B298</f>
        <v>Tablón tipo Andino de 0,10 x 0,20 m</v>
      </c>
      <c r="E1969" s="322" t="str">
        <f>'LISTA DE INSUMOS'!C298</f>
        <v>M2</v>
      </c>
      <c r="F1969" s="325">
        <v>0.2</v>
      </c>
      <c r="G1969" s="312">
        <f>'LISTA DE INSUMOS'!E298</f>
        <v>39028.959503687998</v>
      </c>
      <c r="H1969" s="322">
        <v>1.1000000000000001</v>
      </c>
      <c r="I1969" s="312">
        <f>ROUND((F1969*G1969*H1969),0)</f>
        <v>8586</v>
      </c>
      <c r="J1969" s="313"/>
      <c r="K1969" s="323"/>
    </row>
    <row r="1970" spans="2:11" s="317" customFormat="1" ht="24.9" hidden="1" customHeight="1" x14ac:dyDescent="0.2">
      <c r="B1970" s="691"/>
      <c r="C1970" s="322" t="str">
        <f>'LISTA DE INSUMOS'!A41</f>
        <v>MAT012</v>
      </c>
      <c r="D1970" s="324" t="str">
        <f>'LISTA DE INSUMOS'!B41</f>
        <v>Gravilla #2</v>
      </c>
      <c r="E1970" s="322" t="str">
        <f>'LISTA DE INSUMOS'!C41</f>
        <v>Sc</v>
      </c>
      <c r="F1970" s="325">
        <v>1</v>
      </c>
      <c r="G1970" s="312">
        <f>'LISTA DE INSUMOS'!E41</f>
        <v>29154.431975760002</v>
      </c>
      <c r="H1970" s="322">
        <v>1.03</v>
      </c>
      <c r="I1970" s="312">
        <f>ROUND((F1970*G1970*H1970),0)</f>
        <v>30029</v>
      </c>
      <c r="J1970" s="313"/>
      <c r="K1970" s="323"/>
    </row>
    <row r="1971" spans="2:11" s="317" customFormat="1" ht="24.9" hidden="1" customHeight="1" x14ac:dyDescent="0.2">
      <c r="B1971" s="691"/>
      <c r="C1971" s="322" t="str">
        <f>'LISTA DE INSUMOS'!A42</f>
        <v>MAT013</v>
      </c>
      <c r="D1971" s="324" t="str">
        <f>'LISTA DE INSUMOS'!B42</f>
        <v xml:space="preserve">Agua </v>
      </c>
      <c r="E1971" s="322" t="s">
        <v>2114</v>
      </c>
      <c r="F1971" s="325">
        <v>35</v>
      </c>
      <c r="G1971" s="312">
        <f>'LISTA DE INSUMOS'!E42</f>
        <v>96.828790046226644</v>
      </c>
      <c r="H1971" s="322">
        <v>0</v>
      </c>
      <c r="I1971" s="312">
        <f>ROUND((F1971*G1971),0)</f>
        <v>3389</v>
      </c>
      <c r="J1971" s="313"/>
      <c r="K1971" s="323"/>
    </row>
    <row r="1972" spans="2:11" s="317" customFormat="1" ht="24.9" hidden="1" customHeight="1" x14ac:dyDescent="0.2">
      <c r="B1972" s="691"/>
      <c r="C1972" s="322" t="str">
        <f>'LISTA DE INSUMOS'!A50</f>
        <v>MAT019</v>
      </c>
      <c r="D1972" s="324" t="str">
        <f>'LISTA DE INSUMOS'!B50</f>
        <v>Listón sajo de 5 x 3 cm x 2,5 m (varilla)</v>
      </c>
      <c r="E1972" s="322" t="str">
        <f>'LISTA DE INSUMOS'!C50</f>
        <v>M</v>
      </c>
      <c r="F1972" s="325">
        <v>2</v>
      </c>
      <c r="G1972" s="312">
        <f>'LISTA DE INSUMOS'!E50</f>
        <v>7285.5458999999992</v>
      </c>
      <c r="H1972" s="322">
        <v>0</v>
      </c>
      <c r="I1972" s="312">
        <f>ROUND((F1972*G1972),0)</f>
        <v>14571</v>
      </c>
      <c r="J1972" s="313"/>
      <c r="K1972" s="323"/>
    </row>
    <row r="1973" spans="2:11" s="317" customFormat="1" ht="24.9" hidden="1" customHeight="1" thickBot="1" x14ac:dyDescent="0.25">
      <c r="B1973" s="692"/>
      <c r="C1973" s="322" t="str">
        <f>'LISTA DE INSUMOS'!A52</f>
        <v>MAT021</v>
      </c>
      <c r="D1973" s="324" t="str">
        <f>'LISTA DE INSUMOS'!B52</f>
        <v>Puntilla (promedio)</v>
      </c>
      <c r="E1973" s="322" t="str">
        <f>'LISTA DE INSUMOS'!C52</f>
        <v>Lb</v>
      </c>
      <c r="F1973" s="321">
        <v>0.02</v>
      </c>
      <c r="G1973" s="312">
        <f>'LISTA DE INSUMOS'!E52</f>
        <v>6690.6972299999998</v>
      </c>
      <c r="H1973" s="349">
        <v>0</v>
      </c>
      <c r="I1973" s="312">
        <f>ROUND((F1973*G1973),0)</f>
        <v>134</v>
      </c>
      <c r="J1973" s="313"/>
      <c r="K1973" s="323"/>
    </row>
    <row r="1974" spans="2:11" s="317" customFormat="1" ht="24.9" hidden="1" customHeight="1" thickTop="1" thickBot="1" x14ac:dyDescent="0.25">
      <c r="B1974" s="347" t="s">
        <v>1310</v>
      </c>
      <c r="C1974" s="322" t="str">
        <f>+B574</f>
        <v>ITE96</v>
      </c>
      <c r="D1974" s="324" t="str">
        <f>+D574</f>
        <v>Mortero 1:3 (producción)</v>
      </c>
      <c r="E1974" s="322" t="str">
        <f>E574</f>
        <v>M3</v>
      </c>
      <c r="F1974" s="325">
        <v>0.03</v>
      </c>
      <c r="G1974" s="312">
        <f>G574</f>
        <v>580906</v>
      </c>
      <c r="H1974" s="322">
        <v>1.05</v>
      </c>
      <c r="I1974" s="312">
        <f>ROUND((F1974*G1974*H1974),0)</f>
        <v>18299</v>
      </c>
      <c r="J1974" s="313"/>
      <c r="K1974" s="323"/>
    </row>
    <row r="1975" spans="2:11" s="317" customFormat="1" ht="24.9" hidden="1" customHeight="1" thickTop="1" thickBot="1" x14ac:dyDescent="0.25">
      <c r="B1975" s="342" t="s">
        <v>1034</v>
      </c>
      <c r="C1975" s="322" t="str">
        <f>'LISTA DE INSUMOS'!A18</f>
        <v>MOB015</v>
      </c>
      <c r="D1975" s="324" t="str">
        <f>'LISTA DE INSUMOS'!B18</f>
        <v>Cuadrilla E 1 Of + 1 Ay (jornal + prestaciones)</v>
      </c>
      <c r="E1975" s="322" t="str">
        <f>'LISTA DE INSUMOS'!C18</f>
        <v>Día</v>
      </c>
      <c r="F1975" s="325">
        <v>1</v>
      </c>
      <c r="G1975" s="312">
        <f>'LISTA DE INSUMOS'!E18</f>
        <v>245584</v>
      </c>
      <c r="H1975" s="322">
        <f>1/5</f>
        <v>0.2</v>
      </c>
      <c r="I1975" s="312">
        <f>ROUND((F1975*G1975*H1975),0)</f>
        <v>49117</v>
      </c>
      <c r="J1975" s="313"/>
      <c r="K1975" s="323"/>
    </row>
    <row r="1976" spans="2:11" s="317" customFormat="1" ht="24.9" hidden="1" customHeight="1" thickTop="1" thickBot="1" x14ac:dyDescent="0.25">
      <c r="B1976" s="255" t="s">
        <v>1033</v>
      </c>
      <c r="C1976" s="327" t="str">
        <f>'LISTA DE INSUMOS'!A758</f>
        <v>EQU002</v>
      </c>
      <c r="D1976" s="328" t="str">
        <f>'LISTA DE INSUMOS'!B758</f>
        <v>Herramienta menor (% mano obra)</v>
      </c>
      <c r="E1976" s="329" t="str">
        <f>'LISTA DE INSUMOS'!C758</f>
        <v>%MO</v>
      </c>
      <c r="F1976" s="330">
        <v>0.1</v>
      </c>
      <c r="G1976" s="331">
        <f>I1975</f>
        <v>49117</v>
      </c>
      <c r="H1976" s="329">
        <v>0</v>
      </c>
      <c r="I1976" s="331">
        <f>ROUND((F1976*G1976),0)</f>
        <v>4912</v>
      </c>
      <c r="J1976" s="313"/>
      <c r="K1976" s="323"/>
    </row>
    <row r="1977" spans="2:11" s="317" customFormat="1" ht="24.9" hidden="1" customHeight="1" x14ac:dyDescent="0.2">
      <c r="B1977" s="353" t="s">
        <v>1428</v>
      </c>
      <c r="C1977" s="319"/>
      <c r="D1977" s="320" t="s">
        <v>283</v>
      </c>
      <c r="E1977" s="319" t="s">
        <v>2585</v>
      </c>
      <c r="F1977" s="332"/>
      <c r="G1977" s="312">
        <f>ROUND(SUM(I1977:I1988),0)</f>
        <v>513724</v>
      </c>
      <c r="H1977" s="322"/>
      <c r="I1977" s="312"/>
      <c r="J1977" s="313"/>
      <c r="K1977" s="323"/>
    </row>
    <row r="1978" spans="2:11" s="317" customFormat="1" ht="24.9" hidden="1" customHeight="1" x14ac:dyDescent="0.2">
      <c r="B1978" s="691" t="s">
        <v>1035</v>
      </c>
      <c r="C1978" s="322" t="str">
        <f>'LISTA DE INSUMOS'!A221</f>
        <v>MAT189</v>
      </c>
      <c r="D1978" s="324" t="str">
        <f>'LISTA DE INSUMOS'!B221</f>
        <v>Ángulo de 1 1/2" x 1/8"</v>
      </c>
      <c r="E1978" s="322" t="str">
        <f>'LISTA DE INSUMOS'!C221</f>
        <v>M</v>
      </c>
      <c r="F1978" s="325">
        <v>4.2</v>
      </c>
      <c r="G1978" s="312">
        <f>'LISTA DE INSUMOS'!E221</f>
        <v>12680.5736574</v>
      </c>
      <c r="H1978" s="322">
        <v>1.05</v>
      </c>
      <c r="I1978" s="312">
        <f>ROUND((F1978*G1978*H1978),0)</f>
        <v>55921</v>
      </c>
      <c r="J1978" s="313"/>
      <c r="K1978" s="323"/>
    </row>
    <row r="1979" spans="2:11" s="317" customFormat="1" ht="24.9" hidden="1" customHeight="1" x14ac:dyDescent="0.2">
      <c r="B1979" s="691"/>
      <c r="C1979" s="322" t="str">
        <f>'LISTA DE INSUMOS'!A180</f>
        <v>MAT133</v>
      </c>
      <c r="D1979" s="324" t="str">
        <f>'LISTA DE INSUMOS'!B180</f>
        <v>Malla eslabonada 2" x 2" C 13</v>
      </c>
      <c r="E1979" s="322" t="str">
        <f>'LISTA DE INSUMOS'!C180</f>
        <v>M2</v>
      </c>
      <c r="F1979" s="325">
        <v>1</v>
      </c>
      <c r="G1979" s="312">
        <f>'LISTA DE INSUMOS'!E180</f>
        <v>43792.809428939989</v>
      </c>
      <c r="H1979" s="322">
        <v>1.05</v>
      </c>
      <c r="I1979" s="312">
        <f>ROUND((F1979*G1979*H1979),0)</f>
        <v>45982</v>
      </c>
      <c r="J1979" s="313"/>
      <c r="K1979" s="323"/>
    </row>
    <row r="1980" spans="2:11" s="317" customFormat="1" ht="24.9" hidden="1" customHeight="1" x14ac:dyDescent="0.2">
      <c r="B1980" s="691"/>
      <c r="C1980" s="322" t="str">
        <f>'LISTA DE INSUMOS'!A213</f>
        <v>MAT177</v>
      </c>
      <c r="D1980" s="324" t="str">
        <f>'LISTA DE INSUMOS'!B213</f>
        <v>Soldadura para hierro estructural</v>
      </c>
      <c r="E1980" s="322" t="str">
        <f>'LISTA DE INSUMOS'!C213</f>
        <v>Kg</v>
      </c>
      <c r="F1980" s="325">
        <v>1.4</v>
      </c>
      <c r="G1980" s="312">
        <f>'LISTA DE INSUMOS'!E213</f>
        <v>14247.017999999998</v>
      </c>
      <c r="H1980" s="322">
        <v>0</v>
      </c>
      <c r="I1980" s="312">
        <f t="shared" ref="I1980:I1985" si="22">ROUND((F1980*G1980),0)</f>
        <v>19946</v>
      </c>
      <c r="J1980" s="313"/>
      <c r="K1980" s="323"/>
    </row>
    <row r="1981" spans="2:11" s="317" customFormat="1" ht="24.9" hidden="1" customHeight="1" x14ac:dyDescent="0.2">
      <c r="B1981" s="691"/>
      <c r="C1981" s="322" t="str">
        <f>'LISTA DE INSUMOS'!A115</f>
        <v>MAT073</v>
      </c>
      <c r="D1981" s="324" t="str">
        <f>'LISTA DE INSUMOS'!B115</f>
        <v>Pasador metálico de 3"</v>
      </c>
      <c r="E1981" s="322" t="str">
        <f>'LISTA DE INSUMOS'!C115</f>
        <v>Un</v>
      </c>
      <c r="F1981" s="325">
        <v>0.36</v>
      </c>
      <c r="G1981" s="312">
        <f>'LISTA DE INSUMOS'!E115</f>
        <v>10089.089999999998</v>
      </c>
      <c r="H1981" s="322">
        <v>0</v>
      </c>
      <c r="I1981" s="312">
        <f t="shared" si="22"/>
        <v>3632</v>
      </c>
      <c r="J1981" s="313"/>
      <c r="K1981" s="323"/>
    </row>
    <row r="1982" spans="2:11" s="317" customFormat="1" ht="24.9" hidden="1" customHeight="1" x14ac:dyDescent="0.2">
      <c r="B1982" s="691"/>
      <c r="C1982" s="322" t="str">
        <f>'LISTA DE INSUMOS'!A166</f>
        <v>MAT121</v>
      </c>
      <c r="D1982" s="324" t="str">
        <f>'LISTA DE INSUMOS'!B166</f>
        <v>Bisagra de acero 2"</v>
      </c>
      <c r="E1982" s="322" t="str">
        <f>'LISTA DE INSUMOS'!C166</f>
        <v>Un</v>
      </c>
      <c r="F1982" s="325">
        <v>1.7</v>
      </c>
      <c r="G1982" s="312">
        <f>'LISTA DE INSUMOS'!E166</f>
        <v>12127.289999999999</v>
      </c>
      <c r="H1982" s="322">
        <v>0</v>
      </c>
      <c r="I1982" s="312">
        <f t="shared" si="22"/>
        <v>20616</v>
      </c>
      <c r="J1982" s="313"/>
      <c r="K1982" s="323"/>
    </row>
    <row r="1983" spans="2:11" s="317" customFormat="1" ht="24.9" hidden="1" customHeight="1" x14ac:dyDescent="0.2">
      <c r="B1983" s="691"/>
      <c r="C1983" s="322" t="str">
        <f>'LISTA DE INSUMOS'!A214</f>
        <v>MAT180</v>
      </c>
      <c r="D1983" s="324" t="str">
        <f>'LISTA DE INSUMOS'!B214</f>
        <v>Anticorrosivo gris</v>
      </c>
      <c r="E1983" s="322" t="str">
        <f>'LISTA DE INSUMOS'!C214</f>
        <v>Gl</v>
      </c>
      <c r="F1983" s="325">
        <v>0.53</v>
      </c>
      <c r="G1983" s="312">
        <f>'LISTA DE INSUMOS'!E214</f>
        <v>65120.489999999991</v>
      </c>
      <c r="H1983" s="322">
        <v>0</v>
      </c>
      <c r="I1983" s="312">
        <f t="shared" si="22"/>
        <v>34514</v>
      </c>
      <c r="J1983" s="313"/>
      <c r="K1983" s="323"/>
    </row>
    <row r="1984" spans="2:11" s="317" customFormat="1" ht="24.9" hidden="1" customHeight="1" x14ac:dyDescent="0.2">
      <c r="B1984" s="691"/>
      <c r="C1984" s="322" t="str">
        <f>'LISTA DE INSUMOS'!A153</f>
        <v>MAT112</v>
      </c>
      <c r="D1984" s="324" t="str">
        <f>'LISTA DE INSUMOS'!B153</f>
        <v>Pintura esmalte para exteriores</v>
      </c>
      <c r="E1984" s="322" t="str">
        <f>'LISTA DE INSUMOS'!C153</f>
        <v>Gl</v>
      </c>
      <c r="F1984" s="325">
        <v>0.53</v>
      </c>
      <c r="G1984" s="312">
        <f>'LISTA DE INSUMOS'!E153</f>
        <v>99769.889999999985</v>
      </c>
      <c r="H1984" s="322">
        <v>0</v>
      </c>
      <c r="I1984" s="312">
        <f t="shared" si="22"/>
        <v>52878</v>
      </c>
      <c r="J1984" s="313"/>
      <c r="K1984" s="323"/>
    </row>
    <row r="1985" spans="2:11" s="317" customFormat="1" ht="24.9" hidden="1" customHeight="1" thickBot="1" x14ac:dyDescent="0.25">
      <c r="B1985" s="691"/>
      <c r="C1985" s="322" t="str">
        <f>'LISTA DE INSUMOS'!A37</f>
        <v>MAT008</v>
      </c>
      <c r="D1985" s="324" t="str">
        <f>'LISTA DE INSUMOS'!B37</f>
        <v>Manija (asa) para puerta</v>
      </c>
      <c r="E1985" s="322" t="str">
        <f>'LISTA DE INSUMOS'!C37</f>
        <v>Un</v>
      </c>
      <c r="F1985" s="325">
        <v>0.36</v>
      </c>
      <c r="G1985" s="312">
        <f>'LISTA DE INSUMOS'!E37</f>
        <v>15900</v>
      </c>
      <c r="H1985" s="322">
        <v>0</v>
      </c>
      <c r="I1985" s="312">
        <f t="shared" si="22"/>
        <v>5724</v>
      </c>
      <c r="J1985" s="313"/>
      <c r="K1985" s="323"/>
    </row>
    <row r="1986" spans="2:11" s="317" customFormat="1" ht="24.9" hidden="1" customHeight="1" thickTop="1" thickBot="1" x14ac:dyDescent="0.25">
      <c r="B1986" s="342" t="s">
        <v>1034</v>
      </c>
      <c r="C1986" s="322" t="str">
        <f>'LISTA DE INSUMOS'!A9</f>
        <v>MOB006</v>
      </c>
      <c r="D1986" s="324" t="str">
        <f>'LISTA DE INSUMOS'!B9</f>
        <v>Cuadrilla A 1 Of + 4 Ay (jornal + prestaciones)</v>
      </c>
      <c r="E1986" s="322" t="str">
        <f>'LISTA DE INSUMOS'!C9</f>
        <v>Día</v>
      </c>
      <c r="F1986" s="325">
        <v>1</v>
      </c>
      <c r="G1986" s="312">
        <f>'LISTA DE INSUMOS'!E9</f>
        <v>491167</v>
      </c>
      <c r="H1986" s="322">
        <f>1/2</f>
        <v>0.5</v>
      </c>
      <c r="I1986" s="312">
        <f>ROUND((F1986*G1986*H1986),0)</f>
        <v>245584</v>
      </c>
      <c r="J1986" s="313"/>
      <c r="K1986" s="323"/>
    </row>
    <row r="1987" spans="2:11" s="317" customFormat="1" ht="24.9" hidden="1" customHeight="1" thickTop="1" x14ac:dyDescent="0.2">
      <c r="B1987" s="693" t="s">
        <v>1033</v>
      </c>
      <c r="C1987" s="338" t="str">
        <f>'LISTA DE INSUMOS'!A796</f>
        <v>EQU039</v>
      </c>
      <c r="D1987" s="339" t="str">
        <f>'LISTA DE INSUMOS'!B796</f>
        <v>Equipo soldadura eléctrica</v>
      </c>
      <c r="E1987" s="322" t="str">
        <f>'LISTA DE INSUMOS'!C796</f>
        <v>Día</v>
      </c>
      <c r="F1987" s="325">
        <v>1</v>
      </c>
      <c r="G1987" s="341">
        <f>'LISTA DE INSUMOS'!E796</f>
        <v>43693.897103999996</v>
      </c>
      <c r="H1987" s="322">
        <f>1/10</f>
        <v>0.1</v>
      </c>
      <c r="I1987" s="312">
        <f>ROUND((F1987*G1987*H1987),0)</f>
        <v>4369</v>
      </c>
      <c r="J1987" s="313"/>
      <c r="K1987" s="323"/>
    </row>
    <row r="1988" spans="2:11" s="317" customFormat="1" ht="24.9" hidden="1" customHeight="1" thickBot="1" x14ac:dyDescent="0.25">
      <c r="B1988" s="694"/>
      <c r="C1988" s="327" t="str">
        <f>'LISTA DE INSUMOS'!A758</f>
        <v>EQU002</v>
      </c>
      <c r="D1988" s="328" t="str">
        <f>'LISTA DE INSUMOS'!B758</f>
        <v>Herramienta menor (% mano obra)</v>
      </c>
      <c r="E1988" s="329" t="str">
        <f>'LISTA DE INSUMOS'!C758</f>
        <v>%MO</v>
      </c>
      <c r="F1988" s="330">
        <v>0.1</v>
      </c>
      <c r="G1988" s="331">
        <f>I1986</f>
        <v>245584</v>
      </c>
      <c r="H1988" s="329">
        <v>0</v>
      </c>
      <c r="I1988" s="331">
        <f>ROUND((F1988*G1988),0)</f>
        <v>24558</v>
      </c>
      <c r="J1988" s="313"/>
      <c r="K1988" s="323"/>
    </row>
    <row r="1989" spans="2:11" s="317" customFormat="1" ht="3" hidden="1" customHeight="1" x14ac:dyDescent="0.2">
      <c r="B1989" s="319" t="s">
        <v>1425</v>
      </c>
      <c r="C1989" s="319"/>
      <c r="D1989" s="320" t="s">
        <v>273</v>
      </c>
      <c r="E1989" s="319" t="s">
        <v>2585</v>
      </c>
      <c r="F1989" s="321"/>
      <c r="G1989" s="312">
        <f>ROUND(SUM(I1989:I1995),0)</f>
        <v>79282</v>
      </c>
      <c r="H1989" s="322"/>
      <c r="I1989" s="312"/>
      <c r="J1989" s="313"/>
      <c r="K1989" s="323"/>
    </row>
    <row r="1990" spans="2:11" s="317" customFormat="1" ht="22.5" hidden="1" customHeight="1" x14ac:dyDescent="0.2">
      <c r="B1990" s="691" t="s">
        <v>1035</v>
      </c>
      <c r="C1990" s="322" t="str">
        <f>'LISTA DE INSUMOS'!A31</f>
        <v>MAT002</v>
      </c>
      <c r="D1990" s="324" t="str">
        <f>'LISTA DE INSUMOS'!B31</f>
        <v>Cemento blanco</v>
      </c>
      <c r="E1990" s="322" t="str">
        <f>'LISTA DE INSUMOS'!C31</f>
        <v>Kg</v>
      </c>
      <c r="F1990" s="325">
        <v>1</v>
      </c>
      <c r="G1990" s="312">
        <f>'LISTA DE INSUMOS'!E31</f>
        <v>2900</v>
      </c>
      <c r="H1990" s="322">
        <v>1.05</v>
      </c>
      <c r="I1990" s="312">
        <f>ROUND((F1990*G1990*H1990),0)</f>
        <v>3045</v>
      </c>
      <c r="J1990" s="313"/>
      <c r="K1990" s="323"/>
    </row>
    <row r="1991" spans="2:11" s="317" customFormat="1" ht="23.25" hidden="1" customHeight="1" x14ac:dyDescent="0.2">
      <c r="B1991" s="691"/>
      <c r="C1991" s="322" t="str">
        <f>'LISTA DE INSUMOS'!A301</f>
        <v>MAT274</v>
      </c>
      <c r="D1991" s="324" t="str">
        <f>'LISTA DE INSUMOS'!B301</f>
        <v>Pisofuerte tipo Corona EXTERIOR TURIN 55X55</v>
      </c>
      <c r="E1991" s="322" t="str">
        <f>'LISTA DE INSUMOS'!C301</f>
        <v>M2</v>
      </c>
      <c r="F1991" s="325">
        <v>1</v>
      </c>
      <c r="G1991" s="312">
        <f>'LISTA DE INSUMOS'!E301</f>
        <v>37125.680924639993</v>
      </c>
      <c r="H1991" s="322">
        <v>1.1000000000000001</v>
      </c>
      <c r="I1991" s="312">
        <f>ROUND((F1991*G1991*H1991),0)</f>
        <v>40838</v>
      </c>
      <c r="J1991" s="313"/>
      <c r="K1991" s="323"/>
    </row>
    <row r="1992" spans="2:11" s="317" customFormat="1" ht="30.75" hidden="1" customHeight="1" x14ac:dyDescent="0.2">
      <c r="B1992" s="691"/>
      <c r="C1992" s="338" t="str">
        <f>'LISTA DE INSUMOS'!A618</f>
        <v>MAT634</v>
      </c>
      <c r="D1992" s="339" t="str">
        <f>'LISTA DE INSUMOS'!B618</f>
        <v>Boquilla para enchape</v>
      </c>
      <c r="E1992" s="322" t="str">
        <f>'LISTA DE INSUMOS'!C618</f>
        <v>Kg</v>
      </c>
      <c r="F1992" s="325">
        <v>0.35</v>
      </c>
      <c r="G1992" s="312">
        <f>'LISTA DE INSUMOS'!E618</f>
        <v>6158.7571953599981</v>
      </c>
      <c r="H1992" s="322">
        <v>1.05</v>
      </c>
      <c r="I1992" s="312">
        <f>ROUND((F1992*G1992*H1992),0)</f>
        <v>2263</v>
      </c>
      <c r="J1992" s="313"/>
      <c r="K1992" s="323"/>
    </row>
    <row r="1993" spans="2:11" s="317" customFormat="1" ht="25.5" hidden="1" customHeight="1" thickBot="1" x14ac:dyDescent="0.25">
      <c r="B1993" s="692"/>
      <c r="C1993" s="322" t="str">
        <f>'LISTA DE INSUMOS'!A515</f>
        <v>MAT532</v>
      </c>
      <c r="D1993" s="324" t="str">
        <f>'LISTA DE INSUMOS'!B515</f>
        <v>Fijador de cerámica tipo pegacor o similar</v>
      </c>
      <c r="E1993" s="322" t="str">
        <f>'LISTA DE INSUMOS'!C515</f>
        <v>Kg</v>
      </c>
      <c r="F1993" s="325">
        <v>4</v>
      </c>
      <c r="G1993" s="312">
        <f>'LISTA DE INSUMOS'!E515</f>
        <v>1457.6318472728572</v>
      </c>
      <c r="H1993" s="322">
        <v>1.05</v>
      </c>
      <c r="I1993" s="312">
        <f>ROUND((F1993*G1993*H1993),0)</f>
        <v>6122</v>
      </c>
      <c r="J1993" s="313"/>
      <c r="K1993" s="323"/>
    </row>
    <row r="1994" spans="2:11" s="317" customFormat="1" ht="27" hidden="1" customHeight="1" thickTop="1" thickBot="1" x14ac:dyDescent="0.25">
      <c r="B1994" s="363" t="s">
        <v>1034</v>
      </c>
      <c r="C1994" s="322" t="str">
        <f>'LISTA DE INSUMOS'!A18</f>
        <v>MOB015</v>
      </c>
      <c r="D1994" s="324" t="str">
        <f>'LISTA DE INSUMOS'!B18</f>
        <v>Cuadrilla E 1 Of + 1 Ay (jornal + prestaciones)</v>
      </c>
      <c r="E1994" s="322" t="str">
        <f>'LISTA DE INSUMOS'!C18</f>
        <v>Día</v>
      </c>
      <c r="F1994" s="325">
        <v>1</v>
      </c>
      <c r="G1994" s="312">
        <f>'LISTA DE INSUMOS'!E18</f>
        <v>245584</v>
      </c>
      <c r="H1994" s="322">
        <f>1/10</f>
        <v>0.1</v>
      </c>
      <c r="I1994" s="312">
        <f>ROUND((F1994*G1994*H1994),0)</f>
        <v>24558</v>
      </c>
      <c r="J1994" s="313"/>
      <c r="K1994" s="323"/>
    </row>
    <row r="1995" spans="2:11" s="317" customFormat="1" ht="29.25" hidden="1" customHeight="1" thickTop="1" thickBot="1" x14ac:dyDescent="0.25">
      <c r="B1995" s="255" t="s">
        <v>1033</v>
      </c>
      <c r="C1995" s="327" t="str">
        <f>'LISTA DE INSUMOS'!A758</f>
        <v>EQU002</v>
      </c>
      <c r="D1995" s="328" t="str">
        <f>'LISTA DE INSUMOS'!B758</f>
        <v>Herramienta menor (% mano obra)</v>
      </c>
      <c r="E1995" s="329" t="str">
        <f>'LISTA DE INSUMOS'!C758</f>
        <v>%MO</v>
      </c>
      <c r="F1995" s="330">
        <v>0.1</v>
      </c>
      <c r="G1995" s="331">
        <f>I1994</f>
        <v>24558</v>
      </c>
      <c r="H1995" s="329">
        <v>0</v>
      </c>
      <c r="I1995" s="331">
        <f>ROUND((F1995*G1995),0)</f>
        <v>2456</v>
      </c>
      <c r="J1995" s="313"/>
      <c r="K1995" s="323"/>
    </row>
    <row r="1996" spans="2:11" s="317" customFormat="1" ht="21.75" hidden="1" customHeight="1" x14ac:dyDescent="0.2">
      <c r="B1996" s="319" t="s">
        <v>1773</v>
      </c>
      <c r="C1996" s="319"/>
      <c r="D1996" s="320" t="s">
        <v>274</v>
      </c>
      <c r="E1996" s="319" t="s">
        <v>1412</v>
      </c>
      <c r="F1996" s="321"/>
      <c r="G1996" s="312">
        <f>ROUND(SUM(I1996:I2005),0)</f>
        <v>66341</v>
      </c>
      <c r="H1996" s="322"/>
      <c r="I1996" s="312"/>
      <c r="J1996" s="313"/>
      <c r="K1996" s="323"/>
    </row>
    <row r="1997" spans="2:11" s="317" customFormat="1" ht="21.75" hidden="1" customHeight="1" x14ac:dyDescent="0.2">
      <c r="B1997" s="691" t="s">
        <v>1035</v>
      </c>
      <c r="C1997" s="322" t="str">
        <f>'LISTA DE INSUMOS'!A52</f>
        <v>MAT021</v>
      </c>
      <c r="D1997" s="324" t="str">
        <f>'LISTA DE INSUMOS'!B52</f>
        <v>Puntilla (promedio)</v>
      </c>
      <c r="E1997" s="322" t="str">
        <f>'LISTA DE INSUMOS'!C52</f>
        <v>Lb</v>
      </c>
      <c r="F1997" s="321">
        <v>0.01</v>
      </c>
      <c r="G1997" s="312">
        <f>'LISTA DE INSUMOS'!E52</f>
        <v>6690.6972299999998</v>
      </c>
      <c r="H1997" s="349">
        <v>0</v>
      </c>
      <c r="I1997" s="312">
        <f>ROUND((F1997*G1997),0)</f>
        <v>67</v>
      </c>
      <c r="J1997" s="313"/>
      <c r="K1997" s="323"/>
    </row>
    <row r="1998" spans="2:11" s="317" customFormat="1" ht="23.25" hidden="1" customHeight="1" x14ac:dyDescent="0.2">
      <c r="B1998" s="691"/>
      <c r="C1998" s="322" t="str">
        <f>'LISTA DE INSUMOS'!A46</f>
        <v>MAT017</v>
      </c>
      <c r="D1998" s="324" t="str">
        <f>'LISTA DE INSUMOS'!B46</f>
        <v>Tabla para formaleta de 1" x 10" x 2,9 m</v>
      </c>
      <c r="E1998" s="322" t="str">
        <f>'LISTA DE INSUMOS'!C46</f>
        <v>M</v>
      </c>
      <c r="F1998" s="321">
        <v>1</v>
      </c>
      <c r="G1998" s="312">
        <f>'LISTA DE INSUMOS'!E46</f>
        <v>8112.0359999999991</v>
      </c>
      <c r="H1998" s="349">
        <f>1/3</f>
        <v>0.33333333333333331</v>
      </c>
      <c r="I1998" s="312">
        <f t="shared" ref="I1998:I2004" si="23">ROUND((F1998*G1998*H1998),0)</f>
        <v>2704</v>
      </c>
      <c r="J1998" s="313"/>
      <c r="K1998" s="323"/>
    </row>
    <row r="1999" spans="2:11" s="317" customFormat="1" ht="27.75" hidden="1" customHeight="1" thickBot="1" x14ac:dyDescent="0.25">
      <c r="B1999" s="692"/>
      <c r="C1999" s="322" t="str">
        <f>'LISTA DE INSUMOS'!A50</f>
        <v>MAT019</v>
      </c>
      <c r="D1999" s="324" t="str">
        <f>'LISTA DE INSUMOS'!B50</f>
        <v>Listón sajo de 5 x 3 cm x 2,5 m (varilla)</v>
      </c>
      <c r="E1999" s="322" t="str">
        <f>'LISTA DE INSUMOS'!C50</f>
        <v>M</v>
      </c>
      <c r="F1999" s="321">
        <v>2</v>
      </c>
      <c r="G1999" s="312">
        <f>'LISTA DE INSUMOS'!E50</f>
        <v>7285.5458999999992</v>
      </c>
      <c r="H1999" s="349">
        <f>1/3</f>
        <v>0.33333333333333331</v>
      </c>
      <c r="I1999" s="312">
        <f t="shared" si="23"/>
        <v>4857</v>
      </c>
      <c r="J1999" s="313"/>
      <c r="K1999" s="323"/>
    </row>
    <row r="2000" spans="2:11" s="317" customFormat="1" ht="18" hidden="1" customHeight="1" thickTop="1" x14ac:dyDescent="0.2">
      <c r="B2000" s="733" t="s">
        <v>1310</v>
      </c>
      <c r="C2000" s="322" t="str">
        <f>+B544</f>
        <v>ITE092</v>
      </c>
      <c r="D2000" s="324" t="str">
        <f>+D544</f>
        <v>Concreto de 20,7 Mpa (3000 psi) (producción)</v>
      </c>
      <c r="E2000" s="322" t="str">
        <f>E544</f>
        <v>M3</v>
      </c>
      <c r="F2000" s="361">
        <v>4.0000000000000001E-3</v>
      </c>
      <c r="G2000" s="312">
        <f>G544</f>
        <v>596118</v>
      </c>
      <c r="H2000" s="349">
        <v>1.05</v>
      </c>
      <c r="I2000" s="312">
        <f t="shared" si="23"/>
        <v>2504</v>
      </c>
      <c r="J2000" s="313"/>
      <c r="K2000" s="323"/>
    </row>
    <row r="2001" spans="2:11" s="317" customFormat="1" ht="7.5" hidden="1" customHeight="1" x14ac:dyDescent="0.2">
      <c r="B2001" s="714"/>
      <c r="C2001" s="322" t="str">
        <f>+B574</f>
        <v>ITE96</v>
      </c>
      <c r="D2001" s="324" t="str">
        <f>+D574</f>
        <v>Mortero 1:3 (producción)</v>
      </c>
      <c r="E2001" s="322" t="str">
        <f>E574</f>
        <v>M3</v>
      </c>
      <c r="F2001" s="351">
        <v>3.0000000000000001E-3</v>
      </c>
      <c r="G2001" s="312">
        <f>G574</f>
        <v>580906</v>
      </c>
      <c r="H2001" s="322">
        <v>1.05</v>
      </c>
      <c r="I2001" s="312">
        <f t="shared" si="23"/>
        <v>1830</v>
      </c>
      <c r="J2001" s="313"/>
      <c r="K2001" s="323"/>
    </row>
    <row r="2002" spans="2:11" s="317" customFormat="1" ht="25.5" hidden="1" customHeight="1" x14ac:dyDescent="0.2">
      <c r="B2002" s="714"/>
      <c r="C2002" s="322" t="str">
        <f>B587</f>
        <v>ITE98</v>
      </c>
      <c r="D2002" s="320" t="str">
        <f>D587</f>
        <v>Acero Fy = 60.000 psi d&gt;1/4"</v>
      </c>
      <c r="E2002" s="322" t="str">
        <f>E587</f>
        <v>Kg</v>
      </c>
      <c r="F2002" s="321">
        <v>1.3</v>
      </c>
      <c r="G2002" s="312">
        <f>G587</f>
        <v>7240</v>
      </c>
      <c r="H2002" s="349">
        <v>0</v>
      </c>
      <c r="I2002" s="312">
        <f>ROUND((F2002*G2002),0)</f>
        <v>9412</v>
      </c>
      <c r="J2002" s="313"/>
      <c r="K2002" s="323"/>
    </row>
    <row r="2003" spans="2:11" s="317" customFormat="1" ht="30" hidden="1" customHeight="1" thickBot="1" x14ac:dyDescent="0.25">
      <c r="B2003" s="715"/>
      <c r="C2003" s="322" t="str">
        <f>B1927</f>
        <v>ITE245</v>
      </c>
      <c r="D2003" s="324" t="str">
        <f>D1927</f>
        <v>Enchape en cerámica de 1ra. de 20 x 20 cm tipo Ecocerámica</v>
      </c>
      <c r="E2003" s="322" t="str">
        <f>E1927</f>
        <v>M2</v>
      </c>
      <c r="F2003" s="321">
        <v>0.18</v>
      </c>
      <c r="G2003" s="312">
        <f>G1927</f>
        <v>56562</v>
      </c>
      <c r="H2003" s="349">
        <v>1.1000000000000001</v>
      </c>
      <c r="I2003" s="312">
        <f t="shared" si="23"/>
        <v>11199</v>
      </c>
      <c r="J2003" s="313"/>
      <c r="K2003" s="323"/>
    </row>
    <row r="2004" spans="2:11" s="317" customFormat="1" ht="35.25" hidden="1" customHeight="1" thickTop="1" thickBot="1" x14ac:dyDescent="0.25">
      <c r="B2004" s="363" t="s">
        <v>1034</v>
      </c>
      <c r="C2004" s="322" t="str">
        <f>'LISTA DE INSUMOS'!A18</f>
        <v>MOB015</v>
      </c>
      <c r="D2004" s="324" t="str">
        <f>'LISTA DE INSUMOS'!B18</f>
        <v>Cuadrilla E 1 Of + 1 Ay (jornal + prestaciones)</v>
      </c>
      <c r="E2004" s="322" t="str">
        <f>'LISTA DE INSUMOS'!C18</f>
        <v>Día</v>
      </c>
      <c r="F2004" s="321">
        <v>1</v>
      </c>
      <c r="G2004" s="312">
        <f>'LISTA DE INSUMOS'!E18</f>
        <v>245584</v>
      </c>
      <c r="H2004" s="349">
        <f>1/8</f>
        <v>0.125</v>
      </c>
      <c r="I2004" s="312">
        <f t="shared" si="23"/>
        <v>30698</v>
      </c>
      <c r="J2004" s="313"/>
      <c r="K2004" s="323"/>
    </row>
    <row r="2005" spans="2:11" s="317" customFormat="1" ht="32.25" hidden="1" customHeight="1" thickTop="1" thickBot="1" x14ac:dyDescent="0.25">
      <c r="B2005" s="255" t="s">
        <v>1033</v>
      </c>
      <c r="C2005" s="327" t="str">
        <f>'LISTA DE INSUMOS'!A758</f>
        <v>EQU002</v>
      </c>
      <c r="D2005" s="328" t="str">
        <f>'LISTA DE INSUMOS'!B758</f>
        <v>Herramienta menor (% mano obra)</v>
      </c>
      <c r="E2005" s="329" t="str">
        <f>'LISTA DE INSUMOS'!C758</f>
        <v>%MO</v>
      </c>
      <c r="F2005" s="362">
        <v>0.1</v>
      </c>
      <c r="G2005" s="331">
        <f>I2004</f>
        <v>30698</v>
      </c>
      <c r="H2005" s="350">
        <v>0</v>
      </c>
      <c r="I2005" s="331">
        <f>ROUND((F2005*G2005),0)</f>
        <v>3070</v>
      </c>
      <c r="J2005" s="313"/>
      <c r="K2005" s="323"/>
    </row>
    <row r="2006" spans="2:11" s="317" customFormat="1" ht="29.25" hidden="1" customHeight="1" x14ac:dyDescent="0.2">
      <c r="B2006" s="319" t="s">
        <v>1825</v>
      </c>
      <c r="C2006" s="319"/>
      <c r="D2006" s="320" t="s">
        <v>2228</v>
      </c>
      <c r="E2006" s="319" t="s">
        <v>1412</v>
      </c>
      <c r="F2006" s="321"/>
      <c r="G2006" s="312">
        <f>ROUND(SUM(I2006:I2009),0)</f>
        <v>33654</v>
      </c>
      <c r="H2006" s="322"/>
      <c r="I2006" s="312"/>
      <c r="J2006" s="313"/>
      <c r="K2006" s="323"/>
    </row>
    <row r="2007" spans="2:11" s="317" customFormat="1" ht="36.75" hidden="1" customHeight="1" thickBot="1" x14ac:dyDescent="0.25">
      <c r="B2007" s="347" t="s">
        <v>1310</v>
      </c>
      <c r="C2007" s="322" t="str">
        <f>B1645</f>
        <v>ITE217</v>
      </c>
      <c r="D2007" s="324" t="str">
        <f>D1645</f>
        <v>Piso en granito pulido, incluye dilatación de bronce</v>
      </c>
      <c r="E2007" s="322" t="str">
        <f>E1645</f>
        <v>M2</v>
      </c>
      <c r="F2007" s="325">
        <v>0.15</v>
      </c>
      <c r="G2007" s="312">
        <f>+G1645</f>
        <v>212356</v>
      </c>
      <c r="H2007" s="322">
        <v>0</v>
      </c>
      <c r="I2007" s="312">
        <f>ROUND((F2007*G2007),0)</f>
        <v>31853</v>
      </c>
      <c r="J2007" s="313"/>
      <c r="K2007" s="323"/>
    </row>
    <row r="2008" spans="2:11" s="317" customFormat="1" ht="19.5" hidden="1" customHeight="1" thickTop="1" thickBot="1" x14ac:dyDescent="0.25">
      <c r="B2008" s="363" t="s">
        <v>1034</v>
      </c>
      <c r="C2008" s="322" t="str">
        <f>'LISTA DE INSUMOS'!A18</f>
        <v>MOB015</v>
      </c>
      <c r="D2008" s="324" t="str">
        <f>'LISTA DE INSUMOS'!B18</f>
        <v>Cuadrilla E 1 Of + 1 Ay (jornal + prestaciones)</v>
      </c>
      <c r="E2008" s="322" t="str">
        <f>'LISTA DE INSUMOS'!C18</f>
        <v>Día</v>
      </c>
      <c r="F2008" s="325">
        <v>1</v>
      </c>
      <c r="G2008" s="312">
        <f>'LISTA DE INSUMOS'!E18</f>
        <v>245584</v>
      </c>
      <c r="H2008" s="322">
        <f>1/150</f>
        <v>6.6666666666666671E-3</v>
      </c>
      <c r="I2008" s="312">
        <f>ROUND((F2008*G2008*H2008),0)</f>
        <v>1637</v>
      </c>
      <c r="J2008" s="313"/>
      <c r="K2008" s="323"/>
    </row>
    <row r="2009" spans="2:11" s="317" customFormat="1" ht="37.5" hidden="1" customHeight="1" thickTop="1" thickBot="1" x14ac:dyDescent="0.25">
      <c r="B2009" s="255" t="s">
        <v>1033</v>
      </c>
      <c r="C2009" s="327" t="str">
        <f>'LISTA DE INSUMOS'!A758</f>
        <v>EQU002</v>
      </c>
      <c r="D2009" s="328" t="str">
        <f>'LISTA DE INSUMOS'!B758</f>
        <v>Herramienta menor (% mano obra)</v>
      </c>
      <c r="E2009" s="329" t="str">
        <f>'LISTA DE INSUMOS'!C758</f>
        <v>%MO</v>
      </c>
      <c r="F2009" s="330">
        <v>0.1</v>
      </c>
      <c r="G2009" s="331">
        <f>I2008</f>
        <v>1637</v>
      </c>
      <c r="H2009" s="329">
        <v>0</v>
      </c>
      <c r="I2009" s="331">
        <f>ROUND((F2009*G2009),0)</f>
        <v>164</v>
      </c>
      <c r="J2009" s="313"/>
      <c r="K2009" s="323"/>
    </row>
    <row r="2010" spans="2:11" s="317" customFormat="1" ht="12" hidden="1" customHeight="1" x14ac:dyDescent="0.2">
      <c r="B2010" s="319" t="s">
        <v>1845</v>
      </c>
      <c r="C2010" s="319"/>
      <c r="D2010" s="320" t="s">
        <v>1910</v>
      </c>
      <c r="E2010" s="319" t="s">
        <v>1412</v>
      </c>
      <c r="F2010" s="321"/>
      <c r="G2010" s="312">
        <f>ROUND(SUM(I2010:I2016),0)</f>
        <v>17815</v>
      </c>
      <c r="H2010" s="322"/>
      <c r="I2010" s="312"/>
      <c r="J2010" s="313"/>
      <c r="K2010" s="323"/>
    </row>
    <row r="2011" spans="2:11" s="317" customFormat="1" ht="25.5" hidden="1" customHeight="1" x14ac:dyDescent="0.2">
      <c r="B2011" s="658" t="s">
        <v>1325</v>
      </c>
      <c r="C2011" s="322" t="str">
        <f>'LISTA DE INSUMOS'!A52</f>
        <v>MAT021</v>
      </c>
      <c r="D2011" s="324" t="str">
        <f>'LISTA DE INSUMOS'!B52</f>
        <v>Puntilla (promedio)</v>
      </c>
      <c r="E2011" s="322" t="str">
        <f>'LISTA DE INSUMOS'!C52</f>
        <v>Lb</v>
      </c>
      <c r="F2011" s="325">
        <f>1/120*14</f>
        <v>0.11666666666666667</v>
      </c>
      <c r="G2011" s="312">
        <f>'LISTA DE INSUMOS'!E52</f>
        <v>6690.6972299999998</v>
      </c>
      <c r="H2011" s="322">
        <v>0</v>
      </c>
      <c r="I2011" s="312">
        <f>ROUND((F2011*G2011),0)</f>
        <v>781</v>
      </c>
      <c r="J2011" s="313"/>
      <c r="K2011" s="323"/>
    </row>
    <row r="2012" spans="2:11" s="317" customFormat="1" ht="29.25" hidden="1" customHeight="1" thickBot="1" x14ac:dyDescent="0.25">
      <c r="B2012" s="668"/>
      <c r="C2012" s="322" t="str">
        <f>'LISTA DE INSUMOS'!A378</f>
        <v>MAT372</v>
      </c>
      <c r="D2012" s="324" t="str">
        <f>'LISTA DE INSUMOS'!B378</f>
        <v>MALLA VENA 0.60x2mt Cal. 34</v>
      </c>
      <c r="E2012" s="322" t="str">
        <f>'LISTA DE INSUMOS'!C378</f>
        <v>M2</v>
      </c>
      <c r="F2012" s="325">
        <v>0.5</v>
      </c>
      <c r="G2012" s="312">
        <f>'LISTA DE INSUMOS'!E378</f>
        <v>7377.6778902749993</v>
      </c>
      <c r="H2012" s="322">
        <v>1.05</v>
      </c>
      <c r="I2012" s="312">
        <f>ROUND((F2012*G2012*H2012),0)</f>
        <v>3873</v>
      </c>
      <c r="J2012" s="313"/>
      <c r="K2012" s="323"/>
    </row>
    <row r="2013" spans="2:11" s="317" customFormat="1" ht="27" hidden="1" customHeight="1" thickTop="1" thickBot="1" x14ac:dyDescent="0.25">
      <c r="B2013" s="347" t="s">
        <v>1310</v>
      </c>
      <c r="C2013" s="322" t="str">
        <f>+B574</f>
        <v>ITE96</v>
      </c>
      <c r="D2013" s="324" t="str">
        <f>+D574</f>
        <v>Mortero 1:3 (producción)</v>
      </c>
      <c r="E2013" s="322" t="str">
        <f>E574</f>
        <v>M3</v>
      </c>
      <c r="F2013" s="351">
        <v>0.01</v>
      </c>
      <c r="G2013" s="312">
        <f>G574</f>
        <v>580906</v>
      </c>
      <c r="H2013" s="322">
        <v>1.05</v>
      </c>
      <c r="I2013" s="312">
        <f>ROUND((F2013*G2013*H2013),0)</f>
        <v>6100</v>
      </c>
      <c r="J2013" s="313"/>
      <c r="K2013" s="323"/>
    </row>
    <row r="2014" spans="2:11" s="317" customFormat="1" ht="45.75" hidden="1" customHeight="1" thickTop="1" thickBot="1" x14ac:dyDescent="0.25">
      <c r="B2014" s="363" t="s">
        <v>1034</v>
      </c>
      <c r="C2014" s="322" t="str">
        <f>'LISTA DE INSUMOS'!A18</f>
        <v>MOB015</v>
      </c>
      <c r="D2014" s="324" t="str">
        <f>'LISTA DE INSUMOS'!B18</f>
        <v>Cuadrilla E 1 Of + 1 Ay (jornal + prestaciones)</v>
      </c>
      <c r="E2014" s="322" t="str">
        <f>'LISTA DE INSUMOS'!C18</f>
        <v>Día</v>
      </c>
      <c r="F2014" s="325">
        <v>1</v>
      </c>
      <c r="G2014" s="312">
        <f>'LISTA DE INSUMOS'!E18</f>
        <v>245584</v>
      </c>
      <c r="H2014" s="326">
        <f>1/40</f>
        <v>2.5000000000000001E-2</v>
      </c>
      <c r="I2014" s="312">
        <f>ROUND((F2014*G2014*H2014),0)</f>
        <v>6140</v>
      </c>
      <c r="J2014" s="313"/>
      <c r="K2014" s="323"/>
    </row>
    <row r="2015" spans="2:11" s="317" customFormat="1" ht="38.25" hidden="1" customHeight="1" thickTop="1" x14ac:dyDescent="0.2">
      <c r="B2015" s="693" t="s">
        <v>1033</v>
      </c>
      <c r="C2015" s="322" t="str">
        <f>'LISTA DE INSUMOS'!A758</f>
        <v>EQU002</v>
      </c>
      <c r="D2015" s="324" t="str">
        <f>'LISTA DE INSUMOS'!B758</f>
        <v>Herramienta menor (% mano obra)</v>
      </c>
      <c r="E2015" s="322" t="str">
        <f>'LISTA DE INSUMOS'!C758</f>
        <v>%MO</v>
      </c>
      <c r="F2015" s="332">
        <v>0.1</v>
      </c>
      <c r="G2015" s="312">
        <f>I2014</f>
        <v>6140</v>
      </c>
      <c r="H2015" s="322">
        <v>0</v>
      </c>
      <c r="I2015" s="312">
        <f>ROUND((F2015*G2015),0)</f>
        <v>614</v>
      </c>
      <c r="J2015" s="313"/>
      <c r="K2015" s="323"/>
    </row>
    <row r="2016" spans="2:11" s="317" customFormat="1" ht="50.25" hidden="1" customHeight="1" thickBot="1" x14ac:dyDescent="0.25">
      <c r="B2016" s="694"/>
      <c r="C2016" s="329" t="str">
        <f>'LISTA DE INSUMOS'!A762</f>
        <v>EQU006</v>
      </c>
      <c r="D2016" s="328" t="str">
        <f>'LISTA DE INSUMOS'!B762</f>
        <v>Andamio (% mano obra)</v>
      </c>
      <c r="E2016" s="329" t="str">
        <f>'LISTA DE INSUMOS'!C762</f>
        <v>%MO</v>
      </c>
      <c r="F2016" s="330">
        <v>0.05</v>
      </c>
      <c r="G2016" s="331">
        <f>I2014</f>
        <v>6140</v>
      </c>
      <c r="H2016" s="350">
        <v>0</v>
      </c>
      <c r="I2016" s="331">
        <f>ROUND((F2016*G2016),0)</f>
        <v>307</v>
      </c>
      <c r="J2016" s="313"/>
      <c r="K2016" s="323"/>
    </row>
    <row r="2017" spans="2:11" ht="24.9" customHeight="1" x14ac:dyDescent="0.2">
      <c r="B2017" s="117" t="s">
        <v>193</v>
      </c>
      <c r="C2017" s="117"/>
      <c r="D2017" s="112" t="s">
        <v>96</v>
      </c>
      <c r="E2017" s="117" t="s">
        <v>2585</v>
      </c>
      <c r="F2017" s="118"/>
      <c r="G2017" s="119">
        <f>ROUND(SUM(I2017:I2029),0)</f>
        <v>158773</v>
      </c>
      <c r="H2017" s="120"/>
      <c r="I2017" s="119"/>
      <c r="J2017" s="47"/>
      <c r="K2017" s="143"/>
    </row>
    <row r="2018" spans="2:11" ht="24.9" customHeight="1" x14ac:dyDescent="0.2">
      <c r="B2018" s="672" t="s">
        <v>1035</v>
      </c>
      <c r="C2018" s="166" t="str">
        <f>'LISTA DE INSUMOS'!A518</f>
        <v>MAT535</v>
      </c>
      <c r="D2018" s="155" t="str">
        <f>'LISTA DE INSUMOS'!B518</f>
        <v>Canal 60 en 2,44 m calibre 26</v>
      </c>
      <c r="E2018" s="125" t="str">
        <f>'LISTA DE INSUMOS'!C518</f>
        <v>Un</v>
      </c>
      <c r="F2018" s="176">
        <v>0.5</v>
      </c>
      <c r="G2018" s="141">
        <f>'LISTA DE INSUMOS'!E518</f>
        <v>9366.4432346099966</v>
      </c>
      <c r="H2018" s="108">
        <v>1.1000000000000001</v>
      </c>
      <c r="I2018" s="141">
        <f>ROUND((F2018*G2018*H2018),0)</f>
        <v>5152</v>
      </c>
      <c r="J2018" s="47"/>
      <c r="K2018" s="143"/>
    </row>
    <row r="2019" spans="2:11" ht="24.9" customHeight="1" x14ac:dyDescent="0.2">
      <c r="B2019" s="672"/>
      <c r="C2019" s="125" t="str">
        <f>'LISTA DE INSUMOS'!A519</f>
        <v>MAT536</v>
      </c>
      <c r="D2019" s="155" t="str">
        <f>'LISTA DE INSUMOS'!B519</f>
        <v>Paral 59 en 2,44 m calibre 26</v>
      </c>
      <c r="E2019" s="125" t="str">
        <f>'LISTA DE INSUMOS'!C519</f>
        <v>Un</v>
      </c>
      <c r="F2019" s="176">
        <v>0.8</v>
      </c>
      <c r="G2019" s="141">
        <f>'LISTA DE INSUMOS'!E519</f>
        <v>10392.902767169999</v>
      </c>
      <c r="H2019" s="108">
        <v>1.1000000000000001</v>
      </c>
      <c r="I2019" s="141">
        <f>ROUND((F2019*G2019*H2019),0)</f>
        <v>9146</v>
      </c>
      <c r="J2019" s="47"/>
      <c r="K2019" s="143"/>
    </row>
    <row r="2020" spans="2:11" ht="24.9" customHeight="1" x14ac:dyDescent="0.2">
      <c r="B2020" s="672"/>
      <c r="C2020" s="125" t="str">
        <f>'LISTA DE INSUMOS'!A238</f>
        <v>MAT206</v>
      </c>
      <c r="D2020" s="155" t="str">
        <f>'LISTA DE INSUMOS'!B238</f>
        <v>Lámina de yeso 1,22 m x 2,44 m e = 12,7 mm</v>
      </c>
      <c r="E2020" s="125" t="str">
        <f>'LISTA DE INSUMOS'!C238</f>
        <v>M2</v>
      </c>
      <c r="F2020" s="176">
        <v>2</v>
      </c>
      <c r="G2020" s="141">
        <f>'LISTA DE INSUMOS'!E238</f>
        <v>35662.691129999992</v>
      </c>
      <c r="H2020" s="108">
        <v>1.1000000000000001</v>
      </c>
      <c r="I2020" s="141">
        <f>ROUND((F2020*G2020*H2020),0)</f>
        <v>78458</v>
      </c>
      <c r="J2020" s="47"/>
      <c r="K2020" s="143"/>
    </row>
    <row r="2021" spans="2:11" ht="24.9" customHeight="1" x14ac:dyDescent="0.2">
      <c r="B2021" s="672"/>
      <c r="C2021" s="125" t="str">
        <f>'LISTA DE INSUMOS'!A520</f>
        <v>MAT537</v>
      </c>
      <c r="D2021" s="155" t="str">
        <f>'LISTA DE INSUMOS'!B520</f>
        <v>Tornillo drywall 6 x 1"</v>
      </c>
      <c r="E2021" s="125" t="str">
        <f>'LISTA DE INSUMOS'!C520</f>
        <v>Un</v>
      </c>
      <c r="F2021" s="176">
        <v>22</v>
      </c>
      <c r="G2021" s="141">
        <f>'LISTA DE INSUMOS'!E520</f>
        <v>76.984464941999988</v>
      </c>
      <c r="H2021" s="108">
        <v>0</v>
      </c>
      <c r="I2021" s="141">
        <f>ROUND((F2021*G2021),0)</f>
        <v>1694</v>
      </c>
      <c r="J2021" s="47"/>
      <c r="K2021" s="143"/>
    </row>
    <row r="2022" spans="2:11" ht="24.9" customHeight="1" x14ac:dyDescent="0.2">
      <c r="B2022" s="672"/>
      <c r="C2022" s="125" t="str">
        <f>'LISTA DE INSUMOS'!A523</f>
        <v>MAT540</v>
      </c>
      <c r="D2022" s="155" t="str">
        <f>'LISTA DE INSUMOS'!B523</f>
        <v>Tornillo estructura drywall 8 x 1/2"</v>
      </c>
      <c r="E2022" s="125" t="str">
        <f>'LISTA DE INSUMOS'!C523</f>
        <v>Un</v>
      </c>
      <c r="F2022" s="176">
        <v>6</v>
      </c>
      <c r="G2022" s="141">
        <f>'LISTA DE INSUMOS'!E523</f>
        <v>186.04579027649996</v>
      </c>
      <c r="H2022" s="108">
        <v>0</v>
      </c>
      <c r="I2022" s="141">
        <f>ROUND((F2022*G2022),0)</f>
        <v>1116</v>
      </c>
      <c r="J2022" s="47"/>
      <c r="K2022" s="143"/>
    </row>
    <row r="2023" spans="2:11" ht="24.9" customHeight="1" x14ac:dyDescent="0.2">
      <c r="B2023" s="672"/>
      <c r="C2023" s="125" t="str">
        <f>'LISTA DE INSUMOS'!A335</f>
        <v>MAT318</v>
      </c>
      <c r="D2023" s="155" t="str">
        <f>'LISTA DE INSUMOS'!B335</f>
        <v>Cinta de papel</v>
      </c>
      <c r="E2023" s="125" t="str">
        <f>'LISTA DE INSUMOS'!C335</f>
        <v>M</v>
      </c>
      <c r="F2023" s="176">
        <v>2</v>
      </c>
      <c r="G2023" s="141">
        <f>'LISTA DE INSUMOS'!E335</f>
        <v>154.88408657567996</v>
      </c>
      <c r="H2023" s="108">
        <v>0</v>
      </c>
      <c r="I2023" s="141">
        <f>ROUND((F2023*G2023),0)</f>
        <v>310</v>
      </c>
      <c r="J2023" s="47"/>
      <c r="K2023" s="143"/>
    </row>
    <row r="2024" spans="2:11" ht="24.9" customHeight="1" x14ac:dyDescent="0.2">
      <c r="B2024" s="672"/>
      <c r="C2024" s="125" t="str">
        <f>'LISTA DE INSUMOS'!A646</f>
        <v>MAT662</v>
      </c>
      <c r="D2024" s="155" t="str">
        <f>'LISTA DE INSUMOS'!B646</f>
        <v>Lija de agua No. 280 -1500</v>
      </c>
      <c r="E2024" s="125" t="str">
        <f>'LISTA DE INSUMOS'!C646</f>
        <v>Un</v>
      </c>
      <c r="F2024" s="176">
        <v>0.25</v>
      </c>
      <c r="G2024" s="141">
        <f>'LISTA DE INSUMOS'!E646</f>
        <v>2922.8126015087996</v>
      </c>
      <c r="H2024" s="108">
        <v>0</v>
      </c>
      <c r="I2024" s="141">
        <f>ROUND((F2024*G2024),0)</f>
        <v>731</v>
      </c>
      <c r="J2024" s="47"/>
      <c r="K2024" s="143"/>
    </row>
    <row r="2025" spans="2:11" ht="24.9" customHeight="1" x14ac:dyDescent="0.2">
      <c r="B2025" s="672"/>
      <c r="C2025" s="125" t="str">
        <f>'LISTA DE INSUMOS'!A524</f>
        <v>MAT541</v>
      </c>
      <c r="D2025" s="155" t="str">
        <f>'LISTA DE INSUMOS'!B524</f>
        <v>Estuco listo</v>
      </c>
      <c r="E2025" s="125" t="str">
        <f>'LISTA DE INSUMOS'!C524</f>
        <v>Gl</v>
      </c>
      <c r="F2025" s="176">
        <v>0.33</v>
      </c>
      <c r="G2025" s="141">
        <f>'LISTA DE INSUMOS'!E524</f>
        <v>37913.744789084994</v>
      </c>
      <c r="H2025" s="108">
        <v>1.05</v>
      </c>
      <c r="I2025" s="141">
        <f>ROUND((F2025*G2025*H2025),0)</f>
        <v>13137</v>
      </c>
      <c r="J2025" s="47"/>
      <c r="K2025" s="143"/>
    </row>
    <row r="2026" spans="2:11" ht="24.9" customHeight="1" thickBot="1" x14ac:dyDescent="0.25">
      <c r="B2026" s="673"/>
      <c r="C2026" s="125" t="str">
        <f>+'LISTA DE INSUMOS'!A155</f>
        <v>MAT113</v>
      </c>
      <c r="D2026" s="155" t="str">
        <f>+'LISTA DE INSUMOS'!B155</f>
        <v xml:space="preserve">Pintura vinilo </v>
      </c>
      <c r="E2026" s="125" t="str">
        <f>'LISTA DE INSUMOS'!C155</f>
        <v>Gl</v>
      </c>
      <c r="F2026" s="176">
        <v>0.1</v>
      </c>
      <c r="G2026" s="141">
        <f>'LISTA DE INSUMOS'!E155</f>
        <v>82704.194264999984</v>
      </c>
      <c r="H2026" s="108">
        <v>1.05</v>
      </c>
      <c r="I2026" s="141">
        <f>ROUND((F2026*G2026*H2026),0)</f>
        <v>8684</v>
      </c>
      <c r="J2026" s="47"/>
      <c r="K2026" s="143"/>
    </row>
    <row r="2027" spans="2:11" ht="24.9" customHeight="1" thickTop="1" thickBot="1" x14ac:dyDescent="0.25">
      <c r="B2027" s="153" t="s">
        <v>1034</v>
      </c>
      <c r="C2027" s="108" t="str">
        <f>'LISTA DE INSUMOS'!A18</f>
        <v>MOB015</v>
      </c>
      <c r="D2027" s="139" t="str">
        <f>'LISTA DE INSUMOS'!B18</f>
        <v>Cuadrilla E 1 Of + 1 Ay (jornal + prestaciones)</v>
      </c>
      <c r="E2027" s="108" t="str">
        <f>'LISTA DE INSUMOS'!C18</f>
        <v>Día</v>
      </c>
      <c r="F2027" s="140">
        <v>1</v>
      </c>
      <c r="G2027" s="141">
        <f>'LISTA DE INSUMOS'!E18</f>
        <v>245584</v>
      </c>
      <c r="H2027" s="142">
        <f>1/7</f>
        <v>0.14285714285714285</v>
      </c>
      <c r="I2027" s="141">
        <f>ROUND((F2027*G2027*H2027),0)</f>
        <v>35083</v>
      </c>
      <c r="J2027" s="47"/>
      <c r="K2027" s="143"/>
    </row>
    <row r="2028" spans="2:11" ht="30" customHeight="1" thickTop="1" x14ac:dyDescent="0.2">
      <c r="B2028" s="674" t="s">
        <v>1033</v>
      </c>
      <c r="C2028" s="108" t="str">
        <f>'LISTA DE INSUMOS'!A762</f>
        <v>EQU006</v>
      </c>
      <c r="D2028" s="139" t="str">
        <f>'LISTA DE INSUMOS'!B762</f>
        <v>Andamio (% mano obra)</v>
      </c>
      <c r="E2028" s="108" t="str">
        <f>'LISTA DE INSUMOS'!C762</f>
        <v>%MO</v>
      </c>
      <c r="F2028" s="160">
        <v>0.05</v>
      </c>
      <c r="G2028" s="141">
        <f>I2027</f>
        <v>35083</v>
      </c>
      <c r="H2028" s="205">
        <v>0</v>
      </c>
      <c r="I2028" s="141">
        <f>ROUND((F2028*G2028),0)</f>
        <v>1754</v>
      </c>
      <c r="J2028" s="47"/>
      <c r="K2028" s="143"/>
    </row>
    <row r="2029" spans="2:11" ht="30" customHeight="1" thickBot="1" x14ac:dyDescent="0.25">
      <c r="B2029" s="709"/>
      <c r="C2029" s="151" t="str">
        <f>'LISTA DE INSUMOS'!A758</f>
        <v>EQU002</v>
      </c>
      <c r="D2029" s="146" t="str">
        <f>'LISTA DE INSUMOS'!B758</f>
        <v>Herramienta menor (% mano obra)</v>
      </c>
      <c r="E2029" s="145" t="str">
        <f>'LISTA DE INSUMOS'!C758</f>
        <v>%MO</v>
      </c>
      <c r="F2029" s="147">
        <v>0.1</v>
      </c>
      <c r="G2029" s="148">
        <f>I2027</f>
        <v>35083</v>
      </c>
      <c r="H2029" s="145">
        <v>0</v>
      </c>
      <c r="I2029" s="148">
        <f>ROUND((F2029*G2029),0)</f>
        <v>3508</v>
      </c>
      <c r="J2029" s="47"/>
      <c r="K2029" s="143"/>
    </row>
    <row r="2030" spans="2:11" ht="30" customHeight="1" x14ac:dyDescent="0.2">
      <c r="B2030" s="117" t="s">
        <v>254</v>
      </c>
      <c r="C2030" s="117"/>
      <c r="D2030" s="112" t="s">
        <v>2283</v>
      </c>
      <c r="E2030" s="117" t="s">
        <v>2585</v>
      </c>
      <c r="F2030" s="118"/>
      <c r="G2030" s="119">
        <f>ROUND(SUM(I2030:I2041),0)</f>
        <v>107321</v>
      </c>
      <c r="H2030" s="120"/>
      <c r="I2030" s="119"/>
      <c r="J2030" s="47"/>
      <c r="K2030" s="143"/>
    </row>
    <row r="2031" spans="2:11" ht="24.9" customHeight="1" x14ac:dyDescent="0.2">
      <c r="B2031" s="672" t="s">
        <v>1035</v>
      </c>
      <c r="C2031" s="166" t="str">
        <f>'LISTA DE INSUMOS'!A518</f>
        <v>MAT535</v>
      </c>
      <c r="D2031" s="155" t="str">
        <f>'LISTA DE INSUMOS'!B518</f>
        <v>Canal 60 en 2,44 m calibre 26</v>
      </c>
      <c r="E2031" s="125" t="str">
        <f>'LISTA DE INSUMOS'!C518</f>
        <v>Un</v>
      </c>
      <c r="F2031" s="176">
        <v>0.42</v>
      </c>
      <c r="G2031" s="141">
        <f>'LISTA DE INSUMOS'!E518</f>
        <v>9366.4432346099966</v>
      </c>
      <c r="H2031" s="108">
        <v>1.1000000000000001</v>
      </c>
      <c r="I2031" s="141">
        <f>ROUND((F2031*G2031*H2031),0)</f>
        <v>4327</v>
      </c>
      <c r="J2031" s="47"/>
      <c r="K2031" s="143"/>
    </row>
    <row r="2032" spans="2:11" ht="24.9" customHeight="1" x14ac:dyDescent="0.2">
      <c r="B2032" s="672"/>
      <c r="C2032" s="125" t="str">
        <f>'LISTA DE INSUMOS'!A519</f>
        <v>MAT536</v>
      </c>
      <c r="D2032" s="155" t="str">
        <f>'LISTA DE INSUMOS'!B519</f>
        <v>Paral 59 en 2,44 m calibre 26</v>
      </c>
      <c r="E2032" s="125" t="str">
        <f>'LISTA DE INSUMOS'!C519</f>
        <v>Un</v>
      </c>
      <c r="F2032" s="176">
        <v>0.42</v>
      </c>
      <c r="G2032" s="141">
        <f>'LISTA DE INSUMOS'!E519</f>
        <v>10392.902767169999</v>
      </c>
      <c r="H2032" s="108">
        <v>1.1000000000000001</v>
      </c>
      <c r="I2032" s="141">
        <f>ROUND((F2032*G2032*H2032),0)</f>
        <v>4802</v>
      </c>
      <c r="J2032" s="47"/>
      <c r="K2032" s="143"/>
    </row>
    <row r="2033" spans="2:11" ht="24.9" customHeight="1" x14ac:dyDescent="0.2">
      <c r="B2033" s="672"/>
      <c r="C2033" s="125" t="str">
        <f>'LISTA DE INSUMOS'!A281</f>
        <v>MAT253</v>
      </c>
      <c r="D2033" s="155" t="str">
        <f>'LISTA DE INSUMOS'!B281</f>
        <v>Lámina de fibrocemento e =  8mm (Superboard)</v>
      </c>
      <c r="E2033" s="125" t="str">
        <f>'LISTA DE INSUMOS'!C281</f>
        <v>M2</v>
      </c>
      <c r="F2033" s="176">
        <v>1</v>
      </c>
      <c r="G2033" s="141">
        <f>'LISTA DE INSUMOS'!E281</f>
        <v>24073.656119699997</v>
      </c>
      <c r="H2033" s="108">
        <v>1.1000000000000001</v>
      </c>
      <c r="I2033" s="141">
        <f>ROUND((F2033*G2033*H2033),0)</f>
        <v>26481</v>
      </c>
      <c r="J2033" s="47"/>
      <c r="K2033" s="143"/>
    </row>
    <row r="2034" spans="2:11" ht="24.9" customHeight="1" x14ac:dyDescent="0.2">
      <c r="B2034" s="672"/>
      <c r="C2034" s="125" t="str">
        <f>'LISTA DE INSUMOS'!A520</f>
        <v>MAT537</v>
      </c>
      <c r="D2034" s="155" t="str">
        <f>'LISTA DE INSUMOS'!B520</f>
        <v>Tornillo drywall 6 x 1"</v>
      </c>
      <c r="E2034" s="125" t="str">
        <f>'LISTA DE INSUMOS'!C520</f>
        <v>Un</v>
      </c>
      <c r="F2034" s="176">
        <v>35</v>
      </c>
      <c r="G2034" s="141">
        <f>'LISTA DE INSUMOS'!E520</f>
        <v>76.984464941999988</v>
      </c>
      <c r="H2034" s="108">
        <v>0</v>
      </c>
      <c r="I2034" s="141">
        <f>ROUND((F2034*G2034),0)</f>
        <v>2694</v>
      </c>
      <c r="J2034" s="47"/>
      <c r="K2034" s="143"/>
    </row>
    <row r="2035" spans="2:11" ht="24.9" customHeight="1" x14ac:dyDescent="0.2">
      <c r="B2035" s="672"/>
      <c r="C2035" s="125" t="str">
        <f>'LISTA DE INSUMOS'!A523</f>
        <v>MAT540</v>
      </c>
      <c r="D2035" s="155" t="str">
        <f>'LISTA DE INSUMOS'!B523</f>
        <v>Tornillo estructura drywall 8 x 1/2"</v>
      </c>
      <c r="E2035" s="125" t="str">
        <f>'LISTA DE INSUMOS'!C523</f>
        <v>Un</v>
      </c>
      <c r="F2035" s="176">
        <v>25</v>
      </c>
      <c r="G2035" s="141">
        <f>'LISTA DE INSUMOS'!E523</f>
        <v>186.04579027649996</v>
      </c>
      <c r="H2035" s="108">
        <v>0</v>
      </c>
      <c r="I2035" s="141">
        <f>ROUND((F2035*G2035),0)</f>
        <v>4651</v>
      </c>
      <c r="J2035" s="47"/>
      <c r="K2035" s="143"/>
    </row>
    <row r="2036" spans="2:11" ht="24.9" customHeight="1" x14ac:dyDescent="0.2">
      <c r="B2036" s="672"/>
      <c r="C2036" s="125" t="str">
        <f>'LISTA DE INSUMOS'!A335</f>
        <v>MAT318</v>
      </c>
      <c r="D2036" s="155" t="str">
        <f>'LISTA DE INSUMOS'!B335</f>
        <v>Cinta de papel</v>
      </c>
      <c r="E2036" s="125" t="str">
        <f>'LISTA DE INSUMOS'!C335</f>
        <v>M</v>
      </c>
      <c r="F2036" s="176">
        <v>2.5</v>
      </c>
      <c r="G2036" s="141">
        <f>'LISTA DE INSUMOS'!E335</f>
        <v>154.88408657567996</v>
      </c>
      <c r="H2036" s="108">
        <v>0</v>
      </c>
      <c r="I2036" s="141">
        <f>ROUND((F2036*G2036),0)</f>
        <v>387</v>
      </c>
      <c r="J2036" s="47"/>
      <c r="K2036" s="143"/>
    </row>
    <row r="2037" spans="2:11" ht="24.9" customHeight="1" thickBot="1" x14ac:dyDescent="0.25">
      <c r="B2037" s="673"/>
      <c r="C2037" s="125" t="str">
        <f>'LISTA DE INSUMOS'!A524</f>
        <v>MAT541</v>
      </c>
      <c r="D2037" s="155" t="str">
        <f>'LISTA DE INSUMOS'!B524</f>
        <v>Estuco listo</v>
      </c>
      <c r="E2037" s="125" t="str">
        <f>'LISTA DE INSUMOS'!C524</f>
        <v>Gl</v>
      </c>
      <c r="F2037" s="228">
        <v>0.125</v>
      </c>
      <c r="G2037" s="141">
        <f>'LISTA DE INSUMOS'!E524</f>
        <v>37913.744789084994</v>
      </c>
      <c r="H2037" s="108">
        <v>1.05</v>
      </c>
      <c r="I2037" s="141">
        <f>ROUND((F2037*G2037*H2037),0)</f>
        <v>4976</v>
      </c>
      <c r="J2037" s="47"/>
      <c r="K2037" s="143"/>
    </row>
    <row r="2038" spans="2:11" ht="24.9" customHeight="1" thickTop="1" thickBot="1" x14ac:dyDescent="0.25">
      <c r="B2038" s="191" t="s">
        <v>1310</v>
      </c>
      <c r="C2038" s="108" t="str">
        <f>+B2545</f>
        <v>ITE244</v>
      </c>
      <c r="D2038" s="167" t="str">
        <f>+D2545</f>
        <v xml:space="preserve">Pintura con vinilo, incluye dilataciones y filos </v>
      </c>
      <c r="E2038" s="166" t="str">
        <f>E2545</f>
        <v>M2</v>
      </c>
      <c r="F2038" s="176">
        <v>1</v>
      </c>
      <c r="G2038" s="141">
        <f>G2545</f>
        <v>30761</v>
      </c>
      <c r="H2038" s="108">
        <v>0</v>
      </c>
      <c r="I2038" s="141">
        <f>ROUND((F2038*G2038),0)</f>
        <v>30761</v>
      </c>
      <c r="J2038" s="47"/>
      <c r="K2038" s="143"/>
    </row>
    <row r="2039" spans="2:11" ht="24.9" customHeight="1" thickTop="1" thickBot="1" x14ac:dyDescent="0.25">
      <c r="B2039" s="153" t="s">
        <v>1034</v>
      </c>
      <c r="C2039" s="108" t="str">
        <f>'LISTA DE INSUMOS'!A18</f>
        <v>MOB015</v>
      </c>
      <c r="D2039" s="139" t="str">
        <f>'LISTA DE INSUMOS'!B18</f>
        <v>Cuadrilla E 1 Of + 1 Ay (jornal + prestaciones)</v>
      </c>
      <c r="E2039" s="108" t="str">
        <f>'LISTA DE INSUMOS'!C18</f>
        <v>Día</v>
      </c>
      <c r="F2039" s="140">
        <v>1</v>
      </c>
      <c r="G2039" s="141">
        <f>'LISTA DE INSUMOS'!E18</f>
        <v>245584</v>
      </c>
      <c r="H2039" s="142">
        <f>1/10</f>
        <v>0.1</v>
      </c>
      <c r="I2039" s="141">
        <f>ROUND((F2039*G2039*H2039),0)</f>
        <v>24558</v>
      </c>
      <c r="J2039" s="47"/>
      <c r="K2039" s="143"/>
    </row>
    <row r="2040" spans="2:11" ht="24.9" customHeight="1" thickTop="1" x14ac:dyDescent="0.2">
      <c r="B2040" s="674" t="s">
        <v>1033</v>
      </c>
      <c r="C2040" s="108" t="str">
        <f>'LISTA DE INSUMOS'!A762</f>
        <v>EQU006</v>
      </c>
      <c r="D2040" s="139" t="str">
        <f>'LISTA DE INSUMOS'!B762</f>
        <v>Andamio (% mano obra)</v>
      </c>
      <c r="E2040" s="108" t="str">
        <f>'LISTA DE INSUMOS'!C762</f>
        <v>%MO</v>
      </c>
      <c r="F2040" s="160">
        <v>0.05</v>
      </c>
      <c r="G2040" s="141">
        <f>I2039</f>
        <v>24558</v>
      </c>
      <c r="H2040" s="205">
        <v>0</v>
      </c>
      <c r="I2040" s="141">
        <f>ROUND((F2040*G2040),0)</f>
        <v>1228</v>
      </c>
      <c r="J2040" s="47"/>
      <c r="K2040" s="143"/>
    </row>
    <row r="2041" spans="2:11" ht="24.9" customHeight="1" thickBot="1" x14ac:dyDescent="0.25">
      <c r="B2041" s="709"/>
      <c r="C2041" s="151" t="str">
        <f>'LISTA DE INSUMOS'!A758</f>
        <v>EQU002</v>
      </c>
      <c r="D2041" s="146" t="str">
        <f>'LISTA DE INSUMOS'!B758</f>
        <v>Herramienta menor (% mano obra)</v>
      </c>
      <c r="E2041" s="145" t="str">
        <f>'LISTA DE INSUMOS'!C758</f>
        <v>%MO</v>
      </c>
      <c r="F2041" s="147">
        <v>0.1</v>
      </c>
      <c r="G2041" s="148">
        <f>I2039</f>
        <v>24558</v>
      </c>
      <c r="H2041" s="145">
        <v>0</v>
      </c>
      <c r="I2041" s="148">
        <f>ROUND((F2041*G2041),0)</f>
        <v>2456</v>
      </c>
      <c r="J2041" s="47"/>
      <c r="K2041" s="143"/>
    </row>
    <row r="2042" spans="2:11" ht="24.9" customHeight="1" x14ac:dyDescent="0.2">
      <c r="B2042" s="117" t="s">
        <v>255</v>
      </c>
      <c r="C2042" s="117"/>
      <c r="D2042" s="112" t="s">
        <v>2284</v>
      </c>
      <c r="E2042" s="117" t="s">
        <v>2585</v>
      </c>
      <c r="F2042" s="118"/>
      <c r="G2042" s="119">
        <f>ROUND(SUM(I2042:I2053),0)</f>
        <v>123519</v>
      </c>
      <c r="H2042" s="120"/>
      <c r="I2042" s="119"/>
      <c r="J2042" s="47"/>
      <c r="K2042" s="143"/>
    </row>
    <row r="2043" spans="2:11" ht="24.9" customHeight="1" x14ac:dyDescent="0.2">
      <c r="B2043" s="683" t="s">
        <v>1035</v>
      </c>
      <c r="C2043" s="166" t="str">
        <f>'LISTA DE INSUMOS'!A518</f>
        <v>MAT535</v>
      </c>
      <c r="D2043" s="155" t="str">
        <f>+'LISTA DE INSUMOS'!B518</f>
        <v>Canal 60 en 2,44 m calibre 26</v>
      </c>
      <c r="E2043" s="125" t="str">
        <f>+'LISTA DE INSUMOS'!C518</f>
        <v>Un</v>
      </c>
      <c r="F2043" s="176">
        <v>0.42</v>
      </c>
      <c r="G2043" s="141">
        <f>'LISTA DE INSUMOS'!E518</f>
        <v>9366.4432346099966</v>
      </c>
      <c r="H2043" s="108">
        <v>1.1000000000000001</v>
      </c>
      <c r="I2043" s="141">
        <f>ROUND((F2043*G2043*H2043),0)</f>
        <v>4327</v>
      </c>
      <c r="J2043" s="47"/>
      <c r="K2043" s="143"/>
    </row>
    <row r="2044" spans="2:11" ht="24.9" customHeight="1" x14ac:dyDescent="0.2">
      <c r="B2044" s="683"/>
      <c r="C2044" s="125" t="str">
        <f>+'LISTA DE INSUMOS'!A519</f>
        <v>MAT536</v>
      </c>
      <c r="D2044" s="155" t="str">
        <f>+'LISTA DE INSUMOS'!B519</f>
        <v>Paral 59 en 2,44 m calibre 26</v>
      </c>
      <c r="E2044" s="108" t="str">
        <f>+'LISTA DE INSUMOS'!C519</f>
        <v>Un</v>
      </c>
      <c r="F2044" s="176">
        <v>0.42</v>
      </c>
      <c r="G2044" s="141">
        <f>'LISTA DE INSUMOS'!E519</f>
        <v>10392.902767169999</v>
      </c>
      <c r="H2044" s="108">
        <v>1.1000000000000001</v>
      </c>
      <c r="I2044" s="141">
        <f>ROUND((F2044*G2044*H2044),0)</f>
        <v>4802</v>
      </c>
      <c r="J2044" s="47"/>
      <c r="K2044" s="143"/>
    </row>
    <row r="2045" spans="2:11" ht="24.9" customHeight="1" x14ac:dyDescent="0.2">
      <c r="B2045" s="683"/>
      <c r="C2045" s="125" t="str">
        <f>+'LISTA DE INSUMOS'!A340</f>
        <v>MAT327</v>
      </c>
      <c r="D2045" s="155" t="str">
        <f>+'LISTA DE INSUMOS'!B340</f>
        <v>Lámina de fibrocemento de 10 mm (Superboard)</v>
      </c>
      <c r="E2045" s="125" t="str">
        <f>+'LISTA DE INSUMOS'!C340</f>
        <v>M2</v>
      </c>
      <c r="F2045" s="176">
        <v>1</v>
      </c>
      <c r="G2045" s="141">
        <f>'LISTA DE INSUMOS'!E340</f>
        <v>29486.419274399996</v>
      </c>
      <c r="H2045" s="108">
        <v>1.1000000000000001</v>
      </c>
      <c r="I2045" s="141">
        <f>ROUND((F2045*G2045*H2045),0)</f>
        <v>32435</v>
      </c>
      <c r="J2045" s="47"/>
      <c r="K2045" s="143"/>
    </row>
    <row r="2046" spans="2:11" ht="24.9" customHeight="1" x14ac:dyDescent="0.2">
      <c r="B2046" s="683"/>
      <c r="C2046" s="125" t="str">
        <f>+'LISTA DE INSUMOS'!A520</f>
        <v>MAT537</v>
      </c>
      <c r="D2046" s="155" t="str">
        <f>+'LISTA DE INSUMOS'!B520</f>
        <v>Tornillo drywall 6 x 1"</v>
      </c>
      <c r="E2046" s="125" t="str">
        <f>+'LISTA DE INSUMOS'!C520</f>
        <v>Un</v>
      </c>
      <c r="F2046" s="176">
        <v>35</v>
      </c>
      <c r="G2046" s="141">
        <f>'LISTA DE INSUMOS'!E520</f>
        <v>76.984464941999988</v>
      </c>
      <c r="H2046" s="108">
        <v>0</v>
      </c>
      <c r="I2046" s="141">
        <f>ROUND((F2046*G2046),0)</f>
        <v>2694</v>
      </c>
      <c r="J2046" s="47"/>
      <c r="K2046" s="143"/>
    </row>
    <row r="2047" spans="2:11" ht="24.9" customHeight="1" x14ac:dyDescent="0.2">
      <c r="B2047" s="683"/>
      <c r="C2047" s="125" t="str">
        <f>+'LISTA DE INSUMOS'!A523</f>
        <v>MAT540</v>
      </c>
      <c r="D2047" s="155" t="str">
        <f>+'LISTA DE INSUMOS'!B523</f>
        <v>Tornillo estructura drywall 8 x 1/2"</v>
      </c>
      <c r="E2047" s="125" t="str">
        <f>+'LISTA DE INSUMOS'!C523</f>
        <v>Un</v>
      </c>
      <c r="F2047" s="176">
        <v>25</v>
      </c>
      <c r="G2047" s="141">
        <f>'LISTA DE INSUMOS'!E523</f>
        <v>186.04579027649996</v>
      </c>
      <c r="H2047" s="108">
        <v>0</v>
      </c>
      <c r="I2047" s="141">
        <f>ROUND((F2047*G2047),0)</f>
        <v>4651</v>
      </c>
      <c r="J2047" s="47"/>
      <c r="K2047" s="143"/>
    </row>
    <row r="2048" spans="2:11" ht="24.9" customHeight="1" x14ac:dyDescent="0.2">
      <c r="B2048" s="683"/>
      <c r="C2048" s="125" t="str">
        <f>+'LISTA DE INSUMOS'!A335</f>
        <v>MAT318</v>
      </c>
      <c r="D2048" s="155" t="str">
        <f>+'LISTA DE INSUMOS'!B335</f>
        <v>Cinta de papel</v>
      </c>
      <c r="E2048" s="125" t="str">
        <f>+'LISTA DE INSUMOS'!C335</f>
        <v>M</v>
      </c>
      <c r="F2048" s="176">
        <v>2.5</v>
      </c>
      <c r="G2048" s="141">
        <f>'LISTA DE INSUMOS'!E335</f>
        <v>154.88408657567996</v>
      </c>
      <c r="H2048" s="108">
        <v>0</v>
      </c>
      <c r="I2048" s="141">
        <f>ROUND((F2048*G2048),0)</f>
        <v>387</v>
      </c>
      <c r="J2048" s="47"/>
      <c r="K2048" s="143"/>
    </row>
    <row r="2049" spans="2:11" ht="24.9" customHeight="1" x14ac:dyDescent="0.2">
      <c r="B2049" s="683"/>
      <c r="C2049" s="125" t="str">
        <f>+'LISTA DE INSUMOS'!A524</f>
        <v>MAT541</v>
      </c>
      <c r="D2049" s="155" t="str">
        <f>+'LISTA DE INSUMOS'!B524</f>
        <v>Estuco listo</v>
      </c>
      <c r="E2049" s="125" t="str">
        <f>+'LISTA DE INSUMOS'!C524</f>
        <v>Gl</v>
      </c>
      <c r="F2049" s="228">
        <v>0.125</v>
      </c>
      <c r="G2049" s="141">
        <f>'LISTA DE INSUMOS'!E524</f>
        <v>37913.744789084994</v>
      </c>
      <c r="H2049" s="108">
        <v>1.05</v>
      </c>
      <c r="I2049" s="141">
        <f>ROUND((F2049*G2049*H2049),0)</f>
        <v>4976</v>
      </c>
      <c r="J2049" s="47"/>
      <c r="K2049" s="143"/>
    </row>
    <row r="2050" spans="2:11" ht="24.9" customHeight="1" thickBot="1" x14ac:dyDescent="0.25">
      <c r="B2050" s="684"/>
      <c r="C2050" s="125" t="str">
        <f>'LISTA DE INSUMOS'!A57</f>
        <v>MAT025-1</v>
      </c>
      <c r="D2050" s="155" t="str">
        <f>'LISTA DE INSUMOS'!B57</f>
        <v>Sikaflex Construcción Plus I-Cure Blanco X300ml</v>
      </c>
      <c r="E2050" s="125" t="s">
        <v>1435</v>
      </c>
      <c r="F2050" s="228">
        <v>1</v>
      </c>
      <c r="G2050" s="141">
        <f>'LISTA DE INSUMOS'!E57</f>
        <v>57360.65496</v>
      </c>
      <c r="H2050" s="108">
        <v>0.2</v>
      </c>
      <c r="I2050" s="141">
        <f>ROUND((F2050*G2050*H2050),0)</f>
        <v>11472</v>
      </c>
      <c r="J2050" s="47"/>
      <c r="K2050" s="143"/>
    </row>
    <row r="2051" spans="2:11" ht="24.9" customHeight="1" thickTop="1" thickBot="1" x14ac:dyDescent="0.25">
      <c r="B2051" s="191" t="s">
        <v>1310</v>
      </c>
      <c r="C2051" s="108" t="str">
        <f>+B2545</f>
        <v>ITE244</v>
      </c>
      <c r="D2051" s="167" t="str">
        <f>+D2545</f>
        <v xml:space="preserve">Pintura con vinilo, incluye dilataciones y filos </v>
      </c>
      <c r="E2051" s="166" t="str">
        <f>+E2545</f>
        <v>M2</v>
      </c>
      <c r="F2051" s="176">
        <v>1</v>
      </c>
      <c r="G2051" s="141">
        <f>G2545</f>
        <v>30761</v>
      </c>
      <c r="H2051" s="108">
        <v>0</v>
      </c>
      <c r="I2051" s="141">
        <f>ROUND((F2051*G2051),0)</f>
        <v>30761</v>
      </c>
      <c r="J2051" s="47"/>
      <c r="K2051" s="143"/>
    </row>
    <row r="2052" spans="2:11" ht="24.9" customHeight="1" thickTop="1" thickBot="1" x14ac:dyDescent="0.25">
      <c r="B2052" s="153" t="s">
        <v>1034</v>
      </c>
      <c r="C2052" s="108" t="str">
        <f>'LISTA DE INSUMOS'!A18</f>
        <v>MOB015</v>
      </c>
      <c r="D2052" s="139" t="str">
        <f>'LISTA DE INSUMOS'!B18</f>
        <v>Cuadrilla E 1 Of + 1 Ay (jornal + prestaciones)</v>
      </c>
      <c r="E2052" s="108" t="str">
        <f>'LISTA DE INSUMOS'!C18</f>
        <v>Día</v>
      </c>
      <c r="F2052" s="140">
        <v>1</v>
      </c>
      <c r="G2052" s="141">
        <f>'LISTA DE INSUMOS'!E18</f>
        <v>245584</v>
      </c>
      <c r="H2052" s="142">
        <f>1/10</f>
        <v>0.1</v>
      </c>
      <c r="I2052" s="141">
        <f>ROUND((F2052*G2052*H2052),0)</f>
        <v>24558</v>
      </c>
      <c r="J2052" s="47"/>
      <c r="K2052" s="143"/>
    </row>
    <row r="2053" spans="2:11" ht="24.9" customHeight="1" thickTop="1" thickBot="1" x14ac:dyDescent="0.25">
      <c r="B2053" s="150" t="s">
        <v>1033</v>
      </c>
      <c r="C2053" s="151" t="str">
        <f>'LISTA DE INSUMOS'!A758</f>
        <v>EQU002</v>
      </c>
      <c r="D2053" s="146" t="str">
        <f>'LISTA DE INSUMOS'!B758</f>
        <v>Herramienta menor (% mano obra)</v>
      </c>
      <c r="E2053" s="145" t="str">
        <f>'LISTA DE INSUMOS'!C758</f>
        <v>%MO</v>
      </c>
      <c r="F2053" s="147">
        <v>0.1</v>
      </c>
      <c r="G2053" s="148">
        <f>I2052</f>
        <v>24558</v>
      </c>
      <c r="H2053" s="145">
        <v>0</v>
      </c>
      <c r="I2053" s="148">
        <f>ROUND((F2053*G2053),0)</f>
        <v>2456</v>
      </c>
      <c r="J2053" s="47"/>
      <c r="K2053" s="143"/>
    </row>
    <row r="2054" spans="2:11" s="317" customFormat="1" ht="24.9" hidden="1" customHeight="1" x14ac:dyDescent="0.2">
      <c r="B2054" s="319" t="s">
        <v>1828</v>
      </c>
      <c r="C2054" s="319"/>
      <c r="D2054" s="320" t="s">
        <v>97</v>
      </c>
      <c r="E2054" s="319" t="s">
        <v>1412</v>
      </c>
      <c r="F2054" s="321"/>
      <c r="G2054" s="312">
        <f>ROUND(SUM(I2054:I2056),0)</f>
        <v>350</v>
      </c>
      <c r="H2054" s="322"/>
      <c r="I2054" s="312"/>
      <c r="J2054" s="313"/>
      <c r="K2054" s="323"/>
    </row>
    <row r="2055" spans="2:11" s="317" customFormat="1" ht="24.9" hidden="1" customHeight="1" thickBot="1" x14ac:dyDescent="0.25">
      <c r="B2055" s="347" t="s">
        <v>1325</v>
      </c>
      <c r="C2055" s="322" t="str">
        <f>+'LISTA DE INSUMOS'!A335</f>
        <v>MAT318</v>
      </c>
      <c r="D2055" s="324" t="str">
        <f>+'LISTA DE INSUMOS'!B335</f>
        <v>Cinta de papel</v>
      </c>
      <c r="E2055" s="322" t="str">
        <f>+'LISTA DE INSUMOS'!C335</f>
        <v>M</v>
      </c>
      <c r="F2055" s="325">
        <v>1</v>
      </c>
      <c r="G2055" s="312">
        <f>'LISTA DE INSUMOS'!E335</f>
        <v>154.88408657567996</v>
      </c>
      <c r="H2055" s="322">
        <v>0</v>
      </c>
      <c r="I2055" s="312">
        <f>ROUND((F2055*G2055),0)</f>
        <v>155</v>
      </c>
      <c r="J2055" s="313"/>
      <c r="K2055" s="323"/>
    </row>
    <row r="2056" spans="2:11" s="317" customFormat="1" ht="24.9" hidden="1" customHeight="1" thickTop="1" thickBot="1" x14ac:dyDescent="0.25">
      <c r="B2056" s="363" t="s">
        <v>1034</v>
      </c>
      <c r="C2056" s="329" t="str">
        <f>'LISTA DE INSUMOS'!A5</f>
        <v>MOB002</v>
      </c>
      <c r="D2056" s="328" t="str">
        <f>'LISTA DE INSUMOS'!B5</f>
        <v>Oficial (jornal + prestaciones)</v>
      </c>
      <c r="E2056" s="329" t="str">
        <f>'LISTA DE INSUMOS'!C5</f>
        <v>Día</v>
      </c>
      <c r="F2056" s="330">
        <v>1</v>
      </c>
      <c r="G2056" s="331">
        <f>'LISTA DE INSUMOS'!E5</f>
        <v>163723</v>
      </c>
      <c r="H2056" s="336">
        <f>1/840</f>
        <v>1.1904761904761906E-3</v>
      </c>
      <c r="I2056" s="331">
        <f>ROUND((F2056*G2056*H2056),0)</f>
        <v>195</v>
      </c>
      <c r="J2056" s="313"/>
      <c r="K2056" s="323"/>
    </row>
    <row r="2057" spans="2:11" s="317" customFormat="1" ht="24.9" hidden="1" customHeight="1" x14ac:dyDescent="0.2">
      <c r="B2057" s="319" t="s">
        <v>1829</v>
      </c>
      <c r="C2057" s="319"/>
      <c r="D2057" s="320" t="s">
        <v>2290</v>
      </c>
      <c r="E2057" s="319" t="s">
        <v>2585</v>
      </c>
      <c r="F2057" s="321"/>
      <c r="G2057" s="312">
        <f>ROUND(SUM(I2057:I2063),0)</f>
        <v>73460</v>
      </c>
      <c r="H2057" s="322"/>
      <c r="I2057" s="312"/>
      <c r="J2057" s="313"/>
      <c r="K2057" s="323"/>
    </row>
    <row r="2058" spans="2:11" s="317" customFormat="1" ht="24.9" hidden="1" customHeight="1" x14ac:dyDescent="0.2">
      <c r="B2058" s="697" t="s">
        <v>1035</v>
      </c>
      <c r="C2058" s="322" t="str">
        <f>+'LISTA DE INSUMOS'!A30</f>
        <v>MAT001</v>
      </c>
      <c r="D2058" s="324" t="str">
        <f>+'LISTA DE INSUMOS'!B30</f>
        <v>Cemento gris saco por 50 kilos, incluye cargue, descargue y transporte</v>
      </c>
      <c r="E2058" s="322" t="str">
        <f>+'LISTA DE INSUMOS'!C30</f>
        <v>Sc</v>
      </c>
      <c r="F2058" s="325">
        <v>0.15</v>
      </c>
      <c r="G2058" s="312">
        <f>'LISTA DE INSUMOS'!E30</f>
        <v>34500</v>
      </c>
      <c r="H2058" s="322">
        <v>1.05</v>
      </c>
      <c r="I2058" s="312">
        <f>ROUND((F2058*G2058*H2058),0)</f>
        <v>5434</v>
      </c>
      <c r="J2058" s="313"/>
      <c r="K2058" s="323"/>
    </row>
    <row r="2059" spans="2:11" s="317" customFormat="1" ht="24.9" hidden="1" customHeight="1" x14ac:dyDescent="0.2">
      <c r="B2059" s="697"/>
      <c r="C2059" s="338" t="str">
        <f>+'LISTA DE INSUMOS'!A618</f>
        <v>MAT634</v>
      </c>
      <c r="D2059" s="339" t="str">
        <f>+'LISTA DE INSUMOS'!B618</f>
        <v>Boquilla para enchape</v>
      </c>
      <c r="E2059" s="322" t="str">
        <f>+'LISTA DE INSUMOS'!C618</f>
        <v>Kg</v>
      </c>
      <c r="F2059" s="325">
        <v>1</v>
      </c>
      <c r="G2059" s="312">
        <f>'LISTA DE INSUMOS'!E618</f>
        <v>6158.7571953599981</v>
      </c>
      <c r="H2059" s="322">
        <v>1.05</v>
      </c>
      <c r="I2059" s="312">
        <f>ROUND((F2059*G2059*H2059),0)</f>
        <v>6467</v>
      </c>
      <c r="J2059" s="313"/>
      <c r="K2059" s="323"/>
    </row>
    <row r="2060" spans="2:11" s="317" customFormat="1" ht="24.9" hidden="1" customHeight="1" thickBot="1" x14ac:dyDescent="0.25">
      <c r="B2060" s="698"/>
      <c r="C2060" s="322" t="str">
        <f>+'LISTA DE INSUMOS'!A383</f>
        <v>MAT377</v>
      </c>
      <c r="D2060" s="324" t="str">
        <f>+'LISTA DE INSUMOS'!B383</f>
        <v>Loceta tableta romana</v>
      </c>
      <c r="E2060" s="322" t="str">
        <f>+'LISTA DE INSUMOS'!C383</f>
        <v>M2</v>
      </c>
      <c r="F2060" s="325">
        <v>1</v>
      </c>
      <c r="G2060" s="312">
        <f>'LISTA DE INSUMOS'!E383</f>
        <v>20314.424752874998</v>
      </c>
      <c r="H2060" s="322">
        <v>1.1000000000000001</v>
      </c>
      <c r="I2060" s="312">
        <f>ROUND((F2060*G2060*H2060),0)</f>
        <v>22346</v>
      </c>
      <c r="J2060" s="313"/>
      <c r="K2060" s="323"/>
    </row>
    <row r="2061" spans="2:11" s="317" customFormat="1" ht="24.9" hidden="1" customHeight="1" thickTop="1" thickBot="1" x14ac:dyDescent="0.25">
      <c r="B2061" s="347" t="s">
        <v>1310</v>
      </c>
      <c r="C2061" s="322" t="str">
        <f>+B574</f>
        <v>ITE96</v>
      </c>
      <c r="D2061" s="324" t="str">
        <f>+D574</f>
        <v>Mortero 1:3 (producción)</v>
      </c>
      <c r="E2061" s="322" t="str">
        <f>+E574</f>
        <v>M3</v>
      </c>
      <c r="F2061" s="325">
        <v>0.02</v>
      </c>
      <c r="G2061" s="312">
        <f>G574</f>
        <v>580906</v>
      </c>
      <c r="H2061" s="322">
        <v>1.05</v>
      </c>
      <c r="I2061" s="312">
        <f>ROUND((F2061*G2061*H2061),0)</f>
        <v>12199</v>
      </c>
      <c r="J2061" s="313"/>
      <c r="K2061" s="323"/>
    </row>
    <row r="2062" spans="2:11" s="317" customFormat="1" ht="24.9" hidden="1" customHeight="1" thickTop="1" thickBot="1" x14ac:dyDescent="0.25">
      <c r="B2062" s="363" t="s">
        <v>1034</v>
      </c>
      <c r="C2062" s="322" t="str">
        <f>'LISTA DE INSUMOS'!A18</f>
        <v>MOB015</v>
      </c>
      <c r="D2062" s="324" t="str">
        <f>'LISTA DE INSUMOS'!B18</f>
        <v>Cuadrilla E 1 Of + 1 Ay (jornal + prestaciones)</v>
      </c>
      <c r="E2062" s="322" t="str">
        <f>'LISTA DE INSUMOS'!C18</f>
        <v>Día</v>
      </c>
      <c r="F2062" s="325">
        <v>1</v>
      </c>
      <c r="G2062" s="312">
        <f>'LISTA DE INSUMOS'!E18</f>
        <v>245584</v>
      </c>
      <c r="H2062" s="322">
        <f>1/10</f>
        <v>0.1</v>
      </c>
      <c r="I2062" s="312">
        <f>ROUND((F2062*G2062*H2062),0)</f>
        <v>24558</v>
      </c>
      <c r="J2062" s="313"/>
      <c r="K2062" s="323"/>
    </row>
    <row r="2063" spans="2:11" s="317" customFormat="1" ht="24.9" hidden="1" customHeight="1" thickTop="1" thickBot="1" x14ac:dyDescent="0.25">
      <c r="B2063" s="255" t="s">
        <v>1033</v>
      </c>
      <c r="C2063" s="327" t="str">
        <f>'LISTA DE INSUMOS'!A758</f>
        <v>EQU002</v>
      </c>
      <c r="D2063" s="328" t="str">
        <f>'LISTA DE INSUMOS'!B758</f>
        <v>Herramienta menor (% mano obra)</v>
      </c>
      <c r="E2063" s="329" t="str">
        <f>'LISTA DE INSUMOS'!C758</f>
        <v>%MO</v>
      </c>
      <c r="F2063" s="330">
        <v>0.1</v>
      </c>
      <c r="G2063" s="331">
        <f>I2062</f>
        <v>24558</v>
      </c>
      <c r="H2063" s="329">
        <v>0</v>
      </c>
      <c r="I2063" s="331">
        <f>ROUND((F2063*G2063),0)</f>
        <v>2456</v>
      </c>
      <c r="J2063" s="313"/>
      <c r="K2063" s="323"/>
    </row>
    <row r="2064" spans="2:11" s="317" customFormat="1" ht="24.9" hidden="1" customHeight="1" x14ac:dyDescent="0.2">
      <c r="B2064" s="319" t="s">
        <v>1846</v>
      </c>
      <c r="C2064" s="319"/>
      <c r="D2064" s="320" t="s">
        <v>1912</v>
      </c>
      <c r="E2064" s="319" t="s">
        <v>1424</v>
      </c>
      <c r="F2064" s="321"/>
      <c r="G2064" s="312">
        <f>ROUND(SUM(I2064:I2070),0)</f>
        <v>34402</v>
      </c>
      <c r="H2064" s="322"/>
      <c r="I2064" s="312"/>
      <c r="J2064" s="313"/>
      <c r="K2064" s="323"/>
    </row>
    <row r="2065" spans="2:11" s="317" customFormat="1" ht="24.9" hidden="1" customHeight="1" x14ac:dyDescent="0.2">
      <c r="B2065" s="658" t="s">
        <v>1325</v>
      </c>
      <c r="C2065" s="322" t="str">
        <f>+'LISTA DE INSUMOS'!A52</f>
        <v>MAT021</v>
      </c>
      <c r="D2065" s="324" t="str">
        <f>+'LISTA DE INSUMOS'!B52</f>
        <v>Puntilla (promedio)</v>
      </c>
      <c r="E2065" s="322" t="str">
        <f>+'LISTA DE INSUMOS'!C52</f>
        <v>Lb</v>
      </c>
      <c r="F2065" s="325">
        <v>0.05</v>
      </c>
      <c r="G2065" s="312">
        <f>'LISTA DE INSUMOS'!E52</f>
        <v>6690.6972299999998</v>
      </c>
      <c r="H2065" s="322">
        <v>0</v>
      </c>
      <c r="I2065" s="312">
        <f>ROUND((F2065*G2065),0)</f>
        <v>335</v>
      </c>
      <c r="J2065" s="313"/>
      <c r="K2065" s="323"/>
    </row>
    <row r="2066" spans="2:11" s="317" customFormat="1" ht="24.9" hidden="1" customHeight="1" thickBot="1" x14ac:dyDescent="0.25">
      <c r="B2066" s="668"/>
      <c r="C2066" s="322" t="str">
        <f>+'LISTA DE INSUMOS'!A378</f>
        <v>MAT372</v>
      </c>
      <c r="D2066" s="324" t="str">
        <f>+'LISTA DE INSUMOS'!B378</f>
        <v>MALLA VENA 0.60x2mt Cal. 34</v>
      </c>
      <c r="E2066" s="322" t="str">
        <f>+'LISTA DE INSUMOS'!C378</f>
        <v>M2</v>
      </c>
      <c r="F2066" s="325">
        <v>1</v>
      </c>
      <c r="G2066" s="312">
        <f>'LISTA DE INSUMOS'!E378</f>
        <v>7377.6778902749993</v>
      </c>
      <c r="H2066" s="322">
        <v>1.05</v>
      </c>
      <c r="I2066" s="312">
        <f>ROUND((F2066*G2066*H2066),0)</f>
        <v>7747</v>
      </c>
      <c r="J2066" s="313"/>
      <c r="K2066" s="323"/>
    </row>
    <row r="2067" spans="2:11" s="317" customFormat="1" ht="24.9" hidden="1" customHeight="1" thickTop="1" thickBot="1" x14ac:dyDescent="0.25">
      <c r="B2067" s="347" t="s">
        <v>1310</v>
      </c>
      <c r="C2067" s="322" t="str">
        <f>+B574</f>
        <v>ITE96</v>
      </c>
      <c r="D2067" s="324" t="str">
        <f>+D574</f>
        <v>Mortero 1:3 (producción)</v>
      </c>
      <c r="E2067" s="322" t="str">
        <f>+E574</f>
        <v>M3</v>
      </c>
      <c r="F2067" s="325">
        <v>0.02</v>
      </c>
      <c r="G2067" s="312">
        <f>G574</f>
        <v>580906</v>
      </c>
      <c r="H2067" s="322">
        <v>1.05</v>
      </c>
      <c r="I2067" s="312">
        <f>ROUND((F2067*G2067*H2067),0)</f>
        <v>12199</v>
      </c>
      <c r="J2067" s="313"/>
      <c r="K2067" s="323"/>
    </row>
    <row r="2068" spans="2:11" s="317" customFormat="1" ht="24.9" hidden="1" customHeight="1" thickTop="1" thickBot="1" x14ac:dyDescent="0.25">
      <c r="B2068" s="363" t="s">
        <v>1034</v>
      </c>
      <c r="C2068" s="322" t="str">
        <f>'LISTA DE INSUMOS'!A18</f>
        <v>MOB015</v>
      </c>
      <c r="D2068" s="324" t="str">
        <f>'LISTA DE INSUMOS'!B18</f>
        <v>Cuadrilla E 1 Of + 1 Ay (jornal + prestaciones)</v>
      </c>
      <c r="E2068" s="322" t="str">
        <f>'LISTA DE INSUMOS'!C18</f>
        <v>Día</v>
      </c>
      <c r="F2068" s="325">
        <v>1</v>
      </c>
      <c r="G2068" s="312">
        <f>'LISTA DE INSUMOS'!E18</f>
        <v>245584</v>
      </c>
      <c r="H2068" s="322">
        <f>1/20</f>
        <v>0.05</v>
      </c>
      <c r="I2068" s="312">
        <f>ROUND((F2068*G2068*H2068),0)</f>
        <v>12279</v>
      </c>
      <c r="J2068" s="313"/>
      <c r="K2068" s="323"/>
    </row>
    <row r="2069" spans="2:11" s="317" customFormat="1" ht="24.9" hidden="1" customHeight="1" thickTop="1" x14ac:dyDescent="0.2">
      <c r="B2069" s="652" t="s">
        <v>1033</v>
      </c>
      <c r="C2069" s="322" t="str">
        <f>'LISTA DE INSUMOS'!A762</f>
        <v>EQU006</v>
      </c>
      <c r="D2069" s="324" t="str">
        <f>'LISTA DE INSUMOS'!B762</f>
        <v>Andamio (% mano obra)</v>
      </c>
      <c r="E2069" s="322" t="str">
        <f>'LISTA DE INSUMOS'!C762</f>
        <v>%MO</v>
      </c>
      <c r="F2069" s="332">
        <v>0.05</v>
      </c>
      <c r="G2069" s="312">
        <f>I2068</f>
        <v>12279</v>
      </c>
      <c r="H2069" s="349">
        <v>0</v>
      </c>
      <c r="I2069" s="312">
        <f>ROUND((F2069*G2069),0)</f>
        <v>614</v>
      </c>
      <c r="J2069" s="313"/>
      <c r="K2069" s="323"/>
    </row>
    <row r="2070" spans="2:11" s="317" customFormat="1" ht="24.9" hidden="1" customHeight="1" thickBot="1" x14ac:dyDescent="0.25">
      <c r="B2070" s="653"/>
      <c r="C2070" s="329" t="str">
        <f>'LISTA DE INSUMOS'!A758</f>
        <v>EQU002</v>
      </c>
      <c r="D2070" s="328" t="str">
        <f>'LISTA DE INSUMOS'!B758</f>
        <v>Herramienta menor (% mano obra)</v>
      </c>
      <c r="E2070" s="329" t="str">
        <f>'LISTA DE INSUMOS'!C758</f>
        <v>%MO</v>
      </c>
      <c r="F2070" s="330">
        <v>0.1</v>
      </c>
      <c r="G2070" s="331">
        <f>I2068</f>
        <v>12279</v>
      </c>
      <c r="H2070" s="329">
        <v>0</v>
      </c>
      <c r="I2070" s="331">
        <f>ROUND((F2070*G2070),0)</f>
        <v>1228</v>
      </c>
      <c r="J2070" s="313"/>
      <c r="K2070" s="323"/>
    </row>
    <row r="2071" spans="2:11" s="317" customFormat="1" ht="24.9" hidden="1" customHeight="1" x14ac:dyDescent="0.2">
      <c r="B2071" s="319" t="s">
        <v>1682</v>
      </c>
      <c r="C2071" s="319"/>
      <c r="D2071" s="320" t="s">
        <v>1908</v>
      </c>
      <c r="E2071" s="319" t="s">
        <v>1424</v>
      </c>
      <c r="F2071" s="321"/>
      <c r="G2071" s="312">
        <f>ROUND(SUM(I2071:I2077),0)</f>
        <v>39109</v>
      </c>
      <c r="H2071" s="322"/>
      <c r="I2071" s="312"/>
      <c r="J2071" s="313"/>
      <c r="K2071" s="323"/>
    </row>
    <row r="2072" spans="2:11" s="317" customFormat="1" ht="24.9" hidden="1" customHeight="1" x14ac:dyDescent="0.2">
      <c r="B2072" s="658" t="s">
        <v>1325</v>
      </c>
      <c r="C2072" s="322" t="str">
        <f>+'LISTA DE INSUMOS'!A52</f>
        <v>MAT021</v>
      </c>
      <c r="D2072" s="324" t="str">
        <f>+'LISTA DE INSUMOS'!B52</f>
        <v>Puntilla (promedio)</v>
      </c>
      <c r="E2072" s="322" t="str">
        <f>+'LISTA DE INSUMOS'!C52</f>
        <v>Lb</v>
      </c>
      <c r="F2072" s="325">
        <v>0.05</v>
      </c>
      <c r="G2072" s="312">
        <f>'LISTA DE INSUMOS'!E52</f>
        <v>6690.6972299999998</v>
      </c>
      <c r="H2072" s="322">
        <v>0</v>
      </c>
      <c r="I2072" s="312">
        <f>ROUND((F2072*G2072),0)</f>
        <v>335</v>
      </c>
      <c r="J2072" s="313"/>
      <c r="K2072" s="323"/>
    </row>
    <row r="2073" spans="2:11" s="317" customFormat="1" ht="24.9" hidden="1" customHeight="1" thickBot="1" x14ac:dyDescent="0.25">
      <c r="B2073" s="668"/>
      <c r="C2073" s="322" t="str">
        <f>+'LISTA DE INSUMOS'!A378</f>
        <v>MAT372</v>
      </c>
      <c r="D2073" s="324" t="str">
        <f>+'LISTA DE INSUMOS'!B378</f>
        <v>MALLA VENA 0.60x2mt Cal. 34</v>
      </c>
      <c r="E2073" s="322" t="str">
        <f>+'LISTA DE INSUMOS'!C378</f>
        <v>M2</v>
      </c>
      <c r="F2073" s="325">
        <v>1</v>
      </c>
      <c r="G2073" s="312">
        <f>'LISTA DE INSUMOS'!E378</f>
        <v>7377.6778902749993</v>
      </c>
      <c r="H2073" s="322">
        <v>1.05</v>
      </c>
      <c r="I2073" s="312">
        <f>ROUND((F2073*G2073*H2073),0)</f>
        <v>7747</v>
      </c>
      <c r="J2073" s="313"/>
      <c r="K2073" s="323"/>
    </row>
    <row r="2074" spans="2:11" s="317" customFormat="1" ht="24.9" hidden="1" customHeight="1" thickTop="1" thickBot="1" x14ac:dyDescent="0.25">
      <c r="B2074" s="347" t="s">
        <v>1310</v>
      </c>
      <c r="C2074" s="322" t="str">
        <f>+B574</f>
        <v>ITE96</v>
      </c>
      <c r="D2074" s="324" t="str">
        <f>+D574</f>
        <v>Mortero 1:3 (producción)</v>
      </c>
      <c r="E2074" s="322" t="str">
        <f>+E574</f>
        <v>M3</v>
      </c>
      <c r="F2074" s="325">
        <v>0.02</v>
      </c>
      <c r="G2074" s="312">
        <f>G574</f>
        <v>580906</v>
      </c>
      <c r="H2074" s="322">
        <v>1.05</v>
      </c>
      <c r="I2074" s="312">
        <f>ROUND((F2074*G2074*H2074),0)</f>
        <v>12199</v>
      </c>
      <c r="J2074" s="313"/>
      <c r="K2074" s="323"/>
    </row>
    <row r="2075" spans="2:11" s="317" customFormat="1" ht="24.9" hidden="1" customHeight="1" thickTop="1" thickBot="1" x14ac:dyDescent="0.25">
      <c r="B2075" s="363" t="s">
        <v>1034</v>
      </c>
      <c r="C2075" s="322" t="str">
        <f>'LISTA DE INSUMOS'!A18</f>
        <v>MOB015</v>
      </c>
      <c r="D2075" s="324" t="str">
        <f>'LISTA DE INSUMOS'!B18</f>
        <v>Cuadrilla E 1 Of + 1 Ay (jornal + prestaciones)</v>
      </c>
      <c r="E2075" s="322" t="str">
        <f>'LISTA DE INSUMOS'!C18</f>
        <v>Día</v>
      </c>
      <c r="F2075" s="325">
        <v>1</v>
      </c>
      <c r="G2075" s="312">
        <f>'LISTA DE INSUMOS'!E18</f>
        <v>245584</v>
      </c>
      <c r="H2075" s="322">
        <f>1/15</f>
        <v>6.6666666666666666E-2</v>
      </c>
      <c r="I2075" s="312">
        <f>ROUND((F2075*G2075*H2075),0)</f>
        <v>16372</v>
      </c>
      <c r="J2075" s="313"/>
      <c r="K2075" s="323"/>
    </row>
    <row r="2076" spans="2:11" s="317" customFormat="1" ht="24.9" hidden="1" customHeight="1" thickTop="1" x14ac:dyDescent="0.2">
      <c r="B2076" s="652" t="s">
        <v>1033</v>
      </c>
      <c r="C2076" s="322" t="str">
        <f>'LISTA DE INSUMOS'!A762</f>
        <v>EQU006</v>
      </c>
      <c r="D2076" s="324" t="str">
        <f>'LISTA DE INSUMOS'!B762</f>
        <v>Andamio (% mano obra)</v>
      </c>
      <c r="E2076" s="322" t="str">
        <f>'LISTA DE INSUMOS'!C762</f>
        <v>%MO</v>
      </c>
      <c r="F2076" s="332">
        <v>0.05</v>
      </c>
      <c r="G2076" s="312">
        <f>I2075</f>
        <v>16372</v>
      </c>
      <c r="H2076" s="349">
        <v>0</v>
      </c>
      <c r="I2076" s="312">
        <f>ROUND((F2076*G2076),0)</f>
        <v>819</v>
      </c>
      <c r="J2076" s="313"/>
      <c r="K2076" s="323"/>
    </row>
    <row r="2077" spans="2:11" s="317" customFormat="1" ht="24.9" hidden="1" customHeight="1" thickBot="1" x14ac:dyDescent="0.25">
      <c r="B2077" s="653"/>
      <c r="C2077" s="329" t="str">
        <f>'LISTA DE INSUMOS'!A758</f>
        <v>EQU002</v>
      </c>
      <c r="D2077" s="328" t="str">
        <f>'LISTA DE INSUMOS'!B758</f>
        <v>Herramienta menor (% mano obra)</v>
      </c>
      <c r="E2077" s="329" t="str">
        <f>'LISTA DE INSUMOS'!C758</f>
        <v>%MO</v>
      </c>
      <c r="F2077" s="330">
        <v>0.1</v>
      </c>
      <c r="G2077" s="331">
        <f>I2075</f>
        <v>16372</v>
      </c>
      <c r="H2077" s="329">
        <v>0</v>
      </c>
      <c r="I2077" s="331">
        <f>ROUND((F2077*G2077),0)</f>
        <v>1637</v>
      </c>
      <c r="J2077" s="313"/>
      <c r="K2077" s="323"/>
    </row>
    <row r="2078" spans="2:11" s="317" customFormat="1" ht="24.9" hidden="1" customHeight="1" x14ac:dyDescent="0.2">
      <c r="B2078" s="319" t="s">
        <v>1834</v>
      </c>
      <c r="C2078" s="319"/>
      <c r="D2078" s="320" t="s">
        <v>1914</v>
      </c>
      <c r="E2078" s="319" t="s">
        <v>1424</v>
      </c>
      <c r="F2078" s="321"/>
      <c r="G2078" s="312">
        <f>ROUND(SUM(I2078:I2085),0)</f>
        <v>51575</v>
      </c>
      <c r="H2078" s="322"/>
      <c r="I2078" s="312"/>
      <c r="J2078" s="313"/>
      <c r="K2078" s="323"/>
    </row>
    <row r="2079" spans="2:11" s="317" customFormat="1" ht="24.9" hidden="1" customHeight="1" x14ac:dyDescent="0.2">
      <c r="B2079" s="691" t="s">
        <v>1035</v>
      </c>
      <c r="C2079" s="322" t="str">
        <f>+'LISTA DE INSUMOS'!A52</f>
        <v>MAT021</v>
      </c>
      <c r="D2079" s="324" t="str">
        <f>+'LISTA DE INSUMOS'!B52</f>
        <v>Puntilla (promedio)</v>
      </c>
      <c r="E2079" s="322" t="str">
        <f>+'LISTA DE INSUMOS'!C52</f>
        <v>Lb</v>
      </c>
      <c r="F2079" s="325">
        <v>0.05</v>
      </c>
      <c r="G2079" s="312">
        <f>'LISTA DE INSUMOS'!E52</f>
        <v>6690.6972299999998</v>
      </c>
      <c r="H2079" s="322">
        <v>0</v>
      </c>
      <c r="I2079" s="312">
        <f>ROUND((F2079*G2079),0)</f>
        <v>335</v>
      </c>
      <c r="J2079" s="313"/>
      <c r="K2079" s="323"/>
    </row>
    <row r="2080" spans="2:11" s="317" customFormat="1" ht="24.9" hidden="1" customHeight="1" x14ac:dyDescent="0.2">
      <c r="B2080" s="691"/>
      <c r="C2080" s="322" t="str">
        <f>+'LISTA DE INSUMOS'!A190</f>
        <v>MAT148</v>
      </c>
      <c r="D2080" s="324" t="str">
        <f>+'LISTA DE INSUMOS'!B190</f>
        <v xml:space="preserve">Alambre galvanizado C 12 </v>
      </c>
      <c r="E2080" s="322" t="str">
        <f>+'LISTA DE INSUMOS'!C190</f>
        <v>Kg</v>
      </c>
      <c r="F2080" s="325">
        <v>0.3</v>
      </c>
      <c r="G2080" s="312">
        <f>'LISTA DE INSUMOS'!E190</f>
        <v>10174.934703779998</v>
      </c>
      <c r="H2080" s="322">
        <v>0</v>
      </c>
      <c r="I2080" s="312">
        <f>ROUND((F2080*G2080),0)</f>
        <v>3052</v>
      </c>
      <c r="J2080" s="313"/>
      <c r="K2080" s="323"/>
    </row>
    <row r="2081" spans="2:11" s="317" customFormat="1" ht="24.9" hidden="1" customHeight="1" thickBot="1" x14ac:dyDescent="0.25">
      <c r="B2081" s="692"/>
      <c r="C2081" s="322" t="str">
        <f>+'LISTA DE INSUMOS'!A378</f>
        <v>MAT372</v>
      </c>
      <c r="D2081" s="324" t="str">
        <f>+'LISTA DE INSUMOS'!B378</f>
        <v>MALLA VENA 0.60x2mt Cal. 34</v>
      </c>
      <c r="E2081" s="322" t="str">
        <f>+'LISTA DE INSUMOS'!C378</f>
        <v>M2</v>
      </c>
      <c r="F2081" s="325">
        <v>1</v>
      </c>
      <c r="G2081" s="312">
        <f>'LISTA DE INSUMOS'!E378</f>
        <v>7377.6778902749993</v>
      </c>
      <c r="H2081" s="322">
        <v>1.05</v>
      </c>
      <c r="I2081" s="312">
        <f>ROUND((F2081*G2081*H2081),0)</f>
        <v>7747</v>
      </c>
      <c r="J2081" s="313"/>
      <c r="K2081" s="323"/>
    </row>
    <row r="2082" spans="2:11" s="317" customFormat="1" ht="24.9" hidden="1" customHeight="1" thickTop="1" thickBot="1" x14ac:dyDescent="0.25">
      <c r="B2082" s="347" t="s">
        <v>1310</v>
      </c>
      <c r="C2082" s="322" t="str">
        <f>+B574</f>
        <v>ITE96</v>
      </c>
      <c r="D2082" s="324" t="str">
        <f>+D574</f>
        <v>Mortero 1:3 (producción)</v>
      </c>
      <c r="E2082" s="322" t="str">
        <f>+E574</f>
        <v>M3</v>
      </c>
      <c r="F2082" s="325">
        <v>0.02</v>
      </c>
      <c r="G2082" s="312">
        <f>G574</f>
        <v>580906</v>
      </c>
      <c r="H2082" s="322">
        <v>1.05</v>
      </c>
      <c r="I2082" s="312">
        <f>ROUND((F2082*G2082*H2082),0)</f>
        <v>12199</v>
      </c>
      <c r="J2082" s="313"/>
      <c r="K2082" s="323"/>
    </row>
    <row r="2083" spans="2:11" s="317" customFormat="1" ht="24.9" hidden="1" customHeight="1" thickTop="1" thickBot="1" x14ac:dyDescent="0.25">
      <c r="B2083" s="363" t="s">
        <v>1034</v>
      </c>
      <c r="C2083" s="322" t="str">
        <f>'LISTA DE INSUMOS'!A18</f>
        <v>MOB015</v>
      </c>
      <c r="D2083" s="324" t="str">
        <f>'LISTA DE INSUMOS'!B18</f>
        <v>Cuadrilla E 1 Of + 1 Ay (jornal + prestaciones)</v>
      </c>
      <c r="E2083" s="322" t="str">
        <f>'LISTA DE INSUMOS'!C18</f>
        <v>Día</v>
      </c>
      <c r="F2083" s="325">
        <v>1</v>
      </c>
      <c r="G2083" s="312">
        <f>'LISTA DE INSUMOS'!E18</f>
        <v>245584</v>
      </c>
      <c r="H2083" s="322">
        <f>1/10</f>
        <v>0.1</v>
      </c>
      <c r="I2083" s="312">
        <f>ROUND((F2083*G2083*H2083),0)</f>
        <v>24558</v>
      </c>
      <c r="J2083" s="313"/>
      <c r="K2083" s="323"/>
    </row>
    <row r="2084" spans="2:11" s="317" customFormat="1" ht="24.9" hidden="1" customHeight="1" thickTop="1" x14ac:dyDescent="0.2">
      <c r="B2084" s="652" t="s">
        <v>1033</v>
      </c>
      <c r="C2084" s="322" t="str">
        <f>'LISTA DE INSUMOS'!A762</f>
        <v>EQU006</v>
      </c>
      <c r="D2084" s="324" t="str">
        <f>'LISTA DE INSUMOS'!B762</f>
        <v>Andamio (% mano obra)</v>
      </c>
      <c r="E2084" s="322" t="str">
        <f>'LISTA DE INSUMOS'!C762</f>
        <v>%MO</v>
      </c>
      <c r="F2084" s="332">
        <v>0.05</v>
      </c>
      <c r="G2084" s="312">
        <f>I2083</f>
        <v>24558</v>
      </c>
      <c r="H2084" s="349">
        <v>0</v>
      </c>
      <c r="I2084" s="312">
        <f>ROUND((F2084*G2084),0)</f>
        <v>1228</v>
      </c>
      <c r="J2084" s="313"/>
      <c r="K2084" s="323"/>
    </row>
    <row r="2085" spans="2:11" s="317" customFormat="1" ht="24.9" hidden="1" customHeight="1" thickBot="1" x14ac:dyDescent="0.25">
      <c r="B2085" s="653"/>
      <c r="C2085" s="329" t="str">
        <f>'LISTA DE INSUMOS'!A758</f>
        <v>EQU002</v>
      </c>
      <c r="D2085" s="328" t="str">
        <f>'LISTA DE INSUMOS'!B758</f>
        <v>Herramienta menor (% mano obra)</v>
      </c>
      <c r="E2085" s="329" t="str">
        <f>'LISTA DE INSUMOS'!C758</f>
        <v>%MO</v>
      </c>
      <c r="F2085" s="330">
        <v>0.1</v>
      </c>
      <c r="G2085" s="331">
        <f>I2083</f>
        <v>24558</v>
      </c>
      <c r="H2085" s="329">
        <v>0</v>
      </c>
      <c r="I2085" s="331">
        <f>ROUND((F2085*G2085),0)</f>
        <v>2456</v>
      </c>
      <c r="J2085" s="313"/>
      <c r="K2085" s="323"/>
    </row>
    <row r="2086" spans="2:11" ht="24.9" customHeight="1" x14ac:dyDescent="0.2">
      <c r="B2086" s="117" t="s">
        <v>333</v>
      </c>
      <c r="C2086" s="117"/>
      <c r="D2086" s="236" t="s">
        <v>278</v>
      </c>
      <c r="E2086" s="117" t="s">
        <v>1424</v>
      </c>
      <c r="F2086" s="149"/>
      <c r="G2086" s="119">
        <f>ROUND(SUM(I2086:I2091),0)</f>
        <v>121948</v>
      </c>
      <c r="H2086" s="120"/>
      <c r="I2086" s="119"/>
      <c r="J2086" s="47"/>
      <c r="K2086" s="143"/>
    </row>
    <row r="2087" spans="2:11" ht="24.9" customHeight="1" thickBot="1" x14ac:dyDescent="0.25">
      <c r="B2087" s="175" t="s">
        <v>1325</v>
      </c>
      <c r="C2087" s="125" t="str">
        <f>+'LISTA DE INSUMOS'!A395</f>
        <v>MAT397</v>
      </c>
      <c r="D2087" s="155" t="str">
        <f>+'LISTA DE INSUMOS'!B395</f>
        <v>Bloque de cemento de 0,15 x 0,20 x 0,40 m estructural</v>
      </c>
      <c r="E2087" s="108" t="str">
        <f>+'LISTA DE INSUMOS'!C395</f>
        <v>Un</v>
      </c>
      <c r="F2087" s="140">
        <v>12.5</v>
      </c>
      <c r="G2087" s="141">
        <f>'LISTA DE INSUMOS'!E395</f>
        <v>4555.3558536749997</v>
      </c>
      <c r="H2087" s="108">
        <v>1.05</v>
      </c>
      <c r="I2087" s="141">
        <f>ROUND((F2087*G2087*H2087),0)</f>
        <v>59789</v>
      </c>
      <c r="J2087" s="47"/>
      <c r="K2087" s="143"/>
    </row>
    <row r="2088" spans="2:11" ht="24.9" customHeight="1" thickTop="1" thickBot="1" x14ac:dyDescent="0.25">
      <c r="B2088" s="191" t="s">
        <v>1310</v>
      </c>
      <c r="C2088" s="108" t="str">
        <f>+B4510</f>
        <v>ITE429</v>
      </c>
      <c r="D2088" s="237" t="str">
        <f>+D4510</f>
        <v>Concreto fluido 17,2 Mpa (2500 psi) tamaño máximo 1/2"</v>
      </c>
      <c r="E2088" s="108" t="str">
        <f>+E4510</f>
        <v>M3</v>
      </c>
      <c r="F2088" s="140">
        <v>0.04</v>
      </c>
      <c r="G2088" s="141">
        <f>G4510</f>
        <v>672309</v>
      </c>
      <c r="H2088" s="108">
        <v>1.05</v>
      </c>
      <c r="I2088" s="141">
        <f>ROUND((F2088*G2088*H2088),0)</f>
        <v>28237</v>
      </c>
      <c r="J2088" s="47"/>
      <c r="K2088" s="143"/>
    </row>
    <row r="2089" spans="2:11" ht="30" customHeight="1" thickTop="1" thickBot="1" x14ac:dyDescent="0.25">
      <c r="B2089" s="153" t="s">
        <v>1034</v>
      </c>
      <c r="C2089" s="108" t="str">
        <f>'LISTA DE INSUMOS'!A18</f>
        <v>MOB015</v>
      </c>
      <c r="D2089" s="139" t="str">
        <f>'LISTA DE INSUMOS'!B18</f>
        <v>Cuadrilla E 1 Of + 1 Ay (jornal + prestaciones)</v>
      </c>
      <c r="E2089" s="108" t="str">
        <f>'LISTA DE INSUMOS'!C18</f>
        <v>Día</v>
      </c>
      <c r="F2089" s="140">
        <v>1</v>
      </c>
      <c r="G2089" s="141">
        <f>'LISTA DE INSUMOS'!E18</f>
        <v>245584</v>
      </c>
      <c r="H2089" s="108">
        <f>1/8</f>
        <v>0.125</v>
      </c>
      <c r="I2089" s="141">
        <f>ROUND((F2089*G2089*H2089),0)</f>
        <v>30698</v>
      </c>
      <c r="J2089" s="47"/>
      <c r="K2089" s="143"/>
    </row>
    <row r="2090" spans="2:11" ht="30" customHeight="1" thickTop="1" x14ac:dyDescent="0.2">
      <c r="B2090" s="647" t="s">
        <v>1033</v>
      </c>
      <c r="C2090" s="108" t="str">
        <f>'LISTA DE INSUMOS'!A758</f>
        <v>EQU002</v>
      </c>
      <c r="D2090" s="139" t="str">
        <f>'LISTA DE INSUMOS'!B758</f>
        <v>Herramienta menor (% mano obra)</v>
      </c>
      <c r="E2090" s="108" t="str">
        <f>'LISTA DE INSUMOS'!C758</f>
        <v>%MO</v>
      </c>
      <c r="F2090" s="160">
        <v>0.1</v>
      </c>
      <c r="G2090" s="141">
        <f>I2089</f>
        <v>30698</v>
      </c>
      <c r="H2090" s="108">
        <v>0</v>
      </c>
      <c r="I2090" s="141">
        <f>ROUND((F2090*G2090),0)</f>
        <v>3070</v>
      </c>
      <c r="J2090" s="47"/>
      <c r="K2090" s="143"/>
    </row>
    <row r="2091" spans="2:11" ht="30" customHeight="1" thickBot="1" x14ac:dyDescent="0.25">
      <c r="B2091" s="704"/>
      <c r="C2091" s="145" t="str">
        <f>'LISTA DE INSUMOS'!A762</f>
        <v>EQU006</v>
      </c>
      <c r="D2091" s="146" t="str">
        <f>'LISTA DE INSUMOS'!B762</f>
        <v>Andamio (% mano obra)</v>
      </c>
      <c r="E2091" s="145" t="str">
        <f>'LISTA DE INSUMOS'!C762</f>
        <v>%MO</v>
      </c>
      <c r="F2091" s="147">
        <v>0.05</v>
      </c>
      <c r="G2091" s="148">
        <f>I2090</f>
        <v>3070</v>
      </c>
      <c r="H2091" s="206">
        <v>0</v>
      </c>
      <c r="I2091" s="148">
        <f>ROUND((F2091*G2091),0)</f>
        <v>154</v>
      </c>
      <c r="J2091" s="47"/>
      <c r="K2091" s="143"/>
    </row>
    <row r="2092" spans="2:11" ht="24.9" customHeight="1" x14ac:dyDescent="0.2">
      <c r="B2092" s="193" t="s">
        <v>344</v>
      </c>
      <c r="C2092" s="117"/>
      <c r="D2092" s="112" t="s">
        <v>356</v>
      </c>
      <c r="E2092" s="117" t="s">
        <v>1435</v>
      </c>
      <c r="F2092" s="149"/>
      <c r="G2092" s="119">
        <f>ROUND(SUM(I2092:I2095),0)</f>
        <v>12230</v>
      </c>
      <c r="H2092" s="120"/>
      <c r="I2092" s="119"/>
      <c r="J2092" s="47"/>
      <c r="K2092" s="143"/>
    </row>
    <row r="2093" spans="2:11" ht="24.9" customHeight="1" thickBot="1" x14ac:dyDescent="0.25">
      <c r="B2093" s="175" t="s">
        <v>1325</v>
      </c>
      <c r="C2093" s="125" t="str">
        <f>+'LISTA DE INSUMOS'!A605</f>
        <v>MAT622</v>
      </c>
      <c r="D2093" s="155" t="str">
        <f>+'LISTA DE INSUMOS'!B605</f>
        <v>Mortero epóxico para anclaje</v>
      </c>
      <c r="E2093" s="108" t="str">
        <f>+'LISTA DE INSUMOS'!C605</f>
        <v>Kg</v>
      </c>
      <c r="F2093" s="140">
        <v>0.1</v>
      </c>
      <c r="G2093" s="141">
        <f>'LISTA DE INSUMOS'!E605</f>
        <v>33184.367827049995</v>
      </c>
      <c r="H2093" s="108">
        <v>1.05</v>
      </c>
      <c r="I2093" s="141">
        <f>ROUND((F2093*G2093*H2093),0)</f>
        <v>3484</v>
      </c>
      <c r="J2093" s="47"/>
      <c r="K2093" s="143"/>
    </row>
    <row r="2094" spans="2:11" ht="24.9" customHeight="1" thickTop="1" thickBot="1" x14ac:dyDescent="0.25">
      <c r="B2094" s="153" t="s">
        <v>1034</v>
      </c>
      <c r="C2094" s="108" t="str">
        <f>'LISTA DE INSUMOS'!A18</f>
        <v>MOB015</v>
      </c>
      <c r="D2094" s="139" t="str">
        <f>'LISTA DE INSUMOS'!B18</f>
        <v>Cuadrilla E 1 Of + 1 Ay (jornal + prestaciones)</v>
      </c>
      <c r="E2094" s="108" t="str">
        <f>'LISTA DE INSUMOS'!C18</f>
        <v>Día</v>
      </c>
      <c r="F2094" s="140">
        <v>1</v>
      </c>
      <c r="G2094" s="141">
        <f>'LISTA DE INSUMOS'!E18</f>
        <v>245584</v>
      </c>
      <c r="H2094" s="108">
        <f>1/30</f>
        <v>3.3333333333333333E-2</v>
      </c>
      <c r="I2094" s="141">
        <f>ROUND((F2094*G2094*H2094),0)</f>
        <v>8186</v>
      </c>
      <c r="J2094" s="47"/>
      <c r="K2094" s="143"/>
    </row>
    <row r="2095" spans="2:11" ht="24.9" customHeight="1" thickTop="1" thickBot="1" x14ac:dyDescent="0.25">
      <c r="B2095" s="150" t="s">
        <v>1033</v>
      </c>
      <c r="C2095" s="194" t="str">
        <f>'LISTA DE INSUMOS'!A800</f>
        <v>EQU045</v>
      </c>
      <c r="D2095" s="198" t="str">
        <f>'LISTA DE INSUMOS'!B800</f>
        <v>Taladro percutor</v>
      </c>
      <c r="E2095" s="145" t="str">
        <f>'LISTA DE INSUMOS'!C800</f>
        <v>Día</v>
      </c>
      <c r="F2095" s="147">
        <v>1</v>
      </c>
      <c r="G2095" s="148">
        <f>'LISTA DE INSUMOS'!E800</f>
        <v>28008.9084</v>
      </c>
      <c r="H2095" s="145">
        <f>1/50</f>
        <v>0.02</v>
      </c>
      <c r="I2095" s="148">
        <f>ROUND((F2095*G2095*H2095),0)</f>
        <v>560</v>
      </c>
      <c r="J2095" s="47"/>
      <c r="K2095" s="143"/>
    </row>
    <row r="2096" spans="2:11" ht="24.9" customHeight="1" x14ac:dyDescent="0.2">
      <c r="B2096" s="117" t="s">
        <v>1529</v>
      </c>
      <c r="C2096" s="117"/>
      <c r="D2096" s="112" t="s">
        <v>357</v>
      </c>
      <c r="E2096" s="117" t="s">
        <v>1435</v>
      </c>
      <c r="F2096" s="149"/>
      <c r="G2096" s="119">
        <f>ROUND(SUM(I2096:I2099),0)</f>
        <v>14321</v>
      </c>
      <c r="H2096" s="120"/>
      <c r="I2096" s="119"/>
      <c r="J2096" s="47"/>
      <c r="K2096" s="143"/>
    </row>
    <row r="2097" spans="2:11" ht="24.9" customHeight="1" thickBot="1" x14ac:dyDescent="0.25">
      <c r="B2097" s="175" t="s">
        <v>1325</v>
      </c>
      <c r="C2097" s="125" t="str">
        <f>+'LISTA DE INSUMOS'!A605</f>
        <v>MAT622</v>
      </c>
      <c r="D2097" s="155" t="str">
        <f>+'LISTA DE INSUMOS'!B605</f>
        <v>Mortero epóxico para anclaje</v>
      </c>
      <c r="E2097" s="108" t="str">
        <f>+'LISTA DE INSUMOS'!C605</f>
        <v>Kg</v>
      </c>
      <c r="F2097" s="140">
        <v>0.16</v>
      </c>
      <c r="G2097" s="141">
        <f>'LISTA DE INSUMOS'!E605</f>
        <v>33184.367827049995</v>
      </c>
      <c r="H2097" s="108">
        <v>1.05</v>
      </c>
      <c r="I2097" s="141">
        <f>ROUND((F2097*G2097*H2097),0)</f>
        <v>5575</v>
      </c>
      <c r="J2097" s="47"/>
      <c r="K2097" s="143"/>
    </row>
    <row r="2098" spans="2:11" ht="24.9" customHeight="1" thickTop="1" thickBot="1" x14ac:dyDescent="0.25">
      <c r="B2098" s="153" t="s">
        <v>1034</v>
      </c>
      <c r="C2098" s="108" t="str">
        <f>'LISTA DE INSUMOS'!A18</f>
        <v>MOB015</v>
      </c>
      <c r="D2098" s="139" t="str">
        <f>'LISTA DE INSUMOS'!B18</f>
        <v>Cuadrilla E 1 Of + 1 Ay (jornal + prestaciones)</v>
      </c>
      <c r="E2098" s="108" t="str">
        <f>'LISTA DE INSUMOS'!C18</f>
        <v>Día</v>
      </c>
      <c r="F2098" s="140">
        <v>1</v>
      </c>
      <c r="G2098" s="141">
        <f>'LISTA DE INSUMOS'!E18</f>
        <v>245584</v>
      </c>
      <c r="H2098" s="108">
        <f>1/30</f>
        <v>3.3333333333333333E-2</v>
      </c>
      <c r="I2098" s="141">
        <f>ROUND((F2098*G2098*H2098),0)</f>
        <v>8186</v>
      </c>
      <c r="J2098" s="47"/>
      <c r="K2098" s="143"/>
    </row>
    <row r="2099" spans="2:11" ht="24.9" customHeight="1" thickTop="1" thickBot="1" x14ac:dyDescent="0.25">
      <c r="B2099" s="150" t="s">
        <v>1033</v>
      </c>
      <c r="C2099" s="194" t="str">
        <f>'LISTA DE INSUMOS'!A800</f>
        <v>EQU045</v>
      </c>
      <c r="D2099" s="198" t="str">
        <f>'LISTA DE INSUMOS'!B800</f>
        <v>Taladro percutor</v>
      </c>
      <c r="E2099" s="145" t="str">
        <f>'LISTA DE INSUMOS'!C800</f>
        <v>Día</v>
      </c>
      <c r="F2099" s="147">
        <v>1</v>
      </c>
      <c r="G2099" s="148">
        <f>'LISTA DE INSUMOS'!E800</f>
        <v>28008.9084</v>
      </c>
      <c r="H2099" s="145">
        <f>1/50</f>
        <v>0.02</v>
      </c>
      <c r="I2099" s="148">
        <f>ROUND((F2099*G2099*H2099),0)</f>
        <v>560</v>
      </c>
      <c r="J2099" s="47"/>
      <c r="K2099" s="143"/>
    </row>
    <row r="2100" spans="2:11" ht="24.9" customHeight="1" x14ac:dyDescent="0.2">
      <c r="B2100" s="117" t="s">
        <v>1753</v>
      </c>
      <c r="C2100" s="117"/>
      <c r="D2100" s="112" t="s">
        <v>98</v>
      </c>
      <c r="E2100" s="117" t="s">
        <v>2585</v>
      </c>
      <c r="F2100" s="118"/>
      <c r="G2100" s="119">
        <f>ROUND(SUM(I2100:I2110),0)</f>
        <v>118841</v>
      </c>
      <c r="H2100" s="120"/>
      <c r="I2100" s="119"/>
      <c r="J2100" s="47"/>
      <c r="K2100" s="143"/>
    </row>
    <row r="2101" spans="2:11" ht="24.9" customHeight="1" x14ac:dyDescent="0.2">
      <c r="B2101" s="672" t="s">
        <v>1035</v>
      </c>
      <c r="C2101" s="166" t="str">
        <f>+'LISTA DE INSUMOS'!A518</f>
        <v>MAT535</v>
      </c>
      <c r="D2101" s="155" t="str">
        <f>+'LISTA DE INSUMOS'!B518</f>
        <v>Canal 60 en 2,44 m calibre 26</v>
      </c>
      <c r="E2101" s="125" t="str">
        <f>+'LISTA DE INSUMOS'!C518</f>
        <v>Un</v>
      </c>
      <c r="F2101" s="176">
        <v>0.42</v>
      </c>
      <c r="G2101" s="141">
        <f>'LISTA DE INSUMOS'!E518</f>
        <v>9366.4432346099966</v>
      </c>
      <c r="H2101" s="108">
        <v>1.1000000000000001</v>
      </c>
      <c r="I2101" s="141">
        <f>ROUND((F2101*G2101*H2101),0)</f>
        <v>4327</v>
      </c>
      <c r="J2101" s="47"/>
      <c r="K2101" s="143"/>
    </row>
    <row r="2102" spans="2:11" ht="24.9" customHeight="1" x14ac:dyDescent="0.2">
      <c r="B2102" s="672"/>
      <c r="C2102" s="125" t="str">
        <f>+'LISTA DE INSUMOS'!A519</f>
        <v>MAT536</v>
      </c>
      <c r="D2102" s="155" t="str">
        <f>+'LISTA DE INSUMOS'!B519</f>
        <v>Paral 59 en 2,44 m calibre 26</v>
      </c>
      <c r="E2102" s="125" t="str">
        <f>+'LISTA DE INSUMOS'!C519</f>
        <v>Un</v>
      </c>
      <c r="F2102" s="176">
        <v>0.42</v>
      </c>
      <c r="G2102" s="141">
        <f>'LISTA DE INSUMOS'!E519</f>
        <v>10392.902767169999</v>
      </c>
      <c r="H2102" s="108">
        <v>1.1000000000000001</v>
      </c>
      <c r="I2102" s="141">
        <f>ROUND((F2102*G2102*H2102),0)</f>
        <v>4802</v>
      </c>
      <c r="J2102" s="47"/>
      <c r="K2102" s="143"/>
    </row>
    <row r="2103" spans="2:11" ht="30" customHeight="1" x14ac:dyDescent="0.2">
      <c r="B2103" s="672"/>
      <c r="C2103" s="125" t="str">
        <f>+'LISTA DE INSUMOS'!A238</f>
        <v>MAT206</v>
      </c>
      <c r="D2103" s="155" t="str">
        <f>+'LISTA DE INSUMOS'!B238</f>
        <v>Lámina de yeso 1,22 m x 2,44 m e = 12,7 mm</v>
      </c>
      <c r="E2103" s="125" t="str">
        <f>+'LISTA DE INSUMOS'!C238</f>
        <v>M2</v>
      </c>
      <c r="F2103" s="176">
        <v>1</v>
      </c>
      <c r="G2103" s="141">
        <f>'LISTA DE INSUMOS'!E238</f>
        <v>35662.691129999992</v>
      </c>
      <c r="H2103" s="108">
        <v>1.1000000000000001</v>
      </c>
      <c r="I2103" s="141">
        <f>ROUND((F2103*G2103*H2103),0)</f>
        <v>39229</v>
      </c>
      <c r="J2103" s="47"/>
      <c r="K2103" s="143"/>
    </row>
    <row r="2104" spans="2:11" ht="30" customHeight="1" x14ac:dyDescent="0.2">
      <c r="B2104" s="672"/>
      <c r="C2104" s="125" t="str">
        <f>+'LISTA DE INSUMOS'!A520</f>
        <v>MAT537</v>
      </c>
      <c r="D2104" s="155" t="str">
        <f>+'LISTA DE INSUMOS'!B520</f>
        <v>Tornillo drywall 6 x 1"</v>
      </c>
      <c r="E2104" s="125" t="str">
        <f>+'LISTA DE INSUMOS'!C520</f>
        <v>Un</v>
      </c>
      <c r="F2104" s="176">
        <v>35</v>
      </c>
      <c r="G2104" s="141">
        <f>'LISTA DE INSUMOS'!E520</f>
        <v>76.984464941999988</v>
      </c>
      <c r="H2104" s="108">
        <v>0</v>
      </c>
      <c r="I2104" s="141">
        <f>ROUND((F2104*G2104),0)</f>
        <v>2694</v>
      </c>
      <c r="J2104" s="47"/>
      <c r="K2104" s="143"/>
    </row>
    <row r="2105" spans="2:11" ht="30" customHeight="1" x14ac:dyDescent="0.2">
      <c r="B2105" s="672"/>
      <c r="C2105" s="125" t="str">
        <f>+'LISTA DE INSUMOS'!A523</f>
        <v>MAT540</v>
      </c>
      <c r="D2105" s="155" t="str">
        <f>+'LISTA DE INSUMOS'!B523</f>
        <v>Tornillo estructura drywall 8 x 1/2"</v>
      </c>
      <c r="E2105" s="125" t="str">
        <f>+'LISTA DE INSUMOS'!C523</f>
        <v>Un</v>
      </c>
      <c r="F2105" s="176">
        <v>25</v>
      </c>
      <c r="G2105" s="141">
        <f>'LISTA DE INSUMOS'!E523</f>
        <v>186.04579027649996</v>
      </c>
      <c r="H2105" s="108">
        <v>0</v>
      </c>
      <c r="I2105" s="141">
        <f>ROUND((F2105*G2105),0)</f>
        <v>4651</v>
      </c>
      <c r="J2105" s="47"/>
      <c r="K2105" s="143"/>
    </row>
    <row r="2106" spans="2:11" ht="24.9" customHeight="1" x14ac:dyDescent="0.2">
      <c r="B2106" s="672"/>
      <c r="C2106" s="125" t="str">
        <f>+'LISTA DE INSUMOS'!A335</f>
        <v>MAT318</v>
      </c>
      <c r="D2106" s="155" t="str">
        <f>+'LISTA DE INSUMOS'!B335</f>
        <v>Cinta de papel</v>
      </c>
      <c r="E2106" s="125" t="str">
        <f>+'LISTA DE INSUMOS'!C335</f>
        <v>M</v>
      </c>
      <c r="F2106" s="176">
        <v>2.5</v>
      </c>
      <c r="G2106" s="141">
        <f>'LISTA DE INSUMOS'!E335</f>
        <v>154.88408657567996</v>
      </c>
      <c r="H2106" s="108">
        <v>0</v>
      </c>
      <c r="I2106" s="141">
        <f>ROUND((F2106*G2106),0)</f>
        <v>387</v>
      </c>
      <c r="J2106" s="47"/>
      <c r="K2106" s="143"/>
    </row>
    <row r="2107" spans="2:11" ht="24.9" customHeight="1" thickBot="1" x14ac:dyDescent="0.25">
      <c r="B2107" s="673"/>
      <c r="C2107" s="125" t="str">
        <f>+'LISTA DE INSUMOS'!A524</f>
        <v>MAT541</v>
      </c>
      <c r="D2107" s="155" t="str">
        <f>+'LISTA DE INSUMOS'!B524</f>
        <v>Estuco listo</v>
      </c>
      <c r="E2107" s="125" t="str">
        <f>+'LISTA DE INSUMOS'!C524</f>
        <v>Gl</v>
      </c>
      <c r="F2107" s="176">
        <v>0.125</v>
      </c>
      <c r="G2107" s="141">
        <f>'LISTA DE INSUMOS'!E524</f>
        <v>37913.744789084994</v>
      </c>
      <c r="H2107" s="108">
        <v>1.05</v>
      </c>
      <c r="I2107" s="141">
        <f>ROUND((F2107*G2107*H2107),0)</f>
        <v>4976</v>
      </c>
      <c r="J2107" s="47"/>
      <c r="K2107" s="143"/>
    </row>
    <row r="2108" spans="2:11" ht="24.9" customHeight="1" thickTop="1" thickBot="1" x14ac:dyDescent="0.25">
      <c r="B2108" s="191" t="s">
        <v>1310</v>
      </c>
      <c r="C2108" s="108" t="str">
        <f>+B2545</f>
        <v>ITE244</v>
      </c>
      <c r="D2108" s="167" t="str">
        <f>+D2545</f>
        <v xml:space="preserve">Pintura con vinilo, incluye dilataciones y filos </v>
      </c>
      <c r="E2108" s="166" t="str">
        <f>+E2545</f>
        <v>M2</v>
      </c>
      <c r="F2108" s="176">
        <v>1</v>
      </c>
      <c r="G2108" s="141">
        <f>G2545</f>
        <v>30761</v>
      </c>
      <c r="H2108" s="108">
        <v>0</v>
      </c>
      <c r="I2108" s="141">
        <f>ROUND((F2108*G2108),0)</f>
        <v>30761</v>
      </c>
      <c r="J2108" s="47"/>
      <c r="K2108" s="143"/>
    </row>
    <row r="2109" spans="2:11" ht="24.9" customHeight="1" thickTop="1" thickBot="1" x14ac:dyDescent="0.25">
      <c r="B2109" s="153" t="s">
        <v>1034</v>
      </c>
      <c r="C2109" s="108" t="str">
        <f>'LISTA DE INSUMOS'!A18</f>
        <v>MOB015</v>
      </c>
      <c r="D2109" s="139" t="str">
        <f>'LISTA DE INSUMOS'!B18</f>
        <v>Cuadrilla E 1 Of + 1 Ay (jornal + prestaciones)</v>
      </c>
      <c r="E2109" s="108" t="str">
        <f>'LISTA DE INSUMOS'!C18</f>
        <v>Día</v>
      </c>
      <c r="F2109" s="140">
        <v>1</v>
      </c>
      <c r="G2109" s="141">
        <f>'LISTA DE INSUMOS'!E18</f>
        <v>245584</v>
      </c>
      <c r="H2109" s="142">
        <f>1/10</f>
        <v>0.1</v>
      </c>
      <c r="I2109" s="141">
        <f>ROUND((F2109*G2109*H2109),0)</f>
        <v>24558</v>
      </c>
      <c r="J2109" s="47"/>
      <c r="K2109" s="143"/>
    </row>
    <row r="2110" spans="2:11" ht="33" customHeight="1" thickTop="1" thickBot="1" x14ac:dyDescent="0.25">
      <c r="B2110" s="150" t="s">
        <v>1033</v>
      </c>
      <c r="C2110" s="151" t="str">
        <f>'LISTA DE INSUMOS'!A758</f>
        <v>EQU002</v>
      </c>
      <c r="D2110" s="146" t="str">
        <f>'LISTA DE INSUMOS'!B758</f>
        <v>Herramienta menor (% mano obra)</v>
      </c>
      <c r="E2110" s="145" t="str">
        <f>'LISTA DE INSUMOS'!C758</f>
        <v>%MO</v>
      </c>
      <c r="F2110" s="147">
        <v>0.1</v>
      </c>
      <c r="G2110" s="148">
        <f>I2109</f>
        <v>24558</v>
      </c>
      <c r="H2110" s="145">
        <v>0</v>
      </c>
      <c r="I2110" s="148">
        <f>ROUND((F2110*G2110),0)</f>
        <v>2456</v>
      </c>
      <c r="J2110" s="47"/>
      <c r="K2110" s="143"/>
    </row>
    <row r="2111" spans="2:11" s="317" customFormat="1" ht="24.9" hidden="1" customHeight="1" x14ac:dyDescent="0.2">
      <c r="B2111" s="319" t="s">
        <v>1488</v>
      </c>
      <c r="C2111" s="319"/>
      <c r="D2111" s="320" t="s">
        <v>1427</v>
      </c>
      <c r="E2111" s="319" t="s">
        <v>2585</v>
      </c>
      <c r="F2111" s="321"/>
      <c r="G2111" s="312">
        <f>ROUND(SUM(I2111:I2117),0)</f>
        <v>160609</v>
      </c>
      <c r="H2111" s="322"/>
      <c r="I2111" s="312"/>
      <c r="J2111" s="313"/>
      <c r="K2111" s="323"/>
    </row>
    <row r="2112" spans="2:11" s="317" customFormat="1" ht="24.9" hidden="1" customHeight="1" x14ac:dyDescent="0.2">
      <c r="B2112" s="691" t="s">
        <v>1035</v>
      </c>
      <c r="C2112" s="322" t="str">
        <f>+'LISTA DE INSUMOS'!A32</f>
        <v>MAT003</v>
      </c>
      <c r="D2112" s="324" t="str">
        <f>+'LISTA DE INSUMOS'!B32</f>
        <v>Arena</v>
      </c>
      <c r="E2112" s="322" t="str">
        <f>+'LISTA DE INSUMOS'!C32</f>
        <v>M3</v>
      </c>
      <c r="F2112" s="325">
        <v>0.05</v>
      </c>
      <c r="G2112" s="312">
        <f>'LISTA DE INSUMOS'!E32</f>
        <v>112536.56002875</v>
      </c>
      <c r="H2112" s="322">
        <v>1.05</v>
      </c>
      <c r="I2112" s="312">
        <f>ROUND((F2112*G2112*H2112),0)</f>
        <v>5908</v>
      </c>
      <c r="J2112" s="313"/>
      <c r="K2112" s="323"/>
    </row>
    <row r="2113" spans="2:11" s="317" customFormat="1" ht="24.9" hidden="1" customHeight="1" x14ac:dyDescent="0.2">
      <c r="B2113" s="691"/>
      <c r="C2113" s="322" t="str">
        <f>+'LISTA DE INSUMOS'!A42</f>
        <v>MAT013</v>
      </c>
      <c r="D2113" s="324" t="str">
        <f>+'LISTA DE INSUMOS'!B42</f>
        <v xml:space="preserve">Agua </v>
      </c>
      <c r="E2113" s="322" t="str">
        <f>+'LISTA DE INSUMOS'!C42</f>
        <v>Lt</v>
      </c>
      <c r="F2113" s="325">
        <v>10</v>
      </c>
      <c r="G2113" s="312">
        <f>'LISTA DE INSUMOS'!E42</f>
        <v>96.828790046226644</v>
      </c>
      <c r="H2113" s="322">
        <v>0</v>
      </c>
      <c r="I2113" s="312">
        <f>ROUND((F2113*G2113),0)</f>
        <v>968</v>
      </c>
      <c r="J2113" s="313"/>
      <c r="K2113" s="323"/>
    </row>
    <row r="2114" spans="2:11" s="317" customFormat="1" ht="24.9" hidden="1" customHeight="1" thickBot="1" x14ac:dyDescent="0.25">
      <c r="B2114" s="692"/>
      <c r="C2114" s="322" t="str">
        <f>+'LISTA DE INSUMOS'!A412</f>
        <v>MAT423</v>
      </c>
      <c r="D2114" s="324" t="str">
        <f>+'LISTA DE INSUMOS'!B412</f>
        <v>Adoquín de gres peatonal 0,20*0,10*0,05</v>
      </c>
      <c r="E2114" s="322" t="str">
        <f>+'LISTA DE INSUMOS'!C412</f>
        <v>M2</v>
      </c>
      <c r="F2114" s="325">
        <v>1</v>
      </c>
      <c r="G2114" s="312">
        <f>'LISTA DE INSUMOS'!E412</f>
        <v>109933.63926599998</v>
      </c>
      <c r="H2114" s="322">
        <v>1.1000000000000001</v>
      </c>
      <c r="I2114" s="312">
        <f>ROUND((F2114*G2114*H2114),0)</f>
        <v>120927</v>
      </c>
      <c r="J2114" s="313"/>
      <c r="K2114" s="323"/>
    </row>
    <row r="2115" spans="2:11" s="317" customFormat="1" ht="24.9" hidden="1" customHeight="1" thickTop="1" thickBot="1" x14ac:dyDescent="0.25">
      <c r="B2115" s="363" t="s">
        <v>1034</v>
      </c>
      <c r="C2115" s="322" t="str">
        <f>'LISTA DE INSUMOS'!A20</f>
        <v>MOB017</v>
      </c>
      <c r="D2115" s="324" t="str">
        <f>'LISTA DE INSUMOS'!B20</f>
        <v>Cuadrilla G 1 Of + 2 Ay (jornal + prestaciones)</v>
      </c>
      <c r="E2115" s="322" t="str">
        <f>'LISTA DE INSUMOS'!C20</f>
        <v>Día</v>
      </c>
      <c r="F2115" s="325">
        <v>1</v>
      </c>
      <c r="G2115" s="312">
        <f>'LISTA DE INSUMOS'!E20</f>
        <v>327445</v>
      </c>
      <c r="H2115" s="322">
        <f>1/12</f>
        <v>8.3333333333333329E-2</v>
      </c>
      <c r="I2115" s="312">
        <f>ROUND((F2115*G2115*H2115),0)</f>
        <v>27287</v>
      </c>
      <c r="J2115" s="313"/>
      <c r="K2115" s="323"/>
    </row>
    <row r="2116" spans="2:11" s="317" customFormat="1" ht="24.9" hidden="1" customHeight="1" thickTop="1" x14ac:dyDescent="0.2">
      <c r="B2116" s="652" t="s">
        <v>1033</v>
      </c>
      <c r="C2116" s="322" t="str">
        <f>'LISTA DE INSUMOS'!A769</f>
        <v>EQU012</v>
      </c>
      <c r="D2116" s="324" t="str">
        <f>'LISTA DE INSUMOS'!B769</f>
        <v xml:space="preserve">Vibrocompactador manual </v>
      </c>
      <c r="E2116" s="322" t="str">
        <f>'LISTA DE INSUMOS'!C769</f>
        <v>Día</v>
      </c>
      <c r="F2116" s="325">
        <v>1</v>
      </c>
      <c r="G2116" s="312">
        <f>'LISTA DE INSUMOS'!E769</f>
        <v>83697.986602732781</v>
      </c>
      <c r="H2116" s="322">
        <f>1/30</f>
        <v>3.3333333333333333E-2</v>
      </c>
      <c r="I2116" s="312">
        <f>ROUND((F2116*G2116*H2116),0)</f>
        <v>2790</v>
      </c>
      <c r="J2116" s="313"/>
      <c r="K2116" s="323"/>
    </row>
    <row r="2117" spans="2:11" s="317" customFormat="1" ht="24.9" hidden="1" customHeight="1" thickBot="1" x14ac:dyDescent="0.25">
      <c r="B2117" s="653"/>
      <c r="C2117" s="329" t="str">
        <f>'LISTA DE INSUMOS'!A758</f>
        <v>EQU002</v>
      </c>
      <c r="D2117" s="328" t="str">
        <f>'LISTA DE INSUMOS'!B758</f>
        <v>Herramienta menor (% mano obra)</v>
      </c>
      <c r="E2117" s="329" t="str">
        <f>'LISTA DE INSUMOS'!C758</f>
        <v>%MO</v>
      </c>
      <c r="F2117" s="330">
        <v>0.1</v>
      </c>
      <c r="G2117" s="331">
        <f>I2115</f>
        <v>27287</v>
      </c>
      <c r="H2117" s="329">
        <v>0</v>
      </c>
      <c r="I2117" s="331">
        <f>ROUND((F2117*G2117),0)</f>
        <v>2729</v>
      </c>
      <c r="J2117" s="313"/>
      <c r="K2117" s="323"/>
    </row>
    <row r="2118" spans="2:11" s="317" customFormat="1" ht="24.9" hidden="1" customHeight="1" x14ac:dyDescent="0.2">
      <c r="B2118" s="353" t="s">
        <v>1454</v>
      </c>
      <c r="C2118" s="319"/>
      <c r="D2118" s="320" t="s">
        <v>1465</v>
      </c>
      <c r="E2118" s="319" t="s">
        <v>2585</v>
      </c>
      <c r="F2118" s="332"/>
      <c r="G2118" s="312">
        <f>ROUND(SUM(I2118:I2123),0)</f>
        <v>42644</v>
      </c>
      <c r="H2118" s="322"/>
      <c r="I2118" s="312"/>
      <c r="J2118" s="313"/>
      <c r="K2118" s="323"/>
    </row>
    <row r="2119" spans="2:11" s="317" customFormat="1" ht="24.9" hidden="1" customHeight="1" thickBot="1" x14ac:dyDescent="0.25">
      <c r="B2119" s="347" t="s">
        <v>1325</v>
      </c>
      <c r="C2119" s="322" t="str">
        <f>+'LISTA DE INSUMOS'!A416</f>
        <v>MAT428</v>
      </c>
      <c r="D2119" s="324" t="str">
        <f>+'LISTA DE INSUMOS'!B416</f>
        <v>Calados de 20 x 20 x 10 cm en gres</v>
      </c>
      <c r="E2119" s="322" t="str">
        <f>+'LISTA DE INSUMOS'!C416</f>
        <v>Un</v>
      </c>
      <c r="F2119" s="325">
        <v>1</v>
      </c>
      <c r="G2119" s="312">
        <f>'LISTA DE INSUMOS'!E416</f>
        <v>2800.4148107759997</v>
      </c>
      <c r="H2119" s="322">
        <v>1.05</v>
      </c>
      <c r="I2119" s="312">
        <f>ROUND((F2119*G2119*H2119),0)</f>
        <v>2940</v>
      </c>
      <c r="J2119" s="313"/>
      <c r="K2119" s="323"/>
    </row>
    <row r="2120" spans="2:11" s="317" customFormat="1" ht="24.9" hidden="1" customHeight="1" thickTop="1" thickBot="1" x14ac:dyDescent="0.25">
      <c r="B2120" s="347" t="s">
        <v>1310</v>
      </c>
      <c r="C2120" s="322" t="str">
        <f>+B574</f>
        <v>ITE96</v>
      </c>
      <c r="D2120" s="324" t="str">
        <f>+D574</f>
        <v>Mortero 1:3 (producción)</v>
      </c>
      <c r="E2120" s="322" t="str">
        <f>+E574</f>
        <v>M3</v>
      </c>
      <c r="F2120" s="325">
        <v>0.02</v>
      </c>
      <c r="G2120" s="312">
        <f>G574</f>
        <v>580906</v>
      </c>
      <c r="H2120" s="322">
        <v>1.05</v>
      </c>
      <c r="I2120" s="312">
        <f>ROUND((F2120*G2120*H2120),0)</f>
        <v>12199</v>
      </c>
      <c r="J2120" s="313"/>
      <c r="K2120" s="323"/>
    </row>
    <row r="2121" spans="2:11" s="317" customFormat="1" ht="24.9" hidden="1" customHeight="1" thickTop="1" thickBot="1" x14ac:dyDescent="0.25">
      <c r="B2121" s="363" t="s">
        <v>1034</v>
      </c>
      <c r="C2121" s="322" t="str">
        <f>'LISTA DE INSUMOS'!A18</f>
        <v>MOB015</v>
      </c>
      <c r="D2121" s="324" t="str">
        <f>'LISTA DE INSUMOS'!B18</f>
        <v>Cuadrilla E 1 Of + 1 Ay (jornal + prestaciones)</v>
      </c>
      <c r="E2121" s="322" t="str">
        <f>'LISTA DE INSUMOS'!C18</f>
        <v>Día</v>
      </c>
      <c r="F2121" s="325">
        <v>1</v>
      </c>
      <c r="G2121" s="312">
        <f>'LISTA DE INSUMOS'!E18</f>
        <v>245584</v>
      </c>
      <c r="H2121" s="322">
        <f>1/10</f>
        <v>0.1</v>
      </c>
      <c r="I2121" s="312">
        <f>ROUND((F2121*G2121*H2121),0)</f>
        <v>24558</v>
      </c>
      <c r="J2121" s="313"/>
      <c r="K2121" s="323"/>
    </row>
    <row r="2122" spans="2:11" s="317" customFormat="1" ht="24.9" hidden="1" customHeight="1" thickTop="1" x14ac:dyDescent="0.2">
      <c r="B2122" s="652" t="s">
        <v>1033</v>
      </c>
      <c r="C2122" s="322" t="str">
        <f>'LISTA DE INSUMOS'!A758</f>
        <v>EQU002</v>
      </c>
      <c r="D2122" s="324" t="str">
        <f>'LISTA DE INSUMOS'!B758</f>
        <v>Herramienta menor (% mano obra)</v>
      </c>
      <c r="E2122" s="322" t="str">
        <f>'LISTA DE INSUMOS'!C758</f>
        <v>%MO</v>
      </c>
      <c r="F2122" s="325">
        <v>0.1</v>
      </c>
      <c r="G2122" s="312">
        <f>I2121</f>
        <v>24558</v>
      </c>
      <c r="H2122" s="322">
        <v>0</v>
      </c>
      <c r="I2122" s="312">
        <f>ROUND((F2122*G2122),0)</f>
        <v>2456</v>
      </c>
      <c r="J2122" s="313"/>
      <c r="K2122" s="323"/>
    </row>
    <row r="2123" spans="2:11" s="317" customFormat="1" ht="24.9" hidden="1" customHeight="1" thickBot="1" x14ac:dyDescent="0.25">
      <c r="B2123" s="653"/>
      <c r="C2123" s="329" t="str">
        <f>'LISTA DE INSUMOS'!A762</f>
        <v>EQU006</v>
      </c>
      <c r="D2123" s="328" t="str">
        <f>'LISTA DE INSUMOS'!B762</f>
        <v>Andamio (% mano obra)</v>
      </c>
      <c r="E2123" s="329" t="str">
        <f>'LISTA DE INSUMOS'!C762</f>
        <v>%MO</v>
      </c>
      <c r="F2123" s="330">
        <v>0.02</v>
      </c>
      <c r="G2123" s="331">
        <f>I2121</f>
        <v>24558</v>
      </c>
      <c r="H2123" s="329">
        <v>0</v>
      </c>
      <c r="I2123" s="331">
        <f>ROUND((F2123*G2123),0)</f>
        <v>491</v>
      </c>
      <c r="J2123" s="313"/>
      <c r="K2123" s="323"/>
    </row>
    <row r="2124" spans="2:11" ht="24.9" customHeight="1" x14ac:dyDescent="0.2">
      <c r="B2124" s="193" t="s">
        <v>1759</v>
      </c>
      <c r="C2124" s="117"/>
      <c r="D2124" s="236" t="s">
        <v>440</v>
      </c>
      <c r="E2124" s="117" t="s">
        <v>1412</v>
      </c>
      <c r="F2124" s="149"/>
      <c r="G2124" s="119">
        <f>ROUND(SUM(I2124:I2128),0)</f>
        <v>669907</v>
      </c>
      <c r="H2124" s="120"/>
      <c r="I2124" s="119"/>
      <c r="J2124" s="47"/>
      <c r="K2124" s="143"/>
    </row>
    <row r="2125" spans="2:11" ht="24.9" customHeight="1" x14ac:dyDescent="0.2">
      <c r="B2125" s="657" t="s">
        <v>1325</v>
      </c>
      <c r="C2125" s="108" t="str">
        <f>+'LISTA DE INSUMOS'!A419</f>
        <v>MAT432</v>
      </c>
      <c r="D2125" s="139" t="str">
        <f>+'LISTA DE INSUMOS'!B419</f>
        <v>Cubierta en acero inoxidable para mesón cocineta, incluye poceta y grifería completa a = 0.60 m, L= 1,50</v>
      </c>
      <c r="E2125" s="108" t="str">
        <f>+'LISTA DE INSUMOS'!C419</f>
        <v>M</v>
      </c>
      <c r="F2125" s="140">
        <v>1</v>
      </c>
      <c r="G2125" s="141">
        <f>'LISTA DE INSUMOS'!E419</f>
        <v>461951.69725654944</v>
      </c>
      <c r="H2125" s="108">
        <v>0</v>
      </c>
      <c r="I2125" s="141">
        <f>ROUND((F2125*G2125),0)</f>
        <v>461952</v>
      </c>
      <c r="J2125" s="47"/>
      <c r="K2125" s="143"/>
    </row>
    <row r="2126" spans="2:11" ht="24.9" customHeight="1" thickBot="1" x14ac:dyDescent="0.25">
      <c r="B2126" s="659"/>
      <c r="C2126" s="108" t="str">
        <f>+'LISTA DE INSUMOS'!A279</f>
        <v>MAT251</v>
      </c>
      <c r="D2126" s="139" t="str">
        <f>+'LISTA DE INSUMOS'!B279</f>
        <v>Grifería (llave, canastilla y sifón)</v>
      </c>
      <c r="E2126" s="108" t="str">
        <f>+'LISTA DE INSUMOS'!C279</f>
        <v>Un</v>
      </c>
      <c r="F2126" s="140">
        <v>0.5</v>
      </c>
      <c r="G2126" s="141">
        <f>'LISTA DE INSUMOS'!E279</f>
        <v>55719.491632107383</v>
      </c>
      <c r="H2126" s="108">
        <v>0</v>
      </c>
      <c r="I2126" s="141">
        <f>ROUND((F2126*G2126),0)</f>
        <v>27860</v>
      </c>
      <c r="J2126" s="47"/>
      <c r="K2126" s="143"/>
    </row>
    <row r="2127" spans="2:11" ht="24.9" customHeight="1" thickTop="1" thickBot="1" x14ac:dyDescent="0.25">
      <c r="B2127" s="153" t="s">
        <v>1034</v>
      </c>
      <c r="C2127" s="108" t="str">
        <f>+'LISTA DE INSUMOS'!A18</f>
        <v>MOB015</v>
      </c>
      <c r="D2127" s="139" t="str">
        <f>+'LISTA DE INSUMOS'!B18</f>
        <v>Cuadrilla E 1 Of + 1 Ay (jornal + prestaciones)</v>
      </c>
      <c r="E2127" s="108" t="str">
        <f>+'LISTA DE INSUMOS'!C18</f>
        <v>Día</v>
      </c>
      <c r="F2127" s="140">
        <v>1</v>
      </c>
      <c r="G2127" s="141">
        <f>'LISTA DE INSUMOS'!E18</f>
        <v>245584</v>
      </c>
      <c r="H2127" s="108">
        <f>1/1.5</f>
        <v>0.66666666666666663</v>
      </c>
      <c r="I2127" s="141">
        <f>ROUND((F2127*G2127*H2127),0)</f>
        <v>163723</v>
      </c>
      <c r="J2127" s="47"/>
      <c r="K2127" s="143"/>
    </row>
    <row r="2128" spans="2:11" ht="24.9" customHeight="1" thickTop="1" thickBot="1" x14ac:dyDescent="0.25">
      <c r="B2128" s="150" t="s">
        <v>1033</v>
      </c>
      <c r="C2128" s="151" t="str">
        <f>+'LISTA DE INSUMOS'!A758</f>
        <v>EQU002</v>
      </c>
      <c r="D2128" s="146" t="str">
        <f>+'LISTA DE INSUMOS'!B758</f>
        <v>Herramienta menor (% mano obra)</v>
      </c>
      <c r="E2128" s="145" t="str">
        <f>+'LISTA DE INSUMOS'!C758</f>
        <v>%MO</v>
      </c>
      <c r="F2128" s="147">
        <v>0.1</v>
      </c>
      <c r="G2128" s="148">
        <f>I2127</f>
        <v>163723</v>
      </c>
      <c r="H2128" s="145">
        <v>0</v>
      </c>
      <c r="I2128" s="148">
        <f>ROUND((F2128*G2128),0)</f>
        <v>16372</v>
      </c>
      <c r="J2128" s="47"/>
      <c r="K2128" s="143"/>
    </row>
    <row r="2129" spans="2:11" ht="24.9" customHeight="1" x14ac:dyDescent="0.2">
      <c r="B2129" s="117" t="s">
        <v>1757</v>
      </c>
      <c r="C2129" s="117"/>
      <c r="D2129" s="112" t="s">
        <v>1764</v>
      </c>
      <c r="E2129" s="117" t="s">
        <v>1412</v>
      </c>
      <c r="F2129" s="149"/>
      <c r="G2129" s="119">
        <f>ROUND(SUM(I2129:I2132),0)</f>
        <v>852583</v>
      </c>
      <c r="H2129" s="120"/>
      <c r="I2129" s="119"/>
      <c r="J2129" s="47"/>
      <c r="K2129" s="143"/>
    </row>
    <row r="2130" spans="2:11" ht="24.9" customHeight="1" thickBot="1" x14ac:dyDescent="0.25">
      <c r="B2130" s="175" t="s">
        <v>1325</v>
      </c>
      <c r="C2130" s="108" t="str">
        <f>+'LISTA DE INSUMOS'!A420</f>
        <v>MAT433</v>
      </c>
      <c r="D2130" s="139" t="str">
        <f>+'LISTA DE INSUMOS'!B420</f>
        <v>Mueble inferior en formica para mesón cocineta h = 0,90 m, L0 1,50</v>
      </c>
      <c r="E2130" s="108" t="str">
        <f>+'LISTA DE INSUMOS'!C420</f>
        <v>M</v>
      </c>
      <c r="F2130" s="140">
        <v>1</v>
      </c>
      <c r="G2130" s="141">
        <f>'LISTA DE INSUMOS'!E420</f>
        <v>582441.20740763086</v>
      </c>
      <c r="H2130" s="108">
        <v>0</v>
      </c>
      <c r="I2130" s="141">
        <f>ROUND((F2130*G2130),0)</f>
        <v>582441</v>
      </c>
      <c r="J2130" s="47"/>
      <c r="K2130" s="143"/>
    </row>
    <row r="2131" spans="2:11" ht="24.9" customHeight="1" thickTop="1" thickBot="1" x14ac:dyDescent="0.25">
      <c r="B2131" s="153" t="s">
        <v>1034</v>
      </c>
      <c r="C2131" s="108" t="str">
        <f>+'LISTA DE INSUMOS'!A18</f>
        <v>MOB015</v>
      </c>
      <c r="D2131" s="139" t="str">
        <f>+'LISTA DE INSUMOS'!B18</f>
        <v>Cuadrilla E 1 Of + 1 Ay (jornal + prestaciones)</v>
      </c>
      <c r="E2131" s="108" t="str">
        <f>+'LISTA DE INSUMOS'!C18</f>
        <v>Día</v>
      </c>
      <c r="F2131" s="140">
        <v>1</v>
      </c>
      <c r="G2131" s="141">
        <f>'LISTA DE INSUMOS'!E18</f>
        <v>245584</v>
      </c>
      <c r="H2131" s="108">
        <v>1</v>
      </c>
      <c r="I2131" s="141">
        <f>ROUND((F2131*G2131*H2131),0)</f>
        <v>245584</v>
      </c>
      <c r="J2131" s="47"/>
      <c r="K2131" s="143"/>
    </row>
    <row r="2132" spans="2:11" ht="24.9" customHeight="1" thickTop="1" thickBot="1" x14ac:dyDescent="0.25">
      <c r="B2132" s="150" t="s">
        <v>1033</v>
      </c>
      <c r="C2132" s="151" t="str">
        <f>+'LISTA DE INSUMOS'!A758</f>
        <v>EQU002</v>
      </c>
      <c r="D2132" s="146" t="str">
        <f>+'LISTA DE INSUMOS'!B758</f>
        <v>Herramienta menor (% mano obra)</v>
      </c>
      <c r="E2132" s="145" t="str">
        <f>+'LISTA DE INSUMOS'!C758</f>
        <v>%MO</v>
      </c>
      <c r="F2132" s="147">
        <v>0.1</v>
      </c>
      <c r="G2132" s="148">
        <f>I2131</f>
        <v>245584</v>
      </c>
      <c r="H2132" s="145">
        <v>0</v>
      </c>
      <c r="I2132" s="148">
        <f>ROUND((F2132*G2132),0)</f>
        <v>24558</v>
      </c>
      <c r="J2132" s="47"/>
      <c r="K2132" s="143"/>
    </row>
    <row r="2133" spans="2:11" ht="24.9" customHeight="1" x14ac:dyDescent="0.2">
      <c r="B2133" s="117" t="s">
        <v>1816</v>
      </c>
      <c r="C2133" s="117"/>
      <c r="D2133" s="112" t="s">
        <v>338</v>
      </c>
      <c r="E2133" s="117" t="s">
        <v>1424</v>
      </c>
      <c r="F2133" s="149"/>
      <c r="G2133" s="119">
        <f>ROUND(SUM(I2133:I2138),0)</f>
        <v>117369</v>
      </c>
      <c r="H2133" s="120"/>
      <c r="I2133" s="119"/>
      <c r="J2133" s="47"/>
      <c r="K2133" s="143"/>
    </row>
    <row r="2134" spans="2:11" ht="24.9" customHeight="1" x14ac:dyDescent="0.2">
      <c r="B2134" s="657" t="s">
        <v>1325</v>
      </c>
      <c r="C2134" s="108" t="str">
        <f>+'LISTA DE INSUMOS'!A30</f>
        <v>MAT001</v>
      </c>
      <c r="D2134" s="139" t="str">
        <f>+'LISTA DE INSUMOS'!B30</f>
        <v>Cemento gris saco por 50 kilos, incluye cargue, descargue y transporte</v>
      </c>
      <c r="E2134" s="108" t="str">
        <f>+'LISTA DE INSUMOS'!C30</f>
        <v>Sc</v>
      </c>
      <c r="F2134" s="140">
        <v>0.15</v>
      </c>
      <c r="G2134" s="141">
        <f>'LISTA DE INSUMOS'!E30</f>
        <v>34500</v>
      </c>
      <c r="H2134" s="108">
        <v>1.05</v>
      </c>
      <c r="I2134" s="141">
        <f>ROUND((F2134*G2134*H2134),0)</f>
        <v>5434</v>
      </c>
      <c r="J2134" s="47"/>
      <c r="K2134" s="143"/>
    </row>
    <row r="2135" spans="2:11" ht="24.9" customHeight="1" x14ac:dyDescent="0.2">
      <c r="B2135" s="657"/>
      <c r="C2135" s="125" t="str">
        <f>+'LISTA DE INSUMOS'!A608</f>
        <v>MAT625</v>
      </c>
      <c r="D2135" s="167" t="str">
        <f>+'LISTA DE INSUMOS'!B608</f>
        <v>Loseta prefabricada A30 (600 x 400 x 60 mm)</v>
      </c>
      <c r="E2135" s="108" t="str">
        <f>+'LISTA DE INSUMOS'!C608</f>
        <v>M2</v>
      </c>
      <c r="F2135" s="140">
        <v>1</v>
      </c>
      <c r="G2135" s="141">
        <f>'LISTA DE INSUMOS'!E608</f>
        <v>70755.141414263606</v>
      </c>
      <c r="H2135" s="108">
        <v>1.1000000000000001</v>
      </c>
      <c r="I2135" s="141">
        <f>ROUND((F2135*G2135*H2135),0)</f>
        <v>77831</v>
      </c>
      <c r="J2135" s="47"/>
      <c r="K2135" s="143"/>
    </row>
    <row r="2136" spans="2:11" ht="24.9" customHeight="1" thickBot="1" x14ac:dyDescent="0.25">
      <c r="B2136" s="659"/>
      <c r="C2136" s="108" t="str">
        <f>+'LISTA DE INSUMOS'!A32</f>
        <v>MAT003</v>
      </c>
      <c r="D2136" s="139" t="str">
        <f>+'LISTA DE INSUMOS'!B32</f>
        <v>Arena</v>
      </c>
      <c r="E2136" s="108" t="str">
        <f>+'LISTA DE INSUMOS'!C32</f>
        <v>M3</v>
      </c>
      <c r="F2136" s="140">
        <v>0.06</v>
      </c>
      <c r="G2136" s="141">
        <f>'LISTA DE INSUMOS'!E32</f>
        <v>112536.56002875</v>
      </c>
      <c r="H2136" s="108">
        <v>1.05</v>
      </c>
      <c r="I2136" s="141">
        <f>ROUND((F2136*G2136*H2136),0)</f>
        <v>7090</v>
      </c>
      <c r="J2136" s="47"/>
      <c r="K2136" s="143"/>
    </row>
    <row r="2137" spans="2:11" ht="32.25" customHeight="1" thickTop="1" thickBot="1" x14ac:dyDescent="0.25">
      <c r="B2137" s="158" t="s">
        <v>1034</v>
      </c>
      <c r="C2137" s="108" t="str">
        <f>+'LISTA DE INSUMOS'!A18</f>
        <v>MOB015</v>
      </c>
      <c r="D2137" s="139" t="str">
        <f>+'LISTA DE INSUMOS'!B18</f>
        <v>Cuadrilla E 1 Of + 1 Ay (jornal + prestaciones)</v>
      </c>
      <c r="E2137" s="108" t="str">
        <f>+'LISTA DE INSUMOS'!C18</f>
        <v>Día</v>
      </c>
      <c r="F2137" s="140">
        <v>1</v>
      </c>
      <c r="G2137" s="141">
        <f>'LISTA DE INSUMOS'!E18</f>
        <v>245584</v>
      </c>
      <c r="H2137" s="108">
        <f>1/10</f>
        <v>0.1</v>
      </c>
      <c r="I2137" s="141">
        <f>ROUND((F2137*G2137*H2137),0)</f>
        <v>24558</v>
      </c>
      <c r="J2137" s="47"/>
      <c r="K2137" s="143"/>
    </row>
    <row r="2138" spans="2:11" ht="24.9" customHeight="1" thickTop="1" thickBot="1" x14ac:dyDescent="0.25">
      <c r="B2138" s="150" t="s">
        <v>1033</v>
      </c>
      <c r="C2138" s="151" t="str">
        <f>+'LISTA DE INSUMOS'!A758</f>
        <v>EQU002</v>
      </c>
      <c r="D2138" s="146" t="str">
        <f>+'LISTA DE INSUMOS'!B758</f>
        <v>Herramienta menor (% mano obra)</v>
      </c>
      <c r="E2138" s="145" t="str">
        <f>+'LISTA DE INSUMOS'!C758</f>
        <v>%MO</v>
      </c>
      <c r="F2138" s="147">
        <v>0.1</v>
      </c>
      <c r="G2138" s="148">
        <f>I2137</f>
        <v>24558</v>
      </c>
      <c r="H2138" s="145">
        <v>0</v>
      </c>
      <c r="I2138" s="148">
        <f>ROUND((F2138*G2138),0)</f>
        <v>2456</v>
      </c>
      <c r="J2138" s="47"/>
      <c r="K2138" s="143"/>
    </row>
    <row r="2139" spans="2:11" ht="24.9" customHeight="1" thickBot="1" x14ac:dyDescent="0.25">
      <c r="B2139" s="117" t="s">
        <v>2058</v>
      </c>
      <c r="C2139" s="117"/>
      <c r="D2139" s="236" t="s">
        <v>350</v>
      </c>
      <c r="E2139" s="117" t="s">
        <v>1424</v>
      </c>
      <c r="F2139" s="149"/>
      <c r="G2139" s="119">
        <f>ROUND(SUM(I2139:I2141),0)</f>
        <v>16475</v>
      </c>
      <c r="H2139" s="120"/>
      <c r="I2139" s="119"/>
      <c r="J2139" s="47"/>
      <c r="K2139" s="143"/>
    </row>
    <row r="2140" spans="2:11" ht="24.9" customHeight="1" thickTop="1" thickBot="1" x14ac:dyDescent="0.25">
      <c r="B2140" s="158" t="s">
        <v>1034</v>
      </c>
      <c r="C2140" s="125" t="str">
        <f>+'LISTA DE INSUMOS'!A8</f>
        <v>MOB005</v>
      </c>
      <c r="D2140" s="155" t="str">
        <f>+'LISTA DE INSUMOS'!B8</f>
        <v>Ayudante práctico (jornal + prestaciones)</v>
      </c>
      <c r="E2140" s="108" t="str">
        <f>+'LISTA DE INSUMOS'!C8</f>
        <v>Dia</v>
      </c>
      <c r="F2140" s="140">
        <v>1</v>
      </c>
      <c r="G2140" s="141">
        <f>+'LISTA DE INSUMOS'!E8</f>
        <v>114606</v>
      </c>
      <c r="H2140" s="142">
        <f>1/8</f>
        <v>0.125</v>
      </c>
      <c r="I2140" s="141">
        <f>ROUND((F2140*G2140*H2140),0)</f>
        <v>14326</v>
      </c>
      <c r="J2140" s="47"/>
      <c r="K2140" s="143"/>
    </row>
    <row r="2141" spans="2:11" ht="24.9" customHeight="1" thickTop="1" thickBot="1" x14ac:dyDescent="0.25">
      <c r="B2141" s="150" t="s">
        <v>1033</v>
      </c>
      <c r="C2141" s="151" t="str">
        <f>+'LISTA DE INSUMOS'!A758</f>
        <v>EQU002</v>
      </c>
      <c r="D2141" s="146" t="str">
        <f>+'LISTA DE INSUMOS'!B758</f>
        <v>Herramienta menor (% mano obra)</v>
      </c>
      <c r="E2141" s="145" t="str">
        <f>+'LISTA DE INSUMOS'!C758</f>
        <v>%MO</v>
      </c>
      <c r="F2141" s="147">
        <v>0.15</v>
      </c>
      <c r="G2141" s="148">
        <f>I2140</f>
        <v>14326</v>
      </c>
      <c r="H2141" s="145">
        <v>0</v>
      </c>
      <c r="I2141" s="148">
        <f>ROUND((F2141*G2141),0)</f>
        <v>2149</v>
      </c>
      <c r="J2141" s="47"/>
      <c r="K2141" s="143"/>
    </row>
    <row r="2142" spans="2:11" s="317" customFormat="1" ht="21.75" hidden="1" customHeight="1" x14ac:dyDescent="0.2">
      <c r="B2142" s="319" t="s">
        <v>1507</v>
      </c>
      <c r="C2142" s="319"/>
      <c r="D2142" s="320" t="s">
        <v>351</v>
      </c>
      <c r="E2142" s="319" t="s">
        <v>1424</v>
      </c>
      <c r="F2142" s="332"/>
      <c r="G2142" s="312">
        <f>ROUND(SUM(I2142:I2153),0)</f>
        <v>405379</v>
      </c>
      <c r="H2142" s="322"/>
      <c r="I2142" s="312"/>
      <c r="J2142" s="313"/>
      <c r="K2142" s="323"/>
    </row>
    <row r="2143" spans="2:11" s="317" customFormat="1" ht="24.9" hidden="1" customHeight="1" x14ac:dyDescent="0.2">
      <c r="B2143" s="691" t="s">
        <v>1035</v>
      </c>
      <c r="C2143" s="338" t="str">
        <f>+'LISTA DE INSUMOS'!A187</f>
        <v>MAT142</v>
      </c>
      <c r="D2143" s="339" t="str">
        <f>+'LISTA DE INSUMOS'!B187</f>
        <v>Baldosa Insolux 20 X 20 cm</v>
      </c>
      <c r="E2143" s="322" t="str">
        <f>+'LISTA DE INSUMOS'!C187</f>
        <v>Un</v>
      </c>
      <c r="F2143" s="325">
        <v>25</v>
      </c>
      <c r="G2143" s="312">
        <f>'LISTA DE INSUMOS'!E187</f>
        <v>9827.3341649999984</v>
      </c>
      <c r="H2143" s="322">
        <v>0</v>
      </c>
      <c r="I2143" s="312">
        <f>ROUND((F2143*G2143),0)</f>
        <v>245683</v>
      </c>
      <c r="J2143" s="313"/>
      <c r="K2143" s="323"/>
    </row>
    <row r="2144" spans="2:11" s="317" customFormat="1" ht="24.9" hidden="1" customHeight="1" x14ac:dyDescent="0.2">
      <c r="B2144" s="691"/>
      <c r="C2144" s="338" t="str">
        <f>+'LISTA DE INSUMOS'!A45</f>
        <v>MAT016</v>
      </c>
      <c r="D2144" s="339" t="str">
        <f>+'LISTA DE INSUMOS'!B45</f>
        <v>Acero de Fy = 60.000 psi d&gt;1/4 puesto en obra</v>
      </c>
      <c r="E2144" s="322" t="str">
        <f>+'LISTA DE INSUMOS'!C45</f>
        <v>Kg</v>
      </c>
      <c r="F2144" s="325">
        <v>2.2400000000000002</v>
      </c>
      <c r="G2144" s="312">
        <f>'LISTA DE INSUMOS'!E45</f>
        <v>4605.3128999999999</v>
      </c>
      <c r="H2144" s="322">
        <v>1.03</v>
      </c>
      <c r="I2144" s="312">
        <f>ROUND((F2144*G2144*H2144),0)</f>
        <v>10625</v>
      </c>
      <c r="J2144" s="313"/>
      <c r="K2144" s="323"/>
    </row>
    <row r="2145" spans="2:11" s="317" customFormat="1" ht="24.9" hidden="1" customHeight="1" x14ac:dyDescent="0.2">
      <c r="B2145" s="691"/>
      <c r="C2145" s="338" t="str">
        <f>+'LISTA DE INSUMOS'!A44</f>
        <v>MAT015</v>
      </c>
      <c r="D2145" s="339" t="str">
        <f>+'LISTA DE INSUMOS'!B44</f>
        <v>Acero de Fy = 37.000 psi d=1/4 puesto en obra</v>
      </c>
      <c r="E2145" s="322" t="str">
        <f>+'LISTA DE INSUMOS'!C44</f>
        <v>Kg</v>
      </c>
      <c r="F2145" s="325">
        <v>2</v>
      </c>
      <c r="G2145" s="312">
        <f>'LISTA DE INSUMOS'!E44</f>
        <v>4749.0059999999994</v>
      </c>
      <c r="H2145" s="322">
        <v>1.03</v>
      </c>
      <c r="I2145" s="312">
        <f>ROUND((F2145*G2145*H2145),0)</f>
        <v>9783</v>
      </c>
      <c r="J2145" s="313"/>
      <c r="K2145" s="323"/>
    </row>
    <row r="2146" spans="2:11" s="317" customFormat="1" ht="24.9" hidden="1" customHeight="1" x14ac:dyDescent="0.2">
      <c r="B2146" s="691"/>
      <c r="C2146" s="338" t="str">
        <f>+'LISTA DE INSUMOS'!A610</f>
        <v>MAT627</v>
      </c>
      <c r="D2146" s="339" t="str">
        <f>+'LISTA DE INSUMOS'!B610</f>
        <v>Mortero para bloques de vidrio</v>
      </c>
      <c r="E2146" s="322" t="str">
        <f>+'LISTA DE INSUMOS'!C610</f>
        <v>Kg</v>
      </c>
      <c r="F2146" s="325">
        <v>16</v>
      </c>
      <c r="G2146" s="312">
        <f>'LISTA DE INSUMOS'!E610</f>
        <v>3588.6332624999995</v>
      </c>
      <c r="H2146" s="322">
        <v>1.05</v>
      </c>
      <c r="I2146" s="312">
        <f>ROUND((F2146*G2146*H2146),0)</f>
        <v>60289</v>
      </c>
      <c r="J2146" s="313"/>
      <c r="K2146" s="323"/>
    </row>
    <row r="2147" spans="2:11" s="317" customFormat="1" ht="24.9" hidden="1" customHeight="1" x14ac:dyDescent="0.2">
      <c r="B2147" s="691"/>
      <c r="C2147" s="338" t="str">
        <f>+'LISTA DE INSUMOS'!A611</f>
        <v>MAT628</v>
      </c>
      <c r="D2147" s="339" t="str">
        <f>+'LISTA DE INSUMOS'!B611</f>
        <v>Separador plástico para bloques de vidrio</v>
      </c>
      <c r="E2147" s="322" t="str">
        <f>+'LISTA DE INSUMOS'!C611</f>
        <v>Un</v>
      </c>
      <c r="F2147" s="325">
        <v>36</v>
      </c>
      <c r="G2147" s="312">
        <f>'LISTA DE INSUMOS'!E611</f>
        <v>1048.9851074999999</v>
      </c>
      <c r="H2147" s="322">
        <v>0</v>
      </c>
      <c r="I2147" s="312">
        <f>ROUND((F2147*G2147),0)</f>
        <v>37763</v>
      </c>
      <c r="J2147" s="313"/>
      <c r="K2147" s="323"/>
    </row>
    <row r="2148" spans="2:11" s="317" customFormat="1" ht="24.9" hidden="1" customHeight="1" x14ac:dyDescent="0.2">
      <c r="B2148" s="691"/>
      <c r="C2148" s="338" t="str">
        <f>+'LISTA DE INSUMOS'!A42</f>
        <v>MAT013</v>
      </c>
      <c r="D2148" s="339" t="str">
        <f>+'LISTA DE INSUMOS'!B42</f>
        <v xml:space="preserve">Agua </v>
      </c>
      <c r="E2148" s="322" t="str">
        <f>+'LISTA DE INSUMOS'!C42</f>
        <v>Lt</v>
      </c>
      <c r="F2148" s="325">
        <v>3</v>
      </c>
      <c r="G2148" s="312">
        <f>'LISTA DE INSUMOS'!E42</f>
        <v>96.828790046226644</v>
      </c>
      <c r="H2148" s="322">
        <v>0</v>
      </c>
      <c r="I2148" s="312">
        <f>ROUND((F2148*G2148),0)</f>
        <v>290</v>
      </c>
      <c r="J2148" s="313"/>
      <c r="K2148" s="323"/>
    </row>
    <row r="2149" spans="2:11" s="317" customFormat="1" ht="24.9" hidden="1" customHeight="1" thickBot="1" x14ac:dyDescent="0.25">
      <c r="B2149" s="692"/>
      <c r="C2149" s="338" t="str">
        <f>+'LISTA DE INSUMOS'!A605</f>
        <v>MAT622</v>
      </c>
      <c r="D2149" s="339" t="str">
        <f>+'LISTA DE INSUMOS'!B605</f>
        <v>Mortero epóxico para anclaje</v>
      </c>
      <c r="E2149" s="322" t="str">
        <f>+'LISTA DE INSUMOS'!C605</f>
        <v>Kg</v>
      </c>
      <c r="F2149" s="325">
        <v>0.1</v>
      </c>
      <c r="G2149" s="312">
        <f>'LISTA DE INSUMOS'!E605</f>
        <v>33184.367827049995</v>
      </c>
      <c r="H2149" s="322">
        <v>1.05</v>
      </c>
      <c r="I2149" s="312">
        <f>ROUND((F2149*G2149*H2149),0)</f>
        <v>3484</v>
      </c>
      <c r="J2149" s="313"/>
      <c r="K2149" s="323"/>
    </row>
    <row r="2150" spans="2:11" s="317" customFormat="1" ht="24.9" hidden="1" customHeight="1" thickTop="1" thickBot="1" x14ac:dyDescent="0.25">
      <c r="B2150" s="363" t="s">
        <v>1034</v>
      </c>
      <c r="C2150" s="322" t="str">
        <f>+'LISTA DE INSUMOS'!A18</f>
        <v>MOB015</v>
      </c>
      <c r="D2150" s="324" t="str">
        <f>+'LISTA DE INSUMOS'!B18</f>
        <v>Cuadrilla E 1 Of + 1 Ay (jornal + prestaciones)</v>
      </c>
      <c r="E2150" s="322" t="str">
        <f>+'LISTA DE INSUMOS'!C18</f>
        <v>Día</v>
      </c>
      <c r="F2150" s="325">
        <v>1</v>
      </c>
      <c r="G2150" s="312">
        <f>'LISTA DE INSUMOS'!E18</f>
        <v>245584</v>
      </c>
      <c r="H2150" s="322">
        <f>1/8</f>
        <v>0.125</v>
      </c>
      <c r="I2150" s="312">
        <f>ROUND((F2150*G2150*H2150),0)</f>
        <v>30698</v>
      </c>
      <c r="J2150" s="313"/>
      <c r="K2150" s="323"/>
    </row>
    <row r="2151" spans="2:11" s="317" customFormat="1" ht="24.9" hidden="1" customHeight="1" thickTop="1" x14ac:dyDescent="0.2">
      <c r="B2151" s="652" t="s">
        <v>1033</v>
      </c>
      <c r="C2151" s="322" t="str">
        <f>+'LISTA DE INSUMOS'!A758</f>
        <v>EQU002</v>
      </c>
      <c r="D2151" s="324" t="str">
        <f>+'LISTA DE INSUMOS'!B758</f>
        <v>Herramienta menor (% mano obra)</v>
      </c>
      <c r="E2151" s="322" t="str">
        <f>+'LISTA DE INSUMOS'!C758</f>
        <v>%MO</v>
      </c>
      <c r="F2151" s="321">
        <v>0.1</v>
      </c>
      <c r="G2151" s="312">
        <f>I2150</f>
        <v>30698</v>
      </c>
      <c r="H2151" s="349">
        <v>0</v>
      </c>
      <c r="I2151" s="312">
        <f>ROUND((F2151*G2151),0)</f>
        <v>3070</v>
      </c>
      <c r="J2151" s="313"/>
      <c r="K2151" s="323"/>
    </row>
    <row r="2152" spans="2:11" s="317" customFormat="1" ht="24.9" hidden="1" customHeight="1" x14ac:dyDescent="0.2">
      <c r="B2152" s="654"/>
      <c r="C2152" s="322" t="str">
        <f>+'LISTA DE INSUMOS'!A796</f>
        <v>EQU039</v>
      </c>
      <c r="D2152" s="324" t="str">
        <f>+'LISTA DE INSUMOS'!B796</f>
        <v>Equipo soldadura eléctrica</v>
      </c>
      <c r="E2152" s="322" t="str">
        <f>+'LISTA DE INSUMOS'!C796</f>
        <v>Día</v>
      </c>
      <c r="F2152" s="321">
        <v>1</v>
      </c>
      <c r="G2152" s="312">
        <f>'LISTA DE INSUMOS'!E796</f>
        <v>43693.897103999996</v>
      </c>
      <c r="H2152" s="349">
        <f>1/20</f>
        <v>0.05</v>
      </c>
      <c r="I2152" s="312">
        <f>ROUND((F2152*G2152*H2152),0)</f>
        <v>2185</v>
      </c>
      <c r="J2152" s="313"/>
      <c r="K2152" s="323"/>
    </row>
    <row r="2153" spans="2:11" s="317" customFormat="1" ht="24.9" hidden="1" customHeight="1" thickBot="1" x14ac:dyDescent="0.25">
      <c r="B2153" s="653"/>
      <c r="C2153" s="365" t="str">
        <f>+'LISTA DE INSUMOS'!A810</f>
        <v>EQU055</v>
      </c>
      <c r="D2153" s="367" t="str">
        <f>+'LISTA DE INSUMOS'!B810</f>
        <v>Taladro</v>
      </c>
      <c r="E2153" s="329" t="str">
        <f>+'LISTA DE INSUMOS'!C810</f>
        <v>Día</v>
      </c>
      <c r="F2153" s="330">
        <v>1</v>
      </c>
      <c r="G2153" s="331">
        <f>+'LISTA DE INSUMOS'!E810</f>
        <v>45281.068579999999</v>
      </c>
      <c r="H2153" s="329">
        <f>1/30</f>
        <v>3.3333333333333333E-2</v>
      </c>
      <c r="I2153" s="331">
        <f>ROUND((F2153*G2153*H2153),0)</f>
        <v>1509</v>
      </c>
      <c r="J2153" s="313"/>
      <c r="K2153" s="323"/>
    </row>
    <row r="2154" spans="2:11" ht="24.9" customHeight="1" x14ac:dyDescent="0.2">
      <c r="B2154" s="117" t="s">
        <v>2060</v>
      </c>
      <c r="C2154" s="117"/>
      <c r="D2154" s="112" t="s">
        <v>1476</v>
      </c>
      <c r="E2154" s="117" t="s">
        <v>1412</v>
      </c>
      <c r="F2154" s="149"/>
      <c r="G2154" s="119">
        <f>ROUND(SUM(I2154:I2159),0)</f>
        <v>60056</v>
      </c>
      <c r="H2154" s="120"/>
      <c r="I2154" s="119"/>
      <c r="J2154" s="47"/>
      <c r="K2154" s="143"/>
    </row>
    <row r="2155" spans="2:11" ht="24.9" customHeight="1" thickBot="1" x14ac:dyDescent="0.25">
      <c r="B2155" s="175" t="s">
        <v>1325</v>
      </c>
      <c r="C2155" s="108" t="str">
        <f>+'LISTA DE INSUMOS'!A72</f>
        <v>MAT039</v>
      </c>
      <c r="D2155" s="139" t="str">
        <f>+'LISTA DE INSUMOS'!B72</f>
        <v>Ladrillo liviano prensado  24x 12 x 5,5 cm</v>
      </c>
      <c r="E2155" s="108" t="str">
        <f>+'LISTA DE INSUMOS'!C72</f>
        <v>Un</v>
      </c>
      <c r="F2155" s="176">
        <v>9</v>
      </c>
      <c r="G2155" s="141">
        <f>'LISTA DE INSUMOS'!E72</f>
        <v>756.58310111999992</v>
      </c>
      <c r="H2155" s="205">
        <v>1.05</v>
      </c>
      <c r="I2155" s="141">
        <f>ROUND((F2155*G2155*H2155),0)</f>
        <v>7150</v>
      </c>
      <c r="J2155" s="47"/>
      <c r="K2155" s="143"/>
    </row>
    <row r="2156" spans="2:11" ht="24.9" customHeight="1" thickTop="1" thickBot="1" x14ac:dyDescent="0.25">
      <c r="B2156" s="191" t="s">
        <v>1310</v>
      </c>
      <c r="C2156" s="108" t="str">
        <f>+B574</f>
        <v>ITE96</v>
      </c>
      <c r="D2156" s="139" t="str">
        <f>+D574</f>
        <v>Mortero 1:3 (producción)</v>
      </c>
      <c r="E2156" s="108" t="str">
        <f>+E574</f>
        <v>M3</v>
      </c>
      <c r="F2156" s="176">
        <v>2.5000000000000001E-2</v>
      </c>
      <c r="G2156" s="141">
        <f>G574</f>
        <v>580906</v>
      </c>
      <c r="H2156" s="205">
        <v>1.05</v>
      </c>
      <c r="I2156" s="141">
        <f>ROUND((F2156*G2156*H2156),0)</f>
        <v>15249</v>
      </c>
      <c r="J2156" s="47"/>
      <c r="K2156" s="143"/>
    </row>
    <row r="2157" spans="2:11" ht="24.9" customHeight="1" thickTop="1" thickBot="1" x14ac:dyDescent="0.25">
      <c r="B2157" s="153" t="s">
        <v>1034</v>
      </c>
      <c r="C2157" s="108" t="str">
        <f>+'LISTA DE INSUMOS'!A20</f>
        <v>MOB017</v>
      </c>
      <c r="D2157" s="139" t="str">
        <f>+'LISTA DE INSUMOS'!B20</f>
        <v>Cuadrilla G 1 Of + 2 Ay (jornal + prestaciones)</v>
      </c>
      <c r="E2157" s="108" t="str">
        <f>+'LISTA DE INSUMOS'!C20</f>
        <v>Día</v>
      </c>
      <c r="F2157" s="176">
        <v>1</v>
      </c>
      <c r="G2157" s="141">
        <f>'LISTA DE INSUMOS'!E20</f>
        <v>327445</v>
      </c>
      <c r="H2157" s="205">
        <f>1/10</f>
        <v>0.1</v>
      </c>
      <c r="I2157" s="141">
        <f>ROUND((F2157*G2157*H2157),0)</f>
        <v>32745</v>
      </c>
      <c r="J2157" s="47"/>
      <c r="K2157" s="143"/>
    </row>
    <row r="2158" spans="2:11" ht="24.9" customHeight="1" thickTop="1" x14ac:dyDescent="0.2">
      <c r="B2158" s="647" t="s">
        <v>1033</v>
      </c>
      <c r="C2158" s="108" t="str">
        <f>+'LISTA DE INSUMOS'!A758</f>
        <v>EQU002</v>
      </c>
      <c r="D2158" s="139" t="str">
        <f>+'LISTA DE INSUMOS'!B758</f>
        <v>Herramienta menor (% mano obra)</v>
      </c>
      <c r="E2158" s="108" t="str">
        <f>+'LISTA DE INSUMOS'!C758</f>
        <v>%MO</v>
      </c>
      <c r="F2158" s="176">
        <v>0.1</v>
      </c>
      <c r="G2158" s="141">
        <f>I2157</f>
        <v>32745</v>
      </c>
      <c r="H2158" s="205">
        <v>0</v>
      </c>
      <c r="I2158" s="141">
        <f>ROUND((F2158*G2158),0)</f>
        <v>3275</v>
      </c>
      <c r="J2158" s="47"/>
      <c r="K2158" s="143"/>
    </row>
    <row r="2159" spans="2:11" ht="24.9" customHeight="1" thickBot="1" x14ac:dyDescent="0.25">
      <c r="B2159" s="704"/>
      <c r="C2159" s="145" t="str">
        <f>+'LISTA DE INSUMOS'!A762</f>
        <v>EQU006</v>
      </c>
      <c r="D2159" s="146" t="str">
        <f>+'LISTA DE INSUMOS'!B762</f>
        <v>Andamio (% mano obra)</v>
      </c>
      <c r="E2159" s="145" t="str">
        <f>+'LISTA DE INSUMOS'!C762</f>
        <v>%MO</v>
      </c>
      <c r="F2159" s="229">
        <v>0.05</v>
      </c>
      <c r="G2159" s="148">
        <f>I2157</f>
        <v>32745</v>
      </c>
      <c r="H2159" s="206">
        <v>0</v>
      </c>
      <c r="I2159" s="148">
        <f>ROUND((F2159*G2159),0)</f>
        <v>1637</v>
      </c>
      <c r="J2159" s="47"/>
      <c r="K2159" s="143"/>
    </row>
    <row r="2160" spans="2:11" s="317" customFormat="1" ht="24.9" hidden="1" customHeight="1" x14ac:dyDescent="0.2">
      <c r="B2160" s="319" t="s">
        <v>1911</v>
      </c>
      <c r="C2160" s="319"/>
      <c r="D2160" s="366" t="s">
        <v>129</v>
      </c>
      <c r="E2160" s="319" t="s">
        <v>1412</v>
      </c>
      <c r="F2160" s="332"/>
      <c r="G2160" s="312">
        <f>ROUND(SUM(I2160:I2170),0)</f>
        <v>302613</v>
      </c>
      <c r="H2160" s="322"/>
      <c r="I2160" s="312"/>
      <c r="J2160" s="313"/>
      <c r="K2160" s="323"/>
    </row>
    <row r="2161" spans="2:11" s="317" customFormat="1" ht="24.9" hidden="1" customHeight="1" x14ac:dyDescent="0.2">
      <c r="B2161" s="691" t="s">
        <v>1035</v>
      </c>
      <c r="C2161" s="338" t="str">
        <f>+'LISTA DE INSUMOS'!A65</f>
        <v>MAT033</v>
      </c>
      <c r="D2161" s="339" t="str">
        <f>+'LISTA DE INSUMOS'!B65</f>
        <v>Alambre de púas C 12,5</v>
      </c>
      <c r="E2161" s="338" t="str">
        <f>+'LISTA DE INSUMOS'!C65</f>
        <v>M</v>
      </c>
      <c r="F2161" s="325">
        <v>3</v>
      </c>
      <c r="G2161" s="312">
        <f>'LISTA DE INSUMOS'!E65</f>
        <v>981.39329999999995</v>
      </c>
      <c r="H2161" s="322">
        <v>0</v>
      </c>
      <c r="I2161" s="312">
        <f>ROUND((F2161*G2161),0)</f>
        <v>2944</v>
      </c>
      <c r="J2161" s="313"/>
      <c r="K2161" s="323"/>
    </row>
    <row r="2162" spans="2:11" s="317" customFormat="1" ht="24.9" hidden="1" customHeight="1" x14ac:dyDescent="0.2">
      <c r="B2162" s="691"/>
      <c r="C2162" s="322" t="str">
        <f>+'LISTA DE INSUMOS'!A180</f>
        <v>MAT133</v>
      </c>
      <c r="D2162" s="324" t="str">
        <f>+'LISTA DE INSUMOS'!B180</f>
        <v>Malla eslabonada 2" x 2" C 13</v>
      </c>
      <c r="E2162" s="322" t="str">
        <f>+'LISTA DE INSUMOS'!C180</f>
        <v>M2</v>
      </c>
      <c r="F2162" s="321">
        <v>2.1</v>
      </c>
      <c r="G2162" s="312">
        <f>'LISTA DE INSUMOS'!E180</f>
        <v>43792.809428939989</v>
      </c>
      <c r="H2162" s="322">
        <v>1.05</v>
      </c>
      <c r="I2162" s="312">
        <f>ROUND((F2162*G2162*H2162),0)</f>
        <v>96563</v>
      </c>
      <c r="J2162" s="313"/>
      <c r="K2162" s="323"/>
    </row>
    <row r="2163" spans="2:11" s="317" customFormat="1" ht="24.9" hidden="1" customHeight="1" x14ac:dyDescent="0.2">
      <c r="B2163" s="691"/>
      <c r="C2163" s="322" t="str">
        <f>+'LISTA DE INSUMOS'!A190</f>
        <v>MAT148</v>
      </c>
      <c r="D2163" s="324" t="str">
        <f>+'LISTA DE INSUMOS'!B190</f>
        <v xml:space="preserve">Alambre galvanizado C 12 </v>
      </c>
      <c r="E2163" s="322" t="str">
        <f>+'LISTA DE INSUMOS'!C190</f>
        <v>Kg</v>
      </c>
      <c r="F2163" s="325">
        <v>0.13</v>
      </c>
      <c r="G2163" s="312">
        <f>'LISTA DE INSUMOS'!E190</f>
        <v>10174.934703779998</v>
      </c>
      <c r="H2163" s="322">
        <v>0</v>
      </c>
      <c r="I2163" s="312">
        <f>ROUND((F2163*G2163),0)</f>
        <v>1323</v>
      </c>
      <c r="J2163" s="313"/>
      <c r="K2163" s="323"/>
    </row>
    <row r="2164" spans="2:11" s="317" customFormat="1" ht="24.9" hidden="1" customHeight="1" x14ac:dyDescent="0.2">
      <c r="B2164" s="691"/>
      <c r="C2164" s="322" t="str">
        <f>+'LISTA DE INSUMOS'!A346</f>
        <v>MAT336</v>
      </c>
      <c r="D2164" s="339" t="str">
        <f>+'LISTA DE INSUMOS'!B346</f>
        <v>Tubo galvanizadoNIC 505-
001 para cerramiento de 2` x 3 m incluye tapa.</v>
      </c>
      <c r="E2164" s="338" t="str">
        <f>+'LISTA DE INSUMOS'!C346</f>
        <v>Un</v>
      </c>
      <c r="F2164" s="325">
        <v>0.6</v>
      </c>
      <c r="G2164" s="312">
        <f>'LISTA DE INSUMOS'!E346</f>
        <v>93963.050801333971</v>
      </c>
      <c r="H2164" s="322">
        <v>0</v>
      </c>
      <c r="I2164" s="312">
        <f>ROUND((F2164*G2164),0)</f>
        <v>56378</v>
      </c>
      <c r="J2164" s="313"/>
      <c r="K2164" s="323"/>
    </row>
    <row r="2165" spans="2:11" s="317" customFormat="1" ht="24.9" hidden="1" customHeight="1" x14ac:dyDescent="0.2">
      <c r="B2165" s="691"/>
      <c r="C2165" s="322" t="str">
        <f>+'LISTA DE INSUMOS'!A213</f>
        <v>MAT177</v>
      </c>
      <c r="D2165" s="324" t="str">
        <f>+'LISTA DE INSUMOS'!B213</f>
        <v>Soldadura para hierro estructural</v>
      </c>
      <c r="E2165" s="322" t="str">
        <f>+'LISTA DE INSUMOS'!C213</f>
        <v>Kg</v>
      </c>
      <c r="F2165" s="325">
        <v>0.15</v>
      </c>
      <c r="G2165" s="312">
        <f>'LISTA DE INSUMOS'!E213</f>
        <v>14247.017999999998</v>
      </c>
      <c r="H2165" s="322">
        <v>1.03</v>
      </c>
      <c r="I2165" s="312">
        <f>ROUND((F2165*G2165*H2165),0)</f>
        <v>2201</v>
      </c>
      <c r="J2165" s="313"/>
      <c r="K2165" s="323"/>
    </row>
    <row r="2166" spans="2:11" s="317" customFormat="1" ht="24.9" hidden="1" customHeight="1" thickBot="1" x14ac:dyDescent="0.25">
      <c r="B2166" s="692"/>
      <c r="C2166" s="322" t="str">
        <f>+'LISTA DE INSUMOS'!A153</f>
        <v>MAT112</v>
      </c>
      <c r="D2166" s="324" t="str">
        <f>+'LISTA DE INSUMOS'!B153</f>
        <v>Pintura esmalte para exteriores</v>
      </c>
      <c r="E2166" s="322" t="str">
        <f>+'LISTA DE INSUMOS'!C153</f>
        <v>Gl</v>
      </c>
      <c r="F2166" s="321">
        <v>1.2999999999999999E-2</v>
      </c>
      <c r="G2166" s="312">
        <f>'LISTA DE INSUMOS'!E153</f>
        <v>99769.889999999985</v>
      </c>
      <c r="H2166" s="322">
        <v>1.03</v>
      </c>
      <c r="I2166" s="312">
        <f>ROUND((F2166*G2166*H2166),0)</f>
        <v>1336</v>
      </c>
      <c r="J2166" s="313"/>
      <c r="K2166" s="323"/>
    </row>
    <row r="2167" spans="2:11" s="317" customFormat="1" ht="24.9" hidden="1" customHeight="1" thickTop="1" thickBot="1" x14ac:dyDescent="0.25">
      <c r="B2167" s="347" t="s">
        <v>1310</v>
      </c>
      <c r="C2167" s="322" t="str">
        <f>+B838</f>
        <v>ITE120</v>
      </c>
      <c r="D2167" s="320" t="str">
        <f>+D838</f>
        <v>Sardinel en concreto de 20,7 Mpa 0,03 m3/ml, incluye refuerzo, sobre placa</v>
      </c>
      <c r="E2167" s="322" t="str">
        <f>+E838</f>
        <v>M</v>
      </c>
      <c r="F2167" s="321">
        <v>1</v>
      </c>
      <c r="G2167" s="312">
        <f>G838</f>
        <v>86591</v>
      </c>
      <c r="H2167" s="322">
        <v>0</v>
      </c>
      <c r="I2167" s="312">
        <f>ROUND((F2167*G2167),0)</f>
        <v>86591</v>
      </c>
      <c r="J2167" s="313"/>
      <c r="K2167" s="323"/>
    </row>
    <row r="2168" spans="2:11" s="317" customFormat="1" ht="24.9" hidden="1" customHeight="1" thickTop="1" thickBot="1" x14ac:dyDescent="0.25">
      <c r="B2168" s="363" t="s">
        <v>1034</v>
      </c>
      <c r="C2168" s="322" t="str">
        <f>+'LISTA DE INSUMOS'!A9</f>
        <v>MOB006</v>
      </c>
      <c r="D2168" s="324" t="str">
        <f>+'LISTA DE INSUMOS'!B9</f>
        <v>Cuadrilla A 1 Of + 4 Ay (jornal + prestaciones)</v>
      </c>
      <c r="E2168" s="322" t="str">
        <f>+'LISTA DE INSUMOS'!C9</f>
        <v>Día</v>
      </c>
      <c r="F2168" s="321">
        <v>1</v>
      </c>
      <c r="G2168" s="312">
        <f>'LISTA DE INSUMOS'!E9</f>
        <v>491167</v>
      </c>
      <c r="H2168" s="322">
        <f>1/10</f>
        <v>0.1</v>
      </c>
      <c r="I2168" s="312">
        <f>ROUND((F2168*G2168*H2168),0)</f>
        <v>49117</v>
      </c>
      <c r="J2168" s="313"/>
      <c r="K2168" s="323"/>
    </row>
    <row r="2169" spans="2:11" s="317" customFormat="1" ht="24.9" hidden="1" customHeight="1" thickTop="1" x14ac:dyDescent="0.2">
      <c r="B2169" s="652" t="s">
        <v>1033</v>
      </c>
      <c r="C2169" s="322" t="str">
        <f>+'LISTA DE INSUMOS'!A758</f>
        <v>EQU002</v>
      </c>
      <c r="D2169" s="324" t="str">
        <f>+'LISTA DE INSUMOS'!B758</f>
        <v>Herramienta menor (% mano obra)</v>
      </c>
      <c r="E2169" s="322" t="str">
        <f>+'LISTA DE INSUMOS'!C758</f>
        <v>%MO</v>
      </c>
      <c r="F2169" s="321">
        <v>0.1</v>
      </c>
      <c r="G2169" s="312">
        <f>SUM(I2168:I2168)</f>
        <v>49117</v>
      </c>
      <c r="H2169" s="322">
        <v>0</v>
      </c>
      <c r="I2169" s="312">
        <f>ROUND((F2169*G2169),0)</f>
        <v>4912</v>
      </c>
      <c r="J2169" s="313"/>
      <c r="K2169" s="323"/>
    </row>
    <row r="2170" spans="2:11" s="317" customFormat="1" ht="24.9" hidden="1" customHeight="1" thickBot="1" x14ac:dyDescent="0.25">
      <c r="B2170" s="653"/>
      <c r="C2170" s="327" t="str">
        <f>+'LISTA DE INSUMOS'!A796</f>
        <v>EQU039</v>
      </c>
      <c r="D2170" s="328" t="str">
        <f>+'LISTA DE INSUMOS'!B796</f>
        <v>Equipo soldadura eléctrica</v>
      </c>
      <c r="E2170" s="329" t="str">
        <f>+'LISTA DE INSUMOS'!C796</f>
        <v>Día</v>
      </c>
      <c r="F2170" s="362">
        <v>1</v>
      </c>
      <c r="G2170" s="331">
        <f>'LISTA DE INSUMOS'!E796</f>
        <v>43693.897103999996</v>
      </c>
      <c r="H2170" s="350">
        <f>1/35</f>
        <v>2.8571428571428571E-2</v>
      </c>
      <c r="I2170" s="331">
        <f>ROUND((F2170*G2170*H2170),0)</f>
        <v>1248</v>
      </c>
      <c r="J2170" s="313"/>
      <c r="K2170" s="323"/>
    </row>
    <row r="2171" spans="2:11" ht="24.9" customHeight="1" thickBot="1" x14ac:dyDescent="0.25">
      <c r="B2171" s="200"/>
      <c r="C2171" s="201"/>
      <c r="D2171" s="202"/>
      <c r="E2171" s="201"/>
      <c r="F2171" s="240"/>
      <c r="G2171" s="203"/>
      <c r="H2171" s="201"/>
      <c r="I2171" s="203"/>
      <c r="J2171" s="47"/>
      <c r="K2171" s="143"/>
    </row>
    <row r="2172" spans="2:11" ht="24.9" customHeight="1" x14ac:dyDescent="0.2">
      <c r="B2172" s="117" t="s">
        <v>1548</v>
      </c>
      <c r="C2172" s="117"/>
      <c r="D2172" s="112" t="s">
        <v>284</v>
      </c>
      <c r="E2172" s="117" t="s">
        <v>2585</v>
      </c>
      <c r="F2172" s="149"/>
      <c r="G2172" s="119">
        <f>ROUND(SUM(I2172:I2177),0)</f>
        <v>35701</v>
      </c>
      <c r="H2172" s="120"/>
      <c r="I2172" s="119"/>
      <c r="J2172" s="47"/>
      <c r="K2172" s="143"/>
    </row>
    <row r="2173" spans="2:11" ht="24.9" customHeight="1" x14ac:dyDescent="0.2">
      <c r="B2173" s="657" t="s">
        <v>1325</v>
      </c>
      <c r="C2173" s="108" t="str">
        <f>+'LISTA DE INSUMOS'!A270</f>
        <v>MAT240</v>
      </c>
      <c r="D2173" s="139" t="str">
        <f>+'LISTA DE INSUMOS'!B270</f>
        <v>Estuco Plastico topex o similar</v>
      </c>
      <c r="E2173" s="108" t="str">
        <f>+'LISTA DE INSUMOS'!C270</f>
        <v>m2</v>
      </c>
      <c r="F2173" s="140">
        <v>1</v>
      </c>
      <c r="G2173" s="141">
        <f>'LISTA DE INSUMOS'!E270</f>
        <v>6873.6129412499995</v>
      </c>
      <c r="H2173" s="108">
        <v>1.05</v>
      </c>
      <c r="I2173" s="141">
        <f>ROUND((F2173*G2173*H2173),0)</f>
        <v>7217</v>
      </c>
      <c r="J2173" s="47"/>
      <c r="K2173" s="143"/>
    </row>
    <row r="2174" spans="2:11" ht="24.9" customHeight="1" thickBot="1" x14ac:dyDescent="0.25">
      <c r="B2174" s="659"/>
      <c r="C2174" s="108" t="str">
        <f>+'LISTA DE INSUMOS'!A687</f>
        <v>MAT700</v>
      </c>
      <c r="D2174" s="139" t="str">
        <f>+'LISTA DE INSUMOS'!B687</f>
        <v xml:space="preserve">Pintura vinilo </v>
      </c>
      <c r="E2174" s="108" t="str">
        <f>+'LISTA DE INSUMOS'!C687</f>
        <v>Gl</v>
      </c>
      <c r="F2174" s="140">
        <f>1/20</f>
        <v>0.05</v>
      </c>
      <c r="G2174" s="141">
        <f>'LISTA DE INSUMOS'!E687</f>
        <v>96102.273735929979</v>
      </c>
      <c r="H2174" s="108">
        <v>1.03</v>
      </c>
      <c r="I2174" s="141">
        <f>ROUND((F2174*G2174*H2174),0)</f>
        <v>4949</v>
      </c>
      <c r="J2174" s="47"/>
      <c r="K2174" s="143"/>
    </row>
    <row r="2175" spans="2:11" ht="24.9" customHeight="1" thickTop="1" thickBot="1" x14ac:dyDescent="0.25">
      <c r="B2175" s="153" t="s">
        <v>1034</v>
      </c>
      <c r="C2175" s="108" t="str">
        <f>+'LISTA DE INSUMOS'!A18</f>
        <v>MOB015</v>
      </c>
      <c r="D2175" s="139" t="str">
        <f>+'LISTA DE INSUMOS'!B18</f>
        <v>Cuadrilla E 1 Of + 1 Ay (jornal + prestaciones)</v>
      </c>
      <c r="E2175" s="108" t="str">
        <f>+'LISTA DE INSUMOS'!C18</f>
        <v>Día</v>
      </c>
      <c r="F2175" s="140">
        <v>1</v>
      </c>
      <c r="G2175" s="141">
        <f>'LISTA DE INSUMOS'!E18</f>
        <v>245584</v>
      </c>
      <c r="H2175" s="108">
        <f>1/12</f>
        <v>8.3333333333333329E-2</v>
      </c>
      <c r="I2175" s="141">
        <f>ROUND((F2175*G2175*H2175),0)</f>
        <v>20465</v>
      </c>
      <c r="J2175" s="47"/>
      <c r="K2175" s="143"/>
    </row>
    <row r="2176" spans="2:11" ht="24.9" customHeight="1" thickTop="1" x14ac:dyDescent="0.2">
      <c r="B2176" s="647" t="s">
        <v>1033</v>
      </c>
      <c r="C2176" s="108" t="str">
        <f>+'LISTA DE INSUMOS'!A758</f>
        <v>EQU002</v>
      </c>
      <c r="D2176" s="139" t="str">
        <f>+'LISTA DE INSUMOS'!B758</f>
        <v>Herramienta menor (% mano obra)</v>
      </c>
      <c r="E2176" s="108" t="str">
        <f>+'LISTA DE INSUMOS'!C758</f>
        <v>%MO</v>
      </c>
      <c r="F2176" s="140">
        <v>0.05</v>
      </c>
      <c r="G2176" s="141">
        <f>I2175</f>
        <v>20465</v>
      </c>
      <c r="H2176" s="108">
        <v>0</v>
      </c>
      <c r="I2176" s="141">
        <f>ROUND((F2176*G2176),0)</f>
        <v>1023</v>
      </c>
      <c r="J2176" s="47"/>
      <c r="K2176" s="143"/>
    </row>
    <row r="2177" spans="2:11" ht="24.9" customHeight="1" thickBot="1" x14ac:dyDescent="0.25">
      <c r="B2177" s="704"/>
      <c r="C2177" s="145" t="str">
        <f>+'LISTA DE INSUMOS'!A762</f>
        <v>EQU006</v>
      </c>
      <c r="D2177" s="146" t="str">
        <f>+'LISTA DE INSUMOS'!B762</f>
        <v>Andamio (% mano obra)</v>
      </c>
      <c r="E2177" s="145" t="str">
        <f>+'LISTA DE INSUMOS'!C762</f>
        <v>%MO</v>
      </c>
      <c r="F2177" s="147">
        <v>0.1</v>
      </c>
      <c r="G2177" s="148">
        <f>I2175</f>
        <v>20465</v>
      </c>
      <c r="H2177" s="145">
        <v>0</v>
      </c>
      <c r="I2177" s="148">
        <f>ROUND((F2177*G2177),0)</f>
        <v>2047</v>
      </c>
      <c r="J2177" s="47"/>
      <c r="K2177" s="143"/>
    </row>
    <row r="2178" spans="2:11" ht="24.9" customHeight="1" x14ac:dyDescent="0.2">
      <c r="B2178" s="193" t="s">
        <v>1861</v>
      </c>
      <c r="C2178" s="117"/>
      <c r="D2178" s="112" t="s">
        <v>285</v>
      </c>
      <c r="E2178" s="117" t="s">
        <v>2585</v>
      </c>
      <c r="F2178" s="118"/>
      <c r="G2178" s="119">
        <f>ROUND(SUM(I2178:I2183),0)</f>
        <v>42174</v>
      </c>
      <c r="H2178" s="120"/>
      <c r="I2178" s="119"/>
      <c r="J2178" s="47"/>
      <c r="K2178" s="143"/>
    </row>
    <row r="2179" spans="2:11" ht="24.9" customHeight="1" x14ac:dyDescent="0.2">
      <c r="B2179" s="241" t="s">
        <v>1325</v>
      </c>
      <c r="C2179" s="108" t="str">
        <f>+'LISTA DE INSUMOS'!A270</f>
        <v>MAT240</v>
      </c>
      <c r="D2179" s="139" t="str">
        <f>+'LISTA DE INSUMOS'!B270</f>
        <v>Estuco Plastico topex o similar</v>
      </c>
      <c r="E2179" s="108" t="str">
        <f>+'LISTA DE INSUMOS'!C270</f>
        <v>m2</v>
      </c>
      <c r="F2179" s="176">
        <v>1</v>
      </c>
      <c r="G2179" s="141">
        <f>'LISTA DE INSUMOS'!E270</f>
        <v>6873.6129412499995</v>
      </c>
      <c r="H2179" s="108">
        <v>1.05</v>
      </c>
      <c r="I2179" s="141">
        <f>ROUND((F2179*G2179*H2179),0)</f>
        <v>7217</v>
      </c>
      <c r="J2179" s="47"/>
      <c r="K2179" s="143"/>
    </row>
    <row r="2180" spans="2:11" ht="24.9" customHeight="1" thickBot="1" x14ac:dyDescent="0.25">
      <c r="B2180" s="175"/>
      <c r="C2180" s="108" t="str">
        <f>+'LISTA DE INSUMOS'!A155</f>
        <v>MAT113</v>
      </c>
      <c r="D2180" s="139" t="str">
        <f>+'LISTA DE INSUMOS'!B155</f>
        <v xml:space="preserve">Pintura vinilo </v>
      </c>
      <c r="E2180" s="108" t="str">
        <f>+'LISTA DE INSUMOS'!C155</f>
        <v>Gl</v>
      </c>
      <c r="F2180" s="176">
        <f>1/20</f>
        <v>0.05</v>
      </c>
      <c r="G2180" s="141">
        <f>'LISTA DE INSUMOS'!E155</f>
        <v>82704.194264999984</v>
      </c>
      <c r="H2180" s="108">
        <v>1.03</v>
      </c>
      <c r="I2180" s="141">
        <f>ROUND((F2180*G2180*H2180),0)</f>
        <v>4259</v>
      </c>
      <c r="J2180" s="47"/>
      <c r="K2180" s="143"/>
    </row>
    <row r="2181" spans="2:11" ht="24.9" customHeight="1" thickTop="1" thickBot="1" x14ac:dyDescent="0.25">
      <c r="B2181" s="153" t="s">
        <v>1034</v>
      </c>
      <c r="C2181" s="108" t="str">
        <f>+'LISTA DE INSUMOS'!A18</f>
        <v>MOB015</v>
      </c>
      <c r="D2181" s="139" t="str">
        <f>+'LISTA DE INSUMOS'!B18</f>
        <v>Cuadrilla E 1 Of + 1 Ay (jornal + prestaciones)</v>
      </c>
      <c r="E2181" s="108" t="str">
        <f>+'LISTA DE INSUMOS'!C18</f>
        <v>Día</v>
      </c>
      <c r="F2181" s="176">
        <v>1</v>
      </c>
      <c r="G2181" s="141">
        <f>'LISTA DE INSUMOS'!E18</f>
        <v>245584</v>
      </c>
      <c r="H2181" s="108">
        <f>1/10</f>
        <v>0.1</v>
      </c>
      <c r="I2181" s="141">
        <f>ROUND((F2181*G2181*H2181),0)</f>
        <v>24558</v>
      </c>
      <c r="J2181" s="47"/>
      <c r="K2181" s="143"/>
    </row>
    <row r="2182" spans="2:11" ht="24.9" customHeight="1" thickTop="1" x14ac:dyDescent="0.2">
      <c r="B2182" s="647" t="s">
        <v>1033</v>
      </c>
      <c r="C2182" s="108" t="str">
        <f>+'LISTA DE INSUMOS'!A758</f>
        <v>EQU002</v>
      </c>
      <c r="D2182" s="139" t="str">
        <f>+'LISTA DE INSUMOS'!B758</f>
        <v>Herramienta menor (% mano obra)</v>
      </c>
      <c r="E2182" s="108" t="str">
        <f>+'LISTA DE INSUMOS'!C758</f>
        <v>%MO</v>
      </c>
      <c r="F2182" s="176">
        <v>0.05</v>
      </c>
      <c r="G2182" s="141">
        <f>I2181</f>
        <v>24558</v>
      </c>
      <c r="H2182" s="108">
        <v>0</v>
      </c>
      <c r="I2182" s="141">
        <f>ROUND((F2182*G2182),0)</f>
        <v>1228</v>
      </c>
      <c r="J2182" s="47"/>
      <c r="K2182" s="143"/>
    </row>
    <row r="2183" spans="2:11" ht="24.9" customHeight="1" thickBot="1" x14ac:dyDescent="0.25">
      <c r="B2183" s="704"/>
      <c r="C2183" s="145" t="str">
        <f>+'LISTA DE INSUMOS'!A762</f>
        <v>EQU006</v>
      </c>
      <c r="D2183" s="146" t="str">
        <f>+'LISTA DE INSUMOS'!B762</f>
        <v>Andamio (% mano obra)</v>
      </c>
      <c r="E2183" s="145" t="str">
        <f>+'LISTA DE INSUMOS'!C762</f>
        <v>%MO</v>
      </c>
      <c r="F2183" s="229">
        <v>0.2</v>
      </c>
      <c r="G2183" s="148">
        <f>I2181</f>
        <v>24558</v>
      </c>
      <c r="H2183" s="145">
        <v>0</v>
      </c>
      <c r="I2183" s="148">
        <f>ROUND((F2183*G2183),0)</f>
        <v>4912</v>
      </c>
      <c r="J2183" s="47"/>
      <c r="K2183" s="143"/>
    </row>
    <row r="2184" spans="2:11" ht="24.9" customHeight="1" x14ac:dyDescent="0.2">
      <c r="B2184" s="193" t="s">
        <v>1778</v>
      </c>
      <c r="C2184" s="117"/>
      <c r="D2184" s="112" t="s">
        <v>1821</v>
      </c>
      <c r="E2184" s="117" t="s">
        <v>2585</v>
      </c>
      <c r="F2184" s="118"/>
      <c r="G2184" s="119">
        <f>ROUND(SUM(I2184:I2189),0)</f>
        <v>24029</v>
      </c>
      <c r="H2184" s="120"/>
      <c r="I2184" s="119"/>
      <c r="J2184" s="47"/>
      <c r="K2184" s="143"/>
    </row>
    <row r="2185" spans="2:11" ht="24.9" customHeight="1" x14ac:dyDescent="0.2">
      <c r="B2185" s="657" t="s">
        <v>1325</v>
      </c>
      <c r="C2185" s="108" t="str">
        <f>+'LISTA DE INSUMOS'!A687</f>
        <v>MAT700</v>
      </c>
      <c r="D2185" s="139" t="str">
        <f>+'LISTA DE INSUMOS'!B687</f>
        <v xml:space="preserve">Pintura vinilo </v>
      </c>
      <c r="E2185" s="108" t="str">
        <f>+'LISTA DE INSUMOS'!C687</f>
        <v>Gl</v>
      </c>
      <c r="F2185" s="176">
        <f>1/20</f>
        <v>0.05</v>
      </c>
      <c r="G2185" s="141">
        <f>'LISTA DE INSUMOS'!E687</f>
        <v>96102.273735929979</v>
      </c>
      <c r="H2185" s="108">
        <v>1.03</v>
      </c>
      <c r="I2185" s="141">
        <f>ROUND((F2185*G2185*H2185),0)</f>
        <v>4949</v>
      </c>
      <c r="J2185" s="47"/>
      <c r="K2185" s="143"/>
    </row>
    <row r="2186" spans="2:11" ht="24.9" customHeight="1" thickBot="1" x14ac:dyDescent="0.25">
      <c r="B2186" s="659"/>
      <c r="C2186" s="108" t="str">
        <f>+'LISTA DE INSUMOS'!A188</f>
        <v>MAT144</v>
      </c>
      <c r="D2186" s="139" t="str">
        <f>+'LISTA DE INSUMOS'!B188</f>
        <v>Yeso</v>
      </c>
      <c r="E2186" s="108" t="str">
        <f>+'LISTA DE INSUMOS'!C188</f>
        <v>Kg</v>
      </c>
      <c r="F2186" s="176">
        <v>0.1</v>
      </c>
      <c r="G2186" s="141">
        <f>'LISTA DE INSUMOS'!E188</f>
        <v>2398.3774658909997</v>
      </c>
      <c r="H2186" s="108">
        <v>1.05</v>
      </c>
      <c r="I2186" s="141">
        <f>ROUND((F2186*G2186*H2186),0)</f>
        <v>252</v>
      </c>
      <c r="J2186" s="47"/>
      <c r="K2186" s="143"/>
    </row>
    <row r="2187" spans="2:11" ht="24.9" customHeight="1" thickTop="1" thickBot="1" x14ac:dyDescent="0.25">
      <c r="B2187" s="153" t="s">
        <v>1034</v>
      </c>
      <c r="C2187" s="108" t="str">
        <f>+'LISTA DE INSUMOS'!A18</f>
        <v>MOB015</v>
      </c>
      <c r="D2187" s="139" t="str">
        <f>+'LISTA DE INSUMOS'!B18</f>
        <v>Cuadrilla E 1 Of + 1 Ay (jornal + prestaciones)</v>
      </c>
      <c r="E2187" s="108" t="str">
        <f>+'LISTA DE INSUMOS'!C18</f>
        <v>Día</v>
      </c>
      <c r="F2187" s="176">
        <v>1</v>
      </c>
      <c r="G2187" s="141">
        <f>'LISTA DE INSUMOS'!E18</f>
        <v>245584</v>
      </c>
      <c r="H2187" s="108">
        <f>1/15</f>
        <v>6.6666666666666666E-2</v>
      </c>
      <c r="I2187" s="141">
        <f>ROUND((F2187*G2187*H2187),0)</f>
        <v>16372</v>
      </c>
      <c r="J2187" s="47"/>
      <c r="K2187" s="143"/>
    </row>
    <row r="2188" spans="2:11" ht="24.9" customHeight="1" thickTop="1" x14ac:dyDescent="0.2">
      <c r="B2188" s="647" t="s">
        <v>1033</v>
      </c>
      <c r="C2188" s="108" t="str">
        <f>+'LISTA DE INSUMOS'!A758</f>
        <v>EQU002</v>
      </c>
      <c r="D2188" s="139" t="str">
        <f>+'LISTA DE INSUMOS'!B758</f>
        <v>Herramienta menor (% mano obra)</v>
      </c>
      <c r="E2188" s="108" t="str">
        <f>+'LISTA DE INSUMOS'!C758</f>
        <v>%MO</v>
      </c>
      <c r="F2188" s="176">
        <v>0.05</v>
      </c>
      <c r="G2188" s="141">
        <f>I2187</f>
        <v>16372</v>
      </c>
      <c r="H2188" s="108">
        <v>0</v>
      </c>
      <c r="I2188" s="141">
        <f>ROUND((F2188*G2188),0)</f>
        <v>819</v>
      </c>
      <c r="J2188" s="47"/>
      <c r="K2188" s="143"/>
    </row>
    <row r="2189" spans="2:11" ht="24.9" customHeight="1" thickBot="1" x14ac:dyDescent="0.25">
      <c r="B2189" s="704"/>
      <c r="C2189" s="145" t="str">
        <f>+'LISTA DE INSUMOS'!A762</f>
        <v>EQU006</v>
      </c>
      <c r="D2189" s="146" t="str">
        <f>+'LISTA DE INSUMOS'!B762</f>
        <v>Andamio (% mano obra)</v>
      </c>
      <c r="E2189" s="145" t="str">
        <f>+'LISTA DE INSUMOS'!C762</f>
        <v>%MO</v>
      </c>
      <c r="F2189" s="229">
        <v>0.1</v>
      </c>
      <c r="G2189" s="148">
        <f>I2187</f>
        <v>16372</v>
      </c>
      <c r="H2189" s="145">
        <v>0</v>
      </c>
      <c r="I2189" s="148">
        <f>ROUND((F2189*G2189),0)</f>
        <v>1637</v>
      </c>
      <c r="J2189" s="47"/>
      <c r="K2189" s="143"/>
    </row>
    <row r="2190" spans="2:11" ht="24.9" customHeight="1" x14ac:dyDescent="0.2">
      <c r="B2190" s="193" t="s">
        <v>1776</v>
      </c>
      <c r="C2190" s="117"/>
      <c r="D2190" s="112" t="s">
        <v>1812</v>
      </c>
      <c r="E2190" s="117" t="s">
        <v>2585</v>
      </c>
      <c r="F2190" s="118"/>
      <c r="G2190" s="119">
        <f>ROUND(SUM(I2190:I2194),0)</f>
        <v>25251</v>
      </c>
      <c r="H2190" s="120"/>
      <c r="I2190" s="119"/>
      <c r="J2190" s="47"/>
      <c r="K2190" s="143"/>
    </row>
    <row r="2191" spans="2:11" ht="35.25" customHeight="1" thickBot="1" x14ac:dyDescent="0.25">
      <c r="B2191" s="175" t="s">
        <v>1325</v>
      </c>
      <c r="C2191" s="108" t="str">
        <f>+'LISTA DE INSUMOS'!A153</f>
        <v>MAT112</v>
      </c>
      <c r="D2191" s="139" t="str">
        <f>+'LISTA DE INSUMOS'!B153</f>
        <v>Pintura esmalte para exteriores</v>
      </c>
      <c r="E2191" s="108" t="str">
        <f>+'LISTA DE INSUMOS'!C153</f>
        <v>Gl</v>
      </c>
      <c r="F2191" s="176">
        <f>1/16</f>
        <v>6.25E-2</v>
      </c>
      <c r="G2191" s="141">
        <f>'LISTA DE INSUMOS'!E153</f>
        <v>99769.889999999985</v>
      </c>
      <c r="H2191" s="108">
        <v>1.03</v>
      </c>
      <c r="I2191" s="141">
        <f>ROUND((F2191*G2191*H2191),0)</f>
        <v>6423</v>
      </c>
      <c r="J2191" s="47"/>
      <c r="K2191" s="143"/>
    </row>
    <row r="2192" spans="2:11" ht="24.9" customHeight="1" thickTop="1" thickBot="1" x14ac:dyDescent="0.25">
      <c r="B2192" s="153" t="s">
        <v>1034</v>
      </c>
      <c r="C2192" s="108" t="str">
        <f>+'LISTA DE INSUMOS'!A18</f>
        <v>MOB015</v>
      </c>
      <c r="D2192" s="139" t="str">
        <f>+'LISTA DE INSUMOS'!B18</f>
        <v>Cuadrilla E 1 Of + 1 Ay (jornal + prestaciones)</v>
      </c>
      <c r="E2192" s="108" t="str">
        <f>+'LISTA DE INSUMOS'!C18</f>
        <v>Día</v>
      </c>
      <c r="F2192" s="176">
        <v>1</v>
      </c>
      <c r="G2192" s="141">
        <f>'LISTA DE INSUMOS'!E18</f>
        <v>245584</v>
      </c>
      <c r="H2192" s="108">
        <f>1/15</f>
        <v>6.6666666666666666E-2</v>
      </c>
      <c r="I2192" s="141">
        <f>ROUND((F2192*G2192*H2192),0)</f>
        <v>16372</v>
      </c>
      <c r="J2192" s="47"/>
      <c r="K2192" s="143"/>
    </row>
    <row r="2193" spans="2:11" ht="24.9" customHeight="1" thickTop="1" x14ac:dyDescent="0.2">
      <c r="B2193" s="647" t="s">
        <v>1033</v>
      </c>
      <c r="C2193" s="108" t="str">
        <f>+'LISTA DE INSUMOS'!A758</f>
        <v>EQU002</v>
      </c>
      <c r="D2193" s="139" t="str">
        <f>+'LISTA DE INSUMOS'!B758</f>
        <v>Herramienta menor (% mano obra)</v>
      </c>
      <c r="E2193" s="108" t="str">
        <f>+'LISTA DE INSUMOS'!C758</f>
        <v>%MO</v>
      </c>
      <c r="F2193" s="176">
        <v>0.1</v>
      </c>
      <c r="G2193" s="141">
        <f>I2192</f>
        <v>16372</v>
      </c>
      <c r="H2193" s="108">
        <v>0</v>
      </c>
      <c r="I2193" s="141">
        <f>ROUND((F2193*G2193),0)</f>
        <v>1637</v>
      </c>
      <c r="J2193" s="47"/>
      <c r="K2193" s="143"/>
    </row>
    <row r="2194" spans="2:11" ht="24.9" customHeight="1" thickBot="1" x14ac:dyDescent="0.25">
      <c r="B2194" s="704"/>
      <c r="C2194" s="145" t="str">
        <f>+'LISTA DE INSUMOS'!A762</f>
        <v>EQU006</v>
      </c>
      <c r="D2194" s="146" t="str">
        <f>+'LISTA DE INSUMOS'!B762</f>
        <v>Andamio (% mano obra)</v>
      </c>
      <c r="E2194" s="145" t="str">
        <f>+'LISTA DE INSUMOS'!C762</f>
        <v>%MO</v>
      </c>
      <c r="F2194" s="229">
        <v>0.05</v>
      </c>
      <c r="G2194" s="148">
        <f>I2192</f>
        <v>16372</v>
      </c>
      <c r="H2194" s="145">
        <v>0</v>
      </c>
      <c r="I2194" s="148">
        <f>ROUND((F2194*G2194),0)</f>
        <v>819</v>
      </c>
      <c r="J2194" s="47"/>
      <c r="K2194" s="143"/>
    </row>
    <row r="2195" spans="2:11" ht="24.9" customHeight="1" x14ac:dyDescent="0.2">
      <c r="B2195" s="117" t="s">
        <v>1780</v>
      </c>
      <c r="C2195" s="117"/>
      <c r="D2195" s="112" t="s">
        <v>1810</v>
      </c>
      <c r="E2195" s="117" t="s">
        <v>2585</v>
      </c>
      <c r="F2195" s="118"/>
      <c r="G2195" s="119">
        <f>ROUND(SUM(I2195:I2198),0)</f>
        <v>29692</v>
      </c>
      <c r="H2195" s="120"/>
      <c r="I2195" s="119"/>
      <c r="J2195" s="47"/>
      <c r="K2195" s="143"/>
    </row>
    <row r="2196" spans="2:11" ht="24.9" customHeight="1" thickBot="1" x14ac:dyDescent="0.25">
      <c r="B2196" s="175" t="s">
        <v>1325</v>
      </c>
      <c r="C2196" s="108" t="str">
        <f>+'LISTA DE INSUMOS'!A73</f>
        <v>MAT040</v>
      </c>
      <c r="D2196" s="139" t="str">
        <f>+'LISTA DE INSUMOS'!B73</f>
        <v>Barniz intemperie brillante</v>
      </c>
      <c r="E2196" s="108" t="str">
        <f>+'LISTA DE INSUMOS'!C73</f>
        <v>Gl</v>
      </c>
      <c r="F2196" s="176">
        <v>0.1</v>
      </c>
      <c r="G2196" s="141">
        <f>'LISTA DE INSUMOS'!E73</f>
        <v>69711.851420999985</v>
      </c>
      <c r="H2196" s="108">
        <v>1.03</v>
      </c>
      <c r="I2196" s="141">
        <f>ROUND((F2196*G2196*H2196),0)</f>
        <v>7180</v>
      </c>
      <c r="J2196" s="47"/>
      <c r="K2196" s="143"/>
    </row>
    <row r="2197" spans="2:11" ht="24.9" customHeight="1" thickTop="1" thickBot="1" x14ac:dyDescent="0.25">
      <c r="B2197" s="153" t="s">
        <v>1034</v>
      </c>
      <c r="C2197" s="108" t="str">
        <f>+'LISTA DE INSUMOS'!A18</f>
        <v>MOB015</v>
      </c>
      <c r="D2197" s="139" t="str">
        <f>+'LISTA DE INSUMOS'!B18</f>
        <v>Cuadrilla E 1 Of + 1 Ay (jornal + prestaciones)</v>
      </c>
      <c r="E2197" s="108" t="str">
        <f>+'LISTA DE INSUMOS'!C18</f>
        <v>Día</v>
      </c>
      <c r="F2197" s="176">
        <v>1</v>
      </c>
      <c r="G2197" s="141">
        <f>'LISTA DE INSUMOS'!E18</f>
        <v>245584</v>
      </c>
      <c r="H2197" s="108">
        <f>1/12</f>
        <v>8.3333333333333329E-2</v>
      </c>
      <c r="I2197" s="141">
        <f>ROUND((F2197*G2197*H2197),0)</f>
        <v>20465</v>
      </c>
      <c r="J2197" s="47"/>
      <c r="K2197" s="143"/>
    </row>
    <row r="2198" spans="2:11" ht="24.9" customHeight="1" thickTop="1" thickBot="1" x14ac:dyDescent="0.25">
      <c r="B2198" s="150" t="s">
        <v>1033</v>
      </c>
      <c r="C2198" s="151" t="str">
        <f>+'LISTA DE INSUMOS'!A758</f>
        <v>EQU002</v>
      </c>
      <c r="D2198" s="146" t="str">
        <f>+'LISTA DE INSUMOS'!B758</f>
        <v>Herramienta menor (% mano obra)</v>
      </c>
      <c r="E2198" s="145" t="str">
        <f>+'LISTA DE INSUMOS'!C758</f>
        <v>%MO</v>
      </c>
      <c r="F2198" s="229">
        <v>0.1</v>
      </c>
      <c r="G2198" s="148">
        <f>I2197</f>
        <v>20465</v>
      </c>
      <c r="H2198" s="145">
        <v>0</v>
      </c>
      <c r="I2198" s="148">
        <f>ROUND((F2198*G2198),0)</f>
        <v>2047</v>
      </c>
      <c r="J2198" s="47"/>
      <c r="K2198" s="143"/>
    </row>
    <row r="2199" spans="2:11" ht="24.9" customHeight="1" x14ac:dyDescent="0.2">
      <c r="B2199" s="117" t="s">
        <v>1771</v>
      </c>
      <c r="C2199" s="117"/>
      <c r="D2199" s="112" t="s">
        <v>1667</v>
      </c>
      <c r="E2199" s="117" t="s">
        <v>2585</v>
      </c>
      <c r="F2199" s="149"/>
      <c r="G2199" s="119">
        <f>ROUND(SUM(I2199:I2203),0)</f>
        <v>31913</v>
      </c>
      <c r="H2199" s="120"/>
      <c r="I2199" s="119"/>
      <c r="J2199" s="47"/>
      <c r="K2199" s="143"/>
    </row>
    <row r="2200" spans="2:11" ht="24.9" customHeight="1" thickBot="1" x14ac:dyDescent="0.25">
      <c r="B2200" s="175" t="s">
        <v>1325</v>
      </c>
      <c r="C2200" s="108" t="str">
        <f>+'LISTA DE INSUMOS'!A163</f>
        <v>MAT118</v>
      </c>
      <c r="D2200" s="139" t="str">
        <f>+'LISTA DE INSUMOS'!B163</f>
        <v>Graniplast Blanco 30Kg Esgrafiado Antihongos</v>
      </c>
      <c r="E2200" s="108" t="str">
        <f>+'LISTA DE INSUMOS'!C163</f>
        <v>Cñ</v>
      </c>
      <c r="F2200" s="140">
        <v>0.1</v>
      </c>
      <c r="G2200" s="141">
        <f>'LISTA DE INSUMOS'!E163</f>
        <v>119100.77533018499</v>
      </c>
      <c r="H2200" s="108">
        <v>1.03</v>
      </c>
      <c r="I2200" s="141">
        <f>ROUND((F2200*G2200*H2200),0)</f>
        <v>12267</v>
      </c>
      <c r="J2200" s="47"/>
      <c r="K2200" s="143"/>
    </row>
    <row r="2201" spans="2:11" ht="24.9" customHeight="1" thickTop="1" thickBot="1" x14ac:dyDescent="0.25">
      <c r="B2201" s="153" t="s">
        <v>1034</v>
      </c>
      <c r="C2201" s="108" t="str">
        <f>+'LISTA DE INSUMOS'!A18</f>
        <v>MOB015</v>
      </c>
      <c r="D2201" s="139" t="str">
        <f>+'LISTA DE INSUMOS'!B18</f>
        <v>Cuadrilla E 1 Of + 1 Ay (jornal + prestaciones)</v>
      </c>
      <c r="E2201" s="108" t="str">
        <f>+'LISTA DE INSUMOS'!C18</f>
        <v>Día</v>
      </c>
      <c r="F2201" s="140">
        <v>1</v>
      </c>
      <c r="G2201" s="141">
        <f>'LISTA DE INSUMOS'!E18</f>
        <v>245584</v>
      </c>
      <c r="H2201" s="108">
        <f>1/15</f>
        <v>6.6666666666666666E-2</v>
      </c>
      <c r="I2201" s="141">
        <f>ROUND((F2201*G2201*H2201),0)</f>
        <v>16372</v>
      </c>
      <c r="J2201" s="47"/>
      <c r="K2201" s="143"/>
    </row>
    <row r="2202" spans="2:11" ht="24.9" customHeight="1" thickTop="1" x14ac:dyDescent="0.2">
      <c r="B2202" s="647" t="s">
        <v>1033</v>
      </c>
      <c r="C2202" s="108" t="str">
        <f>+'LISTA DE INSUMOS'!A758</f>
        <v>EQU002</v>
      </c>
      <c r="D2202" s="139" t="str">
        <f>+'LISTA DE INSUMOS'!B758</f>
        <v>Herramienta menor (% mano obra)</v>
      </c>
      <c r="E2202" s="108" t="str">
        <f>+'LISTA DE INSUMOS'!C758</f>
        <v>%MO</v>
      </c>
      <c r="F2202" s="140">
        <v>0.1</v>
      </c>
      <c r="G2202" s="141">
        <f>I2201</f>
        <v>16372</v>
      </c>
      <c r="H2202" s="108">
        <v>0</v>
      </c>
      <c r="I2202" s="141">
        <f>ROUND((F2202*G2202),0)</f>
        <v>1637</v>
      </c>
      <c r="J2202" s="47"/>
      <c r="K2202" s="143"/>
    </row>
    <row r="2203" spans="2:11" ht="24.9" customHeight="1" thickBot="1" x14ac:dyDescent="0.25">
      <c r="B2203" s="704"/>
      <c r="C2203" s="145" t="str">
        <f>+'LISTA DE INSUMOS'!A762</f>
        <v>EQU006</v>
      </c>
      <c r="D2203" s="146" t="str">
        <f>+'LISTA DE INSUMOS'!B762</f>
        <v>Andamio (% mano obra)</v>
      </c>
      <c r="E2203" s="145" t="str">
        <f>+'LISTA DE INSUMOS'!C762</f>
        <v>%MO</v>
      </c>
      <c r="F2203" s="147">
        <v>0.1</v>
      </c>
      <c r="G2203" s="148">
        <f>I2201</f>
        <v>16372</v>
      </c>
      <c r="H2203" s="145">
        <v>0</v>
      </c>
      <c r="I2203" s="148">
        <f>ROUND((F2203*G2203),0)</f>
        <v>1637</v>
      </c>
      <c r="J2203" s="47"/>
      <c r="K2203" s="143"/>
    </row>
    <row r="2204" spans="2:11" ht="24.9" customHeight="1" x14ac:dyDescent="0.2">
      <c r="B2204" s="193" t="s">
        <v>1775</v>
      </c>
      <c r="C2204" s="117"/>
      <c r="D2204" s="112" t="s">
        <v>441</v>
      </c>
      <c r="E2204" s="117" t="s">
        <v>2585</v>
      </c>
      <c r="F2204" s="149"/>
      <c r="G2204" s="119">
        <f>ROUND(SUM(I2204:I2209),0)</f>
        <v>10225</v>
      </c>
      <c r="H2204" s="120"/>
      <c r="I2204" s="119"/>
      <c r="J2204" s="47"/>
      <c r="K2204" s="143"/>
    </row>
    <row r="2205" spans="2:11" ht="24.9" customHeight="1" x14ac:dyDescent="0.2">
      <c r="B2205" s="657" t="s">
        <v>1325</v>
      </c>
      <c r="C2205" s="108" t="str">
        <f>+'LISTA DE INSUMOS'!A40</f>
        <v>MAT011</v>
      </c>
      <c r="D2205" s="139" t="str">
        <f>+'LISTA DE INSUMOS'!B40</f>
        <v>Carburo</v>
      </c>
      <c r="E2205" s="108" t="str">
        <f>+'LISTA DE INSUMOS'!C40</f>
        <v>Kg</v>
      </c>
      <c r="F2205" s="140">
        <v>2</v>
      </c>
      <c r="G2205" s="141">
        <f>'LISTA DE INSUMOS'!E40</f>
        <v>1509.9728751607502</v>
      </c>
      <c r="H2205" s="108">
        <v>1.03</v>
      </c>
      <c r="I2205" s="141">
        <f>ROUND((F2205*G2205*H2205),0)</f>
        <v>3111</v>
      </c>
      <c r="J2205" s="47"/>
      <c r="K2205" s="143"/>
    </row>
    <row r="2206" spans="2:11" ht="24.9" customHeight="1" thickBot="1" x14ac:dyDescent="0.25">
      <c r="B2206" s="659"/>
      <c r="C2206" s="108" t="str">
        <f>+'LISTA DE INSUMOS'!A42</f>
        <v>MAT013</v>
      </c>
      <c r="D2206" s="139" t="str">
        <f>+'LISTA DE INSUMOS'!B42</f>
        <v xml:space="preserve">Agua </v>
      </c>
      <c r="E2206" s="108" t="str">
        <f>+'LISTA DE INSUMOS'!C42</f>
        <v>Lt</v>
      </c>
      <c r="F2206" s="140">
        <v>1</v>
      </c>
      <c r="G2206" s="141">
        <f>'LISTA DE INSUMOS'!E42</f>
        <v>96.828790046226644</v>
      </c>
      <c r="H2206" s="108">
        <v>0</v>
      </c>
      <c r="I2206" s="141">
        <f>ROUND((F2206*G2206),0)</f>
        <v>97</v>
      </c>
      <c r="J2206" s="47"/>
      <c r="K2206" s="143"/>
    </row>
    <row r="2207" spans="2:11" ht="24.9" customHeight="1" thickTop="1" thickBot="1" x14ac:dyDescent="0.25">
      <c r="B2207" s="153" t="s">
        <v>1034</v>
      </c>
      <c r="C2207" s="108" t="str">
        <f>+'LISTA DE INSUMOS'!A7</f>
        <v>MOB004</v>
      </c>
      <c r="D2207" s="139" t="str">
        <f>+'LISTA DE INSUMOS'!B7</f>
        <v>Ayudante (jornal + prestaciones)</v>
      </c>
      <c r="E2207" s="108" t="str">
        <f>+'LISTA DE INSUMOS'!C7</f>
        <v>Dia</v>
      </c>
      <c r="F2207" s="140">
        <v>1</v>
      </c>
      <c r="G2207" s="141">
        <f>+'LISTA DE INSUMOS'!E7</f>
        <v>81861</v>
      </c>
      <c r="H2207" s="142">
        <f>1/14</f>
        <v>7.1428571428571425E-2</v>
      </c>
      <c r="I2207" s="141">
        <f>ROUND((F2207*G2207*H2207),0)</f>
        <v>5847</v>
      </c>
      <c r="J2207" s="47"/>
      <c r="K2207" s="143"/>
    </row>
    <row r="2208" spans="2:11" ht="24.9" customHeight="1" thickTop="1" x14ac:dyDescent="0.2">
      <c r="B2208" s="647" t="s">
        <v>1033</v>
      </c>
      <c r="C2208" s="108" t="str">
        <f>+'LISTA DE INSUMOS'!A758</f>
        <v>EQU002</v>
      </c>
      <c r="D2208" s="139" t="str">
        <f>+'LISTA DE INSUMOS'!B758</f>
        <v>Herramienta menor (% mano obra)</v>
      </c>
      <c r="E2208" s="108" t="str">
        <f>+'LISTA DE INSUMOS'!C758</f>
        <v>%MO</v>
      </c>
      <c r="F2208" s="140">
        <v>0.1</v>
      </c>
      <c r="G2208" s="141">
        <f>I2207</f>
        <v>5847</v>
      </c>
      <c r="H2208" s="108">
        <v>0</v>
      </c>
      <c r="I2208" s="141">
        <f>ROUND((F2208*G2208),0)</f>
        <v>585</v>
      </c>
      <c r="J2208" s="47"/>
      <c r="K2208" s="143"/>
    </row>
    <row r="2209" spans="2:11" ht="24.9" customHeight="1" thickBot="1" x14ac:dyDescent="0.25">
      <c r="B2209" s="704"/>
      <c r="C2209" s="145" t="str">
        <f>+'LISTA DE INSUMOS'!A762</f>
        <v>EQU006</v>
      </c>
      <c r="D2209" s="146" t="str">
        <f>+'LISTA DE INSUMOS'!B762</f>
        <v>Andamio (% mano obra)</v>
      </c>
      <c r="E2209" s="145" t="str">
        <f>+'LISTA DE INSUMOS'!C762</f>
        <v>%MO</v>
      </c>
      <c r="F2209" s="147">
        <v>0.1</v>
      </c>
      <c r="G2209" s="148">
        <f>I2207</f>
        <v>5847</v>
      </c>
      <c r="H2209" s="145">
        <v>0</v>
      </c>
      <c r="I2209" s="148">
        <f>ROUND((F2209*G2209),0)</f>
        <v>585</v>
      </c>
      <c r="J2209" s="47"/>
      <c r="K2209" s="143"/>
    </row>
    <row r="2210" spans="2:11" ht="24.9" customHeight="1" x14ac:dyDescent="0.2">
      <c r="B2210" s="193" t="s">
        <v>1940</v>
      </c>
      <c r="C2210" s="117"/>
      <c r="D2210" s="112" t="s">
        <v>1473</v>
      </c>
      <c r="E2210" s="117" t="s">
        <v>2585</v>
      </c>
      <c r="F2210" s="149"/>
      <c r="G2210" s="119">
        <f>ROUND(SUM(I2210:I2213),0)</f>
        <v>9543</v>
      </c>
      <c r="H2210" s="120"/>
      <c r="I2210" s="119"/>
      <c r="J2210" s="47"/>
      <c r="K2210" s="143"/>
    </row>
    <row r="2211" spans="2:11" ht="24.9" customHeight="1" thickBot="1" x14ac:dyDescent="0.25">
      <c r="B2211" s="175" t="s">
        <v>1325</v>
      </c>
      <c r="C2211" s="108" t="str">
        <f>+'LISTA DE INSUMOS'!A40</f>
        <v>MAT011</v>
      </c>
      <c r="D2211" s="139" t="str">
        <f>+'LISTA DE INSUMOS'!B40</f>
        <v>Carburo</v>
      </c>
      <c r="E2211" s="108" t="str">
        <f>+'LISTA DE INSUMOS'!C40</f>
        <v>Kg</v>
      </c>
      <c r="F2211" s="140">
        <v>2</v>
      </c>
      <c r="G2211" s="141">
        <f>'LISTA DE INSUMOS'!E40</f>
        <v>1509.9728751607502</v>
      </c>
      <c r="H2211" s="108">
        <v>1.03</v>
      </c>
      <c r="I2211" s="141">
        <f>ROUND((F2211*G2211*H2211),0)</f>
        <v>3111</v>
      </c>
      <c r="J2211" s="47"/>
      <c r="K2211" s="143"/>
    </row>
    <row r="2212" spans="2:11" ht="24.9" customHeight="1" thickTop="1" thickBot="1" x14ac:dyDescent="0.25">
      <c r="B2212" s="153" t="s">
        <v>1034</v>
      </c>
      <c r="C2212" s="108" t="str">
        <f>+'LISTA DE INSUMOS'!A7</f>
        <v>MOB004</v>
      </c>
      <c r="D2212" s="139" t="str">
        <f>+'LISTA DE INSUMOS'!B7</f>
        <v>Ayudante (jornal + prestaciones)</v>
      </c>
      <c r="E2212" s="108" t="str">
        <f>+'LISTA DE INSUMOS'!C7</f>
        <v>Dia</v>
      </c>
      <c r="F2212" s="140">
        <v>1</v>
      </c>
      <c r="G2212" s="141">
        <f>+'LISTA DE INSUMOS'!E7</f>
        <v>81861</v>
      </c>
      <c r="H2212" s="108">
        <f>1/14</f>
        <v>7.1428571428571425E-2</v>
      </c>
      <c r="I2212" s="141">
        <f>ROUND((F2212*G2212*H2212),0)</f>
        <v>5847</v>
      </c>
      <c r="J2212" s="47"/>
      <c r="K2212" s="143"/>
    </row>
    <row r="2213" spans="2:11" ht="24.9" customHeight="1" thickTop="1" thickBot="1" x14ac:dyDescent="0.25">
      <c r="B2213" s="150" t="s">
        <v>1033</v>
      </c>
      <c r="C2213" s="151" t="str">
        <f>+'LISTA DE INSUMOS'!A758</f>
        <v>EQU002</v>
      </c>
      <c r="D2213" s="146" t="str">
        <f>+'LISTA DE INSUMOS'!B758</f>
        <v>Herramienta menor (% mano obra)</v>
      </c>
      <c r="E2213" s="145" t="str">
        <f>+'LISTA DE INSUMOS'!C758</f>
        <v>%MO</v>
      </c>
      <c r="F2213" s="147">
        <v>0.1</v>
      </c>
      <c r="G2213" s="148">
        <f>I2212</f>
        <v>5847</v>
      </c>
      <c r="H2213" s="145">
        <v>0</v>
      </c>
      <c r="I2213" s="148">
        <f>ROUND((F2213*G2213),0)</f>
        <v>585</v>
      </c>
      <c r="J2213" s="47"/>
      <c r="K2213" s="143"/>
    </row>
    <row r="2214" spans="2:11" ht="24.9" customHeight="1" x14ac:dyDescent="0.2">
      <c r="B2214" s="117" t="s">
        <v>1925</v>
      </c>
      <c r="C2214" s="117"/>
      <c r="D2214" s="112" t="s">
        <v>1471</v>
      </c>
      <c r="E2214" s="117" t="s">
        <v>2585</v>
      </c>
      <c r="F2214" s="149"/>
      <c r="G2214" s="119">
        <f>ROUND(SUM(I2214:I2217),0)</f>
        <v>9414</v>
      </c>
      <c r="H2214" s="120"/>
      <c r="I2214" s="119"/>
      <c r="J2214" s="47"/>
      <c r="K2214" s="143"/>
    </row>
    <row r="2215" spans="2:11" ht="24.9" customHeight="1" thickBot="1" x14ac:dyDescent="0.25">
      <c r="B2215" s="175" t="s">
        <v>1325</v>
      </c>
      <c r="C2215" s="108" t="str">
        <f>+'LISTA DE INSUMOS'!A40</f>
        <v>MAT011</v>
      </c>
      <c r="D2215" s="139" t="str">
        <f>+'LISTA DE INSUMOS'!B40</f>
        <v>Carburo</v>
      </c>
      <c r="E2215" s="108" t="str">
        <f>+'LISTA DE INSUMOS'!C40</f>
        <v>Kg</v>
      </c>
      <c r="F2215" s="140">
        <v>2</v>
      </c>
      <c r="G2215" s="141">
        <f>'LISTA DE INSUMOS'!E40</f>
        <v>1509.9728751607502</v>
      </c>
      <c r="H2215" s="108">
        <v>1.03</v>
      </c>
      <c r="I2215" s="141">
        <f>ROUND((F2215*G2215*H2215),0)</f>
        <v>3111</v>
      </c>
      <c r="J2215" s="47"/>
      <c r="K2215" s="143"/>
    </row>
    <row r="2216" spans="2:11" ht="24.9" customHeight="1" thickTop="1" thickBot="1" x14ac:dyDescent="0.25">
      <c r="B2216" s="153" t="s">
        <v>1034</v>
      </c>
      <c r="C2216" s="108" t="str">
        <f>+'LISTA DE INSUMOS'!A7</f>
        <v>MOB004</v>
      </c>
      <c r="D2216" s="139" t="str">
        <f>+'LISTA DE INSUMOS'!B7</f>
        <v>Ayudante (jornal + prestaciones)</v>
      </c>
      <c r="E2216" s="108" t="str">
        <f>+'LISTA DE INSUMOS'!C7</f>
        <v>Dia</v>
      </c>
      <c r="F2216" s="140">
        <v>1</v>
      </c>
      <c r="G2216" s="141">
        <f>+'LISTA DE INSUMOS'!E7</f>
        <v>81861</v>
      </c>
      <c r="H2216" s="108">
        <v>7.0000000000000007E-2</v>
      </c>
      <c r="I2216" s="141">
        <f>ROUND((F2216*G2216*H2216),0)</f>
        <v>5730</v>
      </c>
      <c r="J2216" s="47"/>
      <c r="K2216" s="143"/>
    </row>
    <row r="2217" spans="2:11" ht="24.9" customHeight="1" thickTop="1" thickBot="1" x14ac:dyDescent="0.25">
      <c r="B2217" s="150" t="s">
        <v>1033</v>
      </c>
      <c r="C2217" s="151" t="str">
        <f>+'LISTA DE INSUMOS'!A758</f>
        <v>EQU002</v>
      </c>
      <c r="D2217" s="146" t="str">
        <f>+'LISTA DE INSUMOS'!B758</f>
        <v>Herramienta menor (% mano obra)</v>
      </c>
      <c r="E2217" s="145" t="str">
        <f>+'LISTA DE INSUMOS'!C758</f>
        <v>%MO</v>
      </c>
      <c r="F2217" s="147">
        <v>0.1</v>
      </c>
      <c r="G2217" s="148">
        <f>I2216</f>
        <v>5730</v>
      </c>
      <c r="H2217" s="145">
        <v>0</v>
      </c>
      <c r="I2217" s="148">
        <f>ROUND((F2217*G2217),0)</f>
        <v>573</v>
      </c>
      <c r="J2217" s="47"/>
      <c r="K2217" s="143"/>
    </row>
    <row r="2218" spans="2:11" ht="24.9" customHeight="1" x14ac:dyDescent="0.2">
      <c r="B2218" s="117" t="s">
        <v>1650</v>
      </c>
      <c r="C2218" s="117"/>
      <c r="D2218" s="112" t="s">
        <v>309</v>
      </c>
      <c r="E2218" s="117" t="s">
        <v>2585</v>
      </c>
      <c r="F2218" s="149"/>
      <c r="G2218" s="119">
        <f>ROUND(SUM(I2218:I2225),0)</f>
        <v>43229</v>
      </c>
      <c r="H2218" s="120"/>
      <c r="I2218" s="119"/>
      <c r="J2218" s="47"/>
      <c r="K2218" s="143"/>
    </row>
    <row r="2219" spans="2:11" ht="24.9" customHeight="1" x14ac:dyDescent="0.2">
      <c r="B2219" s="672" t="s">
        <v>1035</v>
      </c>
      <c r="C2219" s="108" t="str">
        <f>+'LISTA DE INSUMOS'!A77</f>
        <v>MAT041</v>
      </c>
      <c r="D2219" s="139" t="str">
        <f>+'LISTA DE INSUMOS'!B77</f>
        <v>Teja ondulada de fibrocemento</v>
      </c>
      <c r="E2219" s="108" t="str">
        <f>+'LISTA DE INSUMOS'!C77</f>
        <v>M2</v>
      </c>
      <c r="F2219" s="176">
        <v>1</v>
      </c>
      <c r="G2219" s="141">
        <f>'LISTA DE INSUMOS'!E77</f>
        <v>36279.96</v>
      </c>
      <c r="H2219" s="108">
        <v>1.03</v>
      </c>
      <c r="I2219" s="141">
        <f>ROUND((F2219*G2219*H2219),0)</f>
        <v>37368</v>
      </c>
      <c r="J2219" s="47"/>
      <c r="K2219" s="143"/>
    </row>
    <row r="2220" spans="2:11" ht="24.9" customHeight="1" x14ac:dyDescent="0.2">
      <c r="B2220" s="672"/>
      <c r="C2220" s="108" t="str">
        <f>+'LISTA DE INSUMOS'!A78</f>
        <v>MAT042</v>
      </c>
      <c r="D2220" s="139" t="str">
        <f>+'LISTA DE INSUMOS'!B78</f>
        <v>Ganchos para teja ondulada de fibrocemento</v>
      </c>
      <c r="E2220" s="108" t="str">
        <f>+'LISTA DE INSUMOS'!C78</f>
        <v>Un</v>
      </c>
      <c r="F2220" s="176">
        <v>2</v>
      </c>
      <c r="G2220" s="141">
        <f>'LISTA DE INSUMOS'!E78</f>
        <v>832.87476149999986</v>
      </c>
      <c r="H2220" s="108">
        <v>0</v>
      </c>
      <c r="I2220" s="141">
        <f>ROUND((F2220*G2220),0)</f>
        <v>1666</v>
      </c>
      <c r="J2220" s="47"/>
      <c r="K2220" s="143"/>
    </row>
    <row r="2221" spans="2:11" ht="24.9" customHeight="1" x14ac:dyDescent="0.2">
      <c r="B2221" s="672"/>
      <c r="C2221" s="108" t="str">
        <f>+'LISTA DE INSUMOS'!A80</f>
        <v>MAT043</v>
      </c>
      <c r="D2221" s="139" t="str">
        <f>+'LISTA DE INSUMOS'!B80</f>
        <v>Amarras con tapa plástica para teja</v>
      </c>
      <c r="E2221" s="108" t="str">
        <f>+'LISTA DE INSUMOS'!C80</f>
        <v>Un</v>
      </c>
      <c r="F2221" s="176">
        <v>1</v>
      </c>
      <c r="G2221" s="141">
        <f>'LISTA DE INSUMOS'!E80</f>
        <v>662.41499999999996</v>
      </c>
      <c r="H2221" s="108">
        <v>0</v>
      </c>
      <c r="I2221" s="141">
        <f>ROUND((F2221*G2221),0)</f>
        <v>662</v>
      </c>
      <c r="J2221" s="47"/>
      <c r="K2221" s="143"/>
    </row>
    <row r="2222" spans="2:11" ht="24.9" customHeight="1" thickBot="1" x14ac:dyDescent="0.25">
      <c r="B2222" s="673"/>
      <c r="C2222" s="108" t="str">
        <f>+'LISTA DE INSUMOS'!A391</f>
        <v>MAT387</v>
      </c>
      <c r="D2222" s="139" t="str">
        <f>+'LISTA DE INSUMOS'!B391</f>
        <v>Impermeabilizante bituminoso para cubiertas</v>
      </c>
      <c r="E2222" s="108" t="str">
        <f>+'LISTA DE INSUMOS'!C391</f>
        <v>Kg</v>
      </c>
      <c r="F2222" s="176">
        <v>0.01</v>
      </c>
      <c r="G2222" s="141">
        <f>'LISTA DE INSUMOS'!E391</f>
        <v>19510.502441994297</v>
      </c>
      <c r="H2222" s="108">
        <v>3</v>
      </c>
      <c r="I2222" s="141">
        <f>ROUND((F2222*G2222*H2222),0)</f>
        <v>585</v>
      </c>
      <c r="J2222" s="47"/>
      <c r="K2222" s="143"/>
    </row>
    <row r="2223" spans="2:11" ht="24.9" customHeight="1" thickTop="1" thickBot="1" x14ac:dyDescent="0.25">
      <c r="B2223" s="153" t="s">
        <v>1034</v>
      </c>
      <c r="C2223" s="108" t="str">
        <f>+'LISTA DE INSUMOS'!A18</f>
        <v>MOB015</v>
      </c>
      <c r="D2223" s="139" t="str">
        <f>+'LISTA DE INSUMOS'!B18</f>
        <v>Cuadrilla E 1 Of + 1 Ay (jornal + prestaciones)</v>
      </c>
      <c r="E2223" s="108" t="str">
        <f>+'LISTA DE INSUMOS'!C18</f>
        <v>Día</v>
      </c>
      <c r="F2223" s="176">
        <v>1</v>
      </c>
      <c r="G2223" s="141">
        <f>'LISTA DE INSUMOS'!E18</f>
        <v>245584</v>
      </c>
      <c r="H2223" s="108">
        <v>0.01</v>
      </c>
      <c r="I2223" s="141">
        <f>ROUND((F2223*G2223*H2223),0)</f>
        <v>2456</v>
      </c>
      <c r="J2223" s="47"/>
      <c r="K2223" s="143"/>
    </row>
    <row r="2224" spans="2:11" ht="24.9" customHeight="1" thickTop="1" x14ac:dyDescent="0.2">
      <c r="B2224" s="647" t="s">
        <v>1033</v>
      </c>
      <c r="C2224" s="108" t="str">
        <f>+'LISTA DE INSUMOS'!A758</f>
        <v>EQU002</v>
      </c>
      <c r="D2224" s="139" t="str">
        <f>+'LISTA DE INSUMOS'!B758</f>
        <v>Herramienta menor (% mano obra)</v>
      </c>
      <c r="E2224" s="108" t="str">
        <f>+'LISTA DE INSUMOS'!C758</f>
        <v>%MO</v>
      </c>
      <c r="F2224" s="176">
        <v>0.1</v>
      </c>
      <c r="G2224" s="141">
        <f>I2223</f>
        <v>2456</v>
      </c>
      <c r="H2224" s="108">
        <v>0</v>
      </c>
      <c r="I2224" s="141">
        <f>ROUND((F2224*G2224),0)</f>
        <v>246</v>
      </c>
      <c r="J2224" s="47"/>
      <c r="K2224" s="143"/>
    </row>
    <row r="2225" spans="2:11" ht="24.75" customHeight="1" thickBot="1" x14ac:dyDescent="0.25">
      <c r="B2225" s="704"/>
      <c r="C2225" s="145" t="str">
        <f>+'LISTA DE INSUMOS'!A762</f>
        <v>EQU006</v>
      </c>
      <c r="D2225" s="146" t="str">
        <f>+'LISTA DE INSUMOS'!B762</f>
        <v>Andamio (% mano obra)</v>
      </c>
      <c r="E2225" s="145" t="str">
        <f>+'LISTA DE INSUMOS'!C762</f>
        <v>%MO</v>
      </c>
      <c r="F2225" s="229">
        <v>0.1</v>
      </c>
      <c r="G2225" s="148">
        <f>I2223</f>
        <v>2456</v>
      </c>
      <c r="H2225" s="145">
        <v>0</v>
      </c>
      <c r="I2225" s="148">
        <f>ROUND((F2225*G2225),0)</f>
        <v>246</v>
      </c>
      <c r="J2225" s="47"/>
      <c r="K2225" s="143"/>
    </row>
    <row r="2226" spans="2:11" s="317" customFormat="1" ht="27" customHeight="1" x14ac:dyDescent="0.2">
      <c r="B2226" s="117" t="s">
        <v>1919</v>
      </c>
      <c r="C2226" s="117"/>
      <c r="D2226" s="494" t="s">
        <v>108</v>
      </c>
      <c r="E2226" s="117" t="s">
        <v>2585</v>
      </c>
      <c r="F2226" s="117"/>
      <c r="G2226" s="117">
        <f>ROUND(SUM(I2226:I2233),0)</f>
        <v>78207</v>
      </c>
      <c r="H2226" s="117"/>
      <c r="I2226" s="117"/>
      <c r="J2226" s="313"/>
      <c r="K2226" s="323"/>
    </row>
    <row r="2227" spans="2:11" s="317" customFormat="1" ht="20.25" customHeight="1" x14ac:dyDescent="0.2">
      <c r="B2227" s="672" t="s">
        <v>1035</v>
      </c>
      <c r="C2227" s="108" t="str">
        <f>+'LISTA DE INSUMOS'!A78</f>
        <v>MAT042</v>
      </c>
      <c r="D2227" s="436" t="str">
        <f>+'LISTA DE INSUMOS'!B78</f>
        <v>Ganchos para teja ondulada de fibrocemento</v>
      </c>
      <c r="E2227" s="108" t="str">
        <f>+'LISTA DE INSUMOS'!C78</f>
        <v>Un</v>
      </c>
      <c r="F2227" s="108">
        <v>2</v>
      </c>
      <c r="G2227" s="108">
        <f>'LISTA DE INSUMOS'!E78</f>
        <v>832.87476149999986</v>
      </c>
      <c r="H2227" s="108">
        <v>0</v>
      </c>
      <c r="I2227" s="108">
        <f>ROUND((F2227*G2227),0)</f>
        <v>1666</v>
      </c>
      <c r="J2227" s="313"/>
      <c r="K2227" s="323"/>
    </row>
    <row r="2228" spans="2:11" s="317" customFormat="1" ht="23.25" customHeight="1" x14ac:dyDescent="0.2">
      <c r="B2228" s="672"/>
      <c r="C2228" s="108" t="str">
        <f>+'LISTA DE INSUMOS'!A80</f>
        <v>MAT043</v>
      </c>
      <c r="D2228" s="436" t="str">
        <f>+'LISTA DE INSUMOS'!B80</f>
        <v>Amarras con tapa plástica para teja</v>
      </c>
      <c r="E2228" s="108" t="str">
        <f>+'LISTA DE INSUMOS'!C80</f>
        <v>Un</v>
      </c>
      <c r="F2228" s="108">
        <v>1.2</v>
      </c>
      <c r="G2228" s="108">
        <f>'LISTA DE INSUMOS'!E80</f>
        <v>662.41499999999996</v>
      </c>
      <c r="H2228" s="108">
        <v>0</v>
      </c>
      <c r="I2228" s="108">
        <f>ROUND((F2228*G2228),0)</f>
        <v>795</v>
      </c>
      <c r="J2228" s="313"/>
      <c r="K2228" s="323"/>
    </row>
    <row r="2229" spans="2:11" s="317" customFormat="1" ht="20.25" customHeight="1" x14ac:dyDescent="0.2">
      <c r="B2229" s="672"/>
      <c r="C2229" s="108" t="str">
        <f>+'LISTA DE INSUMOS'!A360</f>
        <v>MAT353</v>
      </c>
      <c r="D2229" s="436" t="str">
        <f>+'LISTA DE INSUMOS'!B360</f>
        <v>Teja greca cristal N10 3.05x0.99cm 0.5mm policarbonato</v>
      </c>
      <c r="E2229" s="108" t="str">
        <f>+'LISTA DE INSUMOS'!C360</f>
        <v>M2</v>
      </c>
      <c r="F2229" s="108">
        <v>1.27</v>
      </c>
      <c r="G2229" s="108">
        <f>'LISTA DE INSUMOS'!E360</f>
        <v>42069.823784999993</v>
      </c>
      <c r="H2229" s="108">
        <v>1.03</v>
      </c>
      <c r="I2229" s="108">
        <f>ROUND((F2229*G2229*H2229),0)</f>
        <v>55032</v>
      </c>
      <c r="J2229" s="313"/>
      <c r="K2229" s="323"/>
    </row>
    <row r="2230" spans="2:11" s="317" customFormat="1" ht="29.25" customHeight="1" thickBot="1" x14ac:dyDescent="0.25">
      <c r="B2230" s="673"/>
      <c r="C2230" s="108" t="str">
        <f>+'LISTA DE INSUMOS'!A391</f>
        <v>MAT387</v>
      </c>
      <c r="D2230" s="436" t="str">
        <f>+'LISTA DE INSUMOS'!B391</f>
        <v>Impermeabilizante bituminoso para cubiertas</v>
      </c>
      <c r="E2230" s="108" t="str">
        <f>+'LISTA DE INSUMOS'!C391</f>
        <v>Kg</v>
      </c>
      <c r="F2230" s="108">
        <v>0.25</v>
      </c>
      <c r="G2230" s="108">
        <f>'LISTA DE INSUMOS'!E391</f>
        <v>19510.502441994297</v>
      </c>
      <c r="H2230" s="108">
        <v>1.03</v>
      </c>
      <c r="I2230" s="108">
        <f>ROUND((F2230*G2230*H2230),0)</f>
        <v>5024</v>
      </c>
      <c r="J2230" s="313"/>
      <c r="K2230" s="323"/>
    </row>
    <row r="2231" spans="2:11" s="317" customFormat="1" ht="24.75" customHeight="1" thickTop="1" thickBot="1" x14ac:dyDescent="0.25">
      <c r="B2231" s="153" t="s">
        <v>1034</v>
      </c>
      <c r="C2231" s="108" t="str">
        <f>+'LISTA DE INSUMOS'!A18</f>
        <v>MOB015</v>
      </c>
      <c r="D2231" s="436" t="str">
        <f>+'LISTA DE INSUMOS'!B18</f>
        <v>Cuadrilla E 1 Of + 1 Ay (jornal + prestaciones)</v>
      </c>
      <c r="E2231" s="108" t="str">
        <f>+'LISTA DE INSUMOS'!C18</f>
        <v>Día</v>
      </c>
      <c r="F2231" s="108">
        <v>1</v>
      </c>
      <c r="G2231" s="108">
        <f>'LISTA DE INSUMOS'!E18</f>
        <v>245584</v>
      </c>
      <c r="H2231" s="108">
        <f>1/18</f>
        <v>5.5555555555555552E-2</v>
      </c>
      <c r="I2231" s="108">
        <f>ROUND((F2231*G2231*H2231),0)</f>
        <v>13644</v>
      </c>
      <c r="J2231" s="313"/>
      <c r="K2231" s="323"/>
    </row>
    <row r="2232" spans="2:11" s="317" customFormat="1" ht="31.5" customHeight="1" thickTop="1" x14ac:dyDescent="0.2">
      <c r="B2232" s="652" t="s">
        <v>1033</v>
      </c>
      <c r="C2232" s="108" t="str">
        <f>+'LISTA DE INSUMOS'!A758</f>
        <v>EQU002</v>
      </c>
      <c r="D2232" s="436" t="str">
        <f>+'LISTA DE INSUMOS'!B758</f>
        <v>Herramienta menor (% mano obra)</v>
      </c>
      <c r="E2232" s="108" t="str">
        <f>+'LISTA DE INSUMOS'!C758</f>
        <v>%MO</v>
      </c>
      <c r="F2232" s="108">
        <v>0.1</v>
      </c>
      <c r="G2232" s="108">
        <f>I2231</f>
        <v>13644</v>
      </c>
      <c r="H2232" s="108">
        <v>0</v>
      </c>
      <c r="I2232" s="108">
        <f>ROUND((F2232*G2232),0)</f>
        <v>1364</v>
      </c>
      <c r="J2232" s="313"/>
      <c r="K2232" s="323"/>
    </row>
    <row r="2233" spans="2:11" s="317" customFormat="1" ht="20.25" customHeight="1" thickBot="1" x14ac:dyDescent="0.25">
      <c r="B2233" s="653"/>
      <c r="C2233" s="108" t="str">
        <f>+'LISTA DE INSUMOS'!A762</f>
        <v>EQU006</v>
      </c>
      <c r="D2233" s="436" t="str">
        <f>+'LISTA DE INSUMOS'!B762</f>
        <v>Andamio (% mano obra)</v>
      </c>
      <c r="E2233" s="108" t="str">
        <f>+'LISTA DE INSUMOS'!C762</f>
        <v>%MO</v>
      </c>
      <c r="F2233" s="108">
        <v>0.05</v>
      </c>
      <c r="G2233" s="108">
        <f>I2231</f>
        <v>13644</v>
      </c>
      <c r="H2233" s="108">
        <v>0</v>
      </c>
      <c r="I2233" s="108">
        <f>ROUND((F2233*G2233),0)</f>
        <v>682</v>
      </c>
      <c r="J2233" s="313"/>
      <c r="K2233" s="323"/>
    </row>
    <row r="2234" spans="2:11" ht="24.9" customHeight="1" x14ac:dyDescent="0.2">
      <c r="B2234" s="193" t="s">
        <v>1923</v>
      </c>
      <c r="C2234" s="117"/>
      <c r="D2234" s="112" t="s">
        <v>442</v>
      </c>
      <c r="E2234" s="117" t="s">
        <v>1412</v>
      </c>
      <c r="F2234" s="149"/>
      <c r="G2234" s="119">
        <f>ROUND(SUM(I2234:I2240),0)</f>
        <v>72732</v>
      </c>
      <c r="H2234" s="120"/>
      <c r="I2234" s="119"/>
      <c r="J2234" s="47"/>
      <c r="K2234" s="143"/>
    </row>
    <row r="2235" spans="2:11" ht="24.9" customHeight="1" x14ac:dyDescent="0.2">
      <c r="B2235" s="672" t="s">
        <v>1035</v>
      </c>
      <c r="C2235" s="108" t="str">
        <f>+'LISTA DE INSUMOS'!A82</f>
        <v>MAT045</v>
      </c>
      <c r="D2235" s="139" t="str">
        <f>+'LISTA DE INSUMOS'!B82</f>
        <v>Caballete teja ondulada fibrocemento fijo l = 0,873 m</v>
      </c>
      <c r="E2235" s="108" t="str">
        <f>+'LISTA DE INSUMOS'!C82</f>
        <v>M</v>
      </c>
      <c r="F2235" s="140">
        <v>1</v>
      </c>
      <c r="G2235" s="141">
        <f>'LISTA DE INSUMOS'!E82</f>
        <v>60534.539999999994</v>
      </c>
      <c r="H2235" s="108">
        <v>0</v>
      </c>
      <c r="I2235" s="141">
        <f>ROUND((F2235*G2235),0)</f>
        <v>60535</v>
      </c>
      <c r="J2235" s="47"/>
      <c r="K2235" s="143"/>
    </row>
    <row r="2236" spans="2:11" ht="24.9" customHeight="1" x14ac:dyDescent="0.2">
      <c r="B2236" s="672"/>
      <c r="C2236" s="108" t="str">
        <f>+'LISTA DE INSUMOS'!A78</f>
        <v>MAT042</v>
      </c>
      <c r="D2236" s="139" t="str">
        <f>+'LISTA DE INSUMOS'!B78</f>
        <v>Ganchos para teja ondulada de fibrocemento</v>
      </c>
      <c r="E2236" s="108" t="str">
        <f>+'LISTA DE INSUMOS'!C78</f>
        <v>Un</v>
      </c>
      <c r="F2236" s="140">
        <v>2</v>
      </c>
      <c r="G2236" s="141">
        <f>'LISTA DE INSUMOS'!E78</f>
        <v>832.87476149999986</v>
      </c>
      <c r="H2236" s="108">
        <v>0</v>
      </c>
      <c r="I2236" s="141">
        <f>ROUND((F2236*G2236),0)</f>
        <v>1666</v>
      </c>
      <c r="J2236" s="47"/>
      <c r="K2236" s="143"/>
    </row>
    <row r="2237" spans="2:11" ht="24.9" customHeight="1" x14ac:dyDescent="0.2">
      <c r="B2237" s="672"/>
      <c r="C2237" s="108" t="str">
        <f>+'LISTA DE INSUMOS'!A80</f>
        <v>MAT043</v>
      </c>
      <c r="D2237" s="139" t="str">
        <f>+'LISTA DE INSUMOS'!B80</f>
        <v>Amarras con tapa plástica para teja</v>
      </c>
      <c r="E2237" s="108" t="str">
        <f>+'LISTA DE INSUMOS'!C80</f>
        <v>Un</v>
      </c>
      <c r="F2237" s="140">
        <v>2</v>
      </c>
      <c r="G2237" s="141">
        <f>'LISTA DE INSUMOS'!E80</f>
        <v>662.41499999999996</v>
      </c>
      <c r="H2237" s="108">
        <v>0</v>
      </c>
      <c r="I2237" s="141">
        <f>ROUND((F2237*G2237),0)</f>
        <v>1325</v>
      </c>
      <c r="J2237" s="47"/>
      <c r="K2237" s="143"/>
    </row>
    <row r="2238" spans="2:11" ht="24.9" customHeight="1" thickBot="1" x14ac:dyDescent="0.25">
      <c r="B2238" s="673"/>
      <c r="C2238" s="108" t="str">
        <f>+'LISTA DE INSUMOS'!A391</f>
        <v>MAT387</v>
      </c>
      <c r="D2238" s="139" t="str">
        <f>+'LISTA DE INSUMOS'!B391</f>
        <v>Impermeabilizante bituminoso para cubiertas</v>
      </c>
      <c r="E2238" s="108" t="str">
        <f>+'LISTA DE INSUMOS'!C391</f>
        <v>Kg</v>
      </c>
      <c r="F2238" s="140">
        <v>0.01</v>
      </c>
      <c r="G2238" s="141">
        <f>'LISTA DE INSUMOS'!E391</f>
        <v>19510.502441994297</v>
      </c>
      <c r="H2238" s="108">
        <v>1.03</v>
      </c>
      <c r="I2238" s="141">
        <f>ROUND((F2238*G2238*H2238),0)</f>
        <v>201</v>
      </c>
      <c r="J2238" s="47"/>
      <c r="K2238" s="143"/>
    </row>
    <row r="2239" spans="2:11" ht="24.9" customHeight="1" thickTop="1" thickBot="1" x14ac:dyDescent="0.25">
      <c r="B2239" s="153" t="s">
        <v>1034</v>
      </c>
      <c r="C2239" s="108" t="str">
        <f>+'LISTA DE INSUMOS'!A18</f>
        <v>MOB015</v>
      </c>
      <c r="D2239" s="139" t="str">
        <f>+'LISTA DE INSUMOS'!B18</f>
        <v>Cuadrilla E 1 Of + 1 Ay (jornal + prestaciones)</v>
      </c>
      <c r="E2239" s="108" t="str">
        <f>+'LISTA DE INSUMOS'!C18</f>
        <v>Día</v>
      </c>
      <c r="F2239" s="140">
        <v>1</v>
      </c>
      <c r="G2239" s="141">
        <f>'LISTA DE INSUMOS'!E18</f>
        <v>245584</v>
      </c>
      <c r="H2239" s="108">
        <f>1/30</f>
        <v>3.3333333333333333E-2</v>
      </c>
      <c r="I2239" s="141">
        <f>ROUND((F2239*G2239*H2239),0)</f>
        <v>8186</v>
      </c>
      <c r="J2239" s="47"/>
      <c r="K2239" s="143"/>
    </row>
    <row r="2240" spans="2:11" ht="24.9" customHeight="1" thickTop="1" thickBot="1" x14ac:dyDescent="0.25">
      <c r="B2240" s="150" t="s">
        <v>1033</v>
      </c>
      <c r="C2240" s="151" t="str">
        <f>+'LISTA DE INSUMOS'!A758</f>
        <v>EQU002</v>
      </c>
      <c r="D2240" s="146" t="str">
        <f>+'LISTA DE INSUMOS'!B758</f>
        <v>Herramienta menor (% mano obra)</v>
      </c>
      <c r="E2240" s="145" t="str">
        <f>+'LISTA DE INSUMOS'!C758</f>
        <v>%MO</v>
      </c>
      <c r="F2240" s="147">
        <v>0.1</v>
      </c>
      <c r="G2240" s="148">
        <f>I2239</f>
        <v>8186</v>
      </c>
      <c r="H2240" s="145">
        <v>0</v>
      </c>
      <c r="I2240" s="148">
        <f>ROUND((F2240*G2240),0)</f>
        <v>819</v>
      </c>
      <c r="J2240" s="47"/>
      <c r="K2240" s="143"/>
    </row>
    <row r="2241" spans="2:11" ht="24.9" customHeight="1" x14ac:dyDescent="0.2">
      <c r="B2241" s="117" t="s">
        <v>1921</v>
      </c>
      <c r="C2241" s="117"/>
      <c r="D2241" s="112" t="s">
        <v>61</v>
      </c>
      <c r="E2241" s="117" t="s">
        <v>1412</v>
      </c>
      <c r="F2241" s="149"/>
      <c r="G2241" s="119">
        <f>ROUND(SUM(I2241:I2247),0)</f>
        <v>44124</v>
      </c>
      <c r="H2241" s="120"/>
      <c r="I2241" s="119"/>
      <c r="J2241" s="47"/>
      <c r="K2241" s="143"/>
    </row>
    <row r="2242" spans="2:11" ht="24.9" customHeight="1" x14ac:dyDescent="0.2">
      <c r="B2242" s="672" t="s">
        <v>1035</v>
      </c>
      <c r="C2242" s="108" t="str">
        <f>+'LISTA DE INSUMOS'!A322</f>
        <v>MAT299</v>
      </c>
      <c r="D2242" s="139" t="str">
        <f>+'LISTA DE INSUMOS'!B322</f>
        <v>Perlín promedio (C 12- (2,0mm))</v>
      </c>
      <c r="E2242" s="108" t="str">
        <f>+'LISTA DE INSUMOS'!C322</f>
        <v>M</v>
      </c>
      <c r="F2242" s="176">
        <v>1</v>
      </c>
      <c r="G2242" s="141">
        <f>'LISTA DE INSUMOS'!E322</f>
        <v>21081.773921933996</v>
      </c>
      <c r="H2242" s="205">
        <v>0</v>
      </c>
      <c r="I2242" s="141">
        <f>ROUND((F2242*G2242),0)</f>
        <v>21082</v>
      </c>
      <c r="J2242" s="47"/>
      <c r="K2242" s="143"/>
    </row>
    <row r="2243" spans="2:11" ht="24.9" customHeight="1" x14ac:dyDescent="0.2">
      <c r="B2243" s="672"/>
      <c r="C2243" s="108" t="str">
        <f>+'LISTA DE INSUMOS'!A214</f>
        <v>MAT180</v>
      </c>
      <c r="D2243" s="139" t="str">
        <f>+'LISTA DE INSUMOS'!B214</f>
        <v>Anticorrosivo gris</v>
      </c>
      <c r="E2243" s="108" t="str">
        <f>+'LISTA DE INSUMOS'!C214</f>
        <v>Gl</v>
      </c>
      <c r="F2243" s="176">
        <f>1/50</f>
        <v>0.02</v>
      </c>
      <c r="G2243" s="141">
        <f>'LISTA DE INSUMOS'!E214</f>
        <v>65120.489999999991</v>
      </c>
      <c r="H2243" s="205">
        <v>1.03</v>
      </c>
      <c r="I2243" s="141">
        <f>ROUND((F2243*G2243*H2243),0)</f>
        <v>1341</v>
      </c>
      <c r="J2243" s="47"/>
      <c r="K2243" s="143"/>
    </row>
    <row r="2244" spans="2:11" ht="24.9" customHeight="1" thickBot="1" x14ac:dyDescent="0.25">
      <c r="B2244" s="673"/>
      <c r="C2244" s="108" t="str">
        <f>+'LISTA DE INSUMOS'!A153</f>
        <v>MAT112</v>
      </c>
      <c r="D2244" s="139" t="str">
        <f>+'LISTA DE INSUMOS'!B153</f>
        <v>Pintura esmalte para exteriores</v>
      </c>
      <c r="E2244" s="108" t="str">
        <f>+'LISTA DE INSUMOS'!C153</f>
        <v>Gl</v>
      </c>
      <c r="F2244" s="176">
        <f>1/50</f>
        <v>0.02</v>
      </c>
      <c r="G2244" s="141">
        <f>'LISTA DE INSUMOS'!E153</f>
        <v>99769.889999999985</v>
      </c>
      <c r="H2244" s="205">
        <v>1.03</v>
      </c>
      <c r="I2244" s="141">
        <f>ROUND((F2244*G2244*H2244),0)</f>
        <v>2055</v>
      </c>
      <c r="J2244" s="47"/>
      <c r="K2244" s="143"/>
    </row>
    <row r="2245" spans="2:11" ht="24.9" customHeight="1" thickTop="1" thickBot="1" x14ac:dyDescent="0.25">
      <c r="B2245" s="153" t="s">
        <v>1034</v>
      </c>
      <c r="C2245" s="108" t="str">
        <f>+'LISTA DE INSUMOS'!A9</f>
        <v>MOB006</v>
      </c>
      <c r="D2245" s="139" t="str">
        <f>+'LISTA DE INSUMOS'!B9</f>
        <v>Cuadrilla A 1 Of + 4 Ay (jornal + prestaciones)</v>
      </c>
      <c r="E2245" s="108" t="str">
        <f>+'LISTA DE INSUMOS'!C9</f>
        <v>Día</v>
      </c>
      <c r="F2245" s="176">
        <v>1</v>
      </c>
      <c r="G2245" s="141">
        <f>'LISTA DE INSUMOS'!E9</f>
        <v>491167</v>
      </c>
      <c r="H2245" s="205">
        <f>1/30</f>
        <v>3.3333333333333333E-2</v>
      </c>
      <c r="I2245" s="141">
        <f>ROUND((F2245*G2245*H2245),0)</f>
        <v>16372</v>
      </c>
      <c r="J2245" s="47"/>
      <c r="K2245" s="143"/>
    </row>
    <row r="2246" spans="2:11" ht="24.9" customHeight="1" thickTop="1" x14ac:dyDescent="0.2">
      <c r="B2246" s="647" t="s">
        <v>1033</v>
      </c>
      <c r="C2246" s="108" t="str">
        <f>+'LISTA DE INSUMOS'!A758</f>
        <v>EQU002</v>
      </c>
      <c r="D2246" s="139" t="str">
        <f>+'LISTA DE INSUMOS'!B758</f>
        <v>Herramienta menor (% mano obra)</v>
      </c>
      <c r="E2246" s="108" t="str">
        <f>+'LISTA DE INSUMOS'!C758</f>
        <v>%MO</v>
      </c>
      <c r="F2246" s="176">
        <v>0.1</v>
      </c>
      <c r="G2246" s="141">
        <f>I2245</f>
        <v>16372</v>
      </c>
      <c r="H2246" s="205">
        <v>0</v>
      </c>
      <c r="I2246" s="141">
        <f>ROUND((F2246*G2246),0)</f>
        <v>1637</v>
      </c>
      <c r="J2246" s="47"/>
      <c r="K2246" s="143"/>
    </row>
    <row r="2247" spans="2:11" ht="24.9" customHeight="1" thickBot="1" x14ac:dyDescent="0.25">
      <c r="B2247" s="704"/>
      <c r="C2247" s="145" t="str">
        <f>+'LISTA DE INSUMOS'!A762</f>
        <v>EQU006</v>
      </c>
      <c r="D2247" s="146" t="str">
        <f>+'LISTA DE INSUMOS'!B762</f>
        <v>Andamio (% mano obra)</v>
      </c>
      <c r="E2247" s="145" t="str">
        <f>+'LISTA DE INSUMOS'!C762</f>
        <v>%MO</v>
      </c>
      <c r="F2247" s="229">
        <v>0.1</v>
      </c>
      <c r="G2247" s="148">
        <f>I2245</f>
        <v>16372</v>
      </c>
      <c r="H2247" s="206">
        <v>0</v>
      </c>
      <c r="I2247" s="148">
        <f>ROUND((F2247*G2247),0)</f>
        <v>1637</v>
      </c>
      <c r="J2247" s="47"/>
      <c r="K2247" s="143"/>
    </row>
    <row r="2248" spans="2:11" ht="24.9" customHeight="1" x14ac:dyDescent="0.2">
      <c r="B2248" s="193" t="s">
        <v>1839</v>
      </c>
      <c r="C2248" s="117"/>
      <c r="D2248" s="112" t="s">
        <v>444</v>
      </c>
      <c r="E2248" s="117" t="s">
        <v>1412</v>
      </c>
      <c r="F2248" s="149"/>
      <c r="G2248" s="119">
        <f>ROUND(SUM(I2248:I2253),0)</f>
        <v>36565</v>
      </c>
      <c r="H2248" s="120"/>
      <c r="I2248" s="119"/>
      <c r="J2248" s="47"/>
      <c r="K2248" s="143"/>
    </row>
    <row r="2249" spans="2:11" ht="24.9" customHeight="1" x14ac:dyDescent="0.2">
      <c r="B2249" s="672" t="s">
        <v>1035</v>
      </c>
      <c r="C2249" s="108" t="str">
        <f>+'LISTA DE INSUMOS'!A80</f>
        <v>MAT043</v>
      </c>
      <c r="D2249" s="139" t="str">
        <f>+'LISTA DE INSUMOS'!B80</f>
        <v>Amarras con tapa plástica para teja</v>
      </c>
      <c r="E2249" s="108" t="str">
        <f>+'LISTA DE INSUMOS'!C80</f>
        <v>Un</v>
      </c>
      <c r="F2249" s="140">
        <v>2</v>
      </c>
      <c r="G2249" s="141">
        <f>'LISTA DE INSUMOS'!E80</f>
        <v>662.41499999999996</v>
      </c>
      <c r="H2249" s="108">
        <v>0</v>
      </c>
      <c r="I2249" s="141">
        <f>ROUND((F2249*G2249),0)</f>
        <v>1325</v>
      </c>
      <c r="J2249" s="47"/>
      <c r="K2249" s="143"/>
    </row>
    <row r="2250" spans="2:11" ht="24.9" customHeight="1" x14ac:dyDescent="0.2">
      <c r="B2250" s="672"/>
      <c r="C2250" s="108" t="str">
        <f>+'LISTA DE INSUMOS'!A85</f>
        <v>MAT046</v>
      </c>
      <c r="D2250" s="139" t="str">
        <f>+'LISTA DE INSUMOS'!B85</f>
        <v>Limatesa, limahoya de fibrocemento</v>
      </c>
      <c r="E2250" s="108" t="str">
        <f>+'LISTA DE INSUMOS'!C85</f>
        <v>M</v>
      </c>
      <c r="F2250" s="140">
        <v>1</v>
      </c>
      <c r="G2250" s="141">
        <f>'LISTA DE INSUMOS'!E85</f>
        <v>30878.729999999996</v>
      </c>
      <c r="H2250" s="108">
        <v>0</v>
      </c>
      <c r="I2250" s="141">
        <f>ROUND((F2250*G2250),0)</f>
        <v>30879</v>
      </c>
      <c r="J2250" s="47"/>
      <c r="K2250" s="143"/>
    </row>
    <row r="2251" spans="2:11" ht="24.9" customHeight="1" thickBot="1" x14ac:dyDescent="0.25">
      <c r="B2251" s="673"/>
      <c r="C2251" s="108" t="str">
        <f>+'LISTA DE INSUMOS'!A391</f>
        <v>MAT387</v>
      </c>
      <c r="D2251" s="139" t="str">
        <f>+'LISTA DE INSUMOS'!B391</f>
        <v>Impermeabilizante bituminoso para cubiertas</v>
      </c>
      <c r="E2251" s="108" t="str">
        <f>+'LISTA DE INSUMOS'!C391</f>
        <v>Kg</v>
      </c>
      <c r="F2251" s="140">
        <v>2.5000000000000001E-2</v>
      </c>
      <c r="G2251" s="141">
        <f>'LISTA DE INSUMOS'!E391</f>
        <v>19510.502441994297</v>
      </c>
      <c r="H2251" s="108">
        <v>1.03</v>
      </c>
      <c r="I2251" s="141">
        <f>ROUND((F2251*G2251*H2251),0)</f>
        <v>502</v>
      </c>
      <c r="J2251" s="47"/>
      <c r="K2251" s="143"/>
    </row>
    <row r="2252" spans="2:11" ht="24.9" customHeight="1" thickTop="1" thickBot="1" x14ac:dyDescent="0.25">
      <c r="B2252" s="153" t="s">
        <v>1034</v>
      </c>
      <c r="C2252" s="108" t="str">
        <f>+'LISTA DE INSUMOS'!A18</f>
        <v>MOB015</v>
      </c>
      <c r="D2252" s="139" t="str">
        <f>+'LISTA DE INSUMOS'!B18</f>
        <v>Cuadrilla E 1 Of + 1 Ay (jornal + prestaciones)</v>
      </c>
      <c r="E2252" s="108" t="str">
        <f>+'LISTA DE INSUMOS'!C18</f>
        <v>Día</v>
      </c>
      <c r="F2252" s="140">
        <v>1</v>
      </c>
      <c r="G2252" s="141">
        <f>'LISTA DE INSUMOS'!E18</f>
        <v>245584</v>
      </c>
      <c r="H2252" s="142">
        <f>1/70</f>
        <v>1.4285714285714285E-2</v>
      </c>
      <c r="I2252" s="141">
        <f>ROUND((F2252*G2252*H2252),0)</f>
        <v>3508</v>
      </c>
      <c r="J2252" s="47"/>
      <c r="K2252" s="143"/>
    </row>
    <row r="2253" spans="2:11" ht="24.9" customHeight="1" thickTop="1" thickBot="1" x14ac:dyDescent="0.25">
      <c r="B2253" s="242" t="s">
        <v>1033</v>
      </c>
      <c r="C2253" s="145" t="str">
        <f>+'LISTA DE INSUMOS'!A758</f>
        <v>EQU002</v>
      </c>
      <c r="D2253" s="146" t="str">
        <f>+'LISTA DE INSUMOS'!B758</f>
        <v>Herramienta menor (% mano obra)</v>
      </c>
      <c r="E2253" s="145" t="str">
        <f>+'LISTA DE INSUMOS'!C758</f>
        <v>%MO</v>
      </c>
      <c r="F2253" s="147">
        <v>0.1</v>
      </c>
      <c r="G2253" s="148">
        <f>I2252</f>
        <v>3508</v>
      </c>
      <c r="H2253" s="145">
        <v>0</v>
      </c>
      <c r="I2253" s="148">
        <f>ROUND((F2253*G2253),0)</f>
        <v>351</v>
      </c>
      <c r="J2253" s="47"/>
      <c r="K2253" s="143"/>
    </row>
    <row r="2254" spans="2:11" s="317" customFormat="1" ht="24.9" hidden="1" customHeight="1" x14ac:dyDescent="0.2">
      <c r="B2254" s="319" t="s">
        <v>2323</v>
      </c>
      <c r="C2254" s="319"/>
      <c r="D2254" s="320" t="s">
        <v>1504</v>
      </c>
      <c r="E2254" s="319" t="s">
        <v>2585</v>
      </c>
      <c r="F2254" s="332"/>
      <c r="G2254" s="312">
        <f>ROUND(SUM(I2254:I2264),0)</f>
        <v>149855</v>
      </c>
      <c r="H2254" s="322"/>
      <c r="I2254" s="312"/>
      <c r="J2254" s="313"/>
      <c r="K2254" s="323"/>
    </row>
    <row r="2255" spans="2:11" s="317" customFormat="1" ht="24.9" hidden="1" customHeight="1" x14ac:dyDescent="0.2">
      <c r="B2255" s="691" t="s">
        <v>1035</v>
      </c>
      <c r="C2255" s="322" t="str">
        <f>+'LISTA DE INSUMOS'!A49</f>
        <v>MAT018</v>
      </c>
      <c r="D2255" s="324" t="str">
        <f>+'LISTA DE INSUMOS'!B49</f>
        <v>Cuartón de sajo 2" x 4" x 2,9 m</v>
      </c>
      <c r="E2255" s="322" t="str">
        <f>+'LISTA DE INSUMOS'!C49</f>
        <v>M</v>
      </c>
      <c r="F2255" s="325">
        <v>0.6</v>
      </c>
      <c r="G2255" s="312">
        <f>'LISTA DE INSUMOS'!E49</f>
        <v>11944.810644542158</v>
      </c>
      <c r="H2255" s="322">
        <v>1.05</v>
      </c>
      <c r="I2255" s="312">
        <f>ROUND((F2255*G2255*H2255),0)</f>
        <v>7525</v>
      </c>
      <c r="J2255" s="313"/>
      <c r="K2255" s="323"/>
    </row>
    <row r="2256" spans="2:11" s="317" customFormat="1" ht="24.9" hidden="1" customHeight="1" x14ac:dyDescent="0.2">
      <c r="B2256" s="691"/>
      <c r="C2256" s="322" t="str">
        <f>+'LISTA DE INSUMOS'!A52</f>
        <v>MAT021</v>
      </c>
      <c r="D2256" s="324" t="str">
        <f>+'LISTA DE INSUMOS'!B52</f>
        <v>Puntilla (promedio)</v>
      </c>
      <c r="E2256" s="322" t="str">
        <f>+'LISTA DE INSUMOS'!C52</f>
        <v>Lb</v>
      </c>
      <c r="F2256" s="325">
        <v>0.3</v>
      </c>
      <c r="G2256" s="312">
        <f>'LISTA DE INSUMOS'!E52</f>
        <v>6690.6972299999998</v>
      </c>
      <c r="H2256" s="322">
        <v>0</v>
      </c>
      <c r="I2256" s="312">
        <f>ROUND((F2256*G2256),0)</f>
        <v>2007</v>
      </c>
      <c r="J2256" s="313"/>
      <c r="K2256" s="323"/>
    </row>
    <row r="2257" spans="2:11" s="317" customFormat="1" ht="24.9" hidden="1" customHeight="1" x14ac:dyDescent="0.2">
      <c r="B2257" s="691"/>
      <c r="C2257" s="322" t="str">
        <f>+'LISTA DE INSUMOS'!A73</f>
        <v>MAT040</v>
      </c>
      <c r="D2257" s="324" t="str">
        <f>+'LISTA DE INSUMOS'!B73</f>
        <v>Barniz intemperie brillante</v>
      </c>
      <c r="E2257" s="322" t="str">
        <f>+'LISTA DE INSUMOS'!C73</f>
        <v>Gl</v>
      </c>
      <c r="F2257" s="325">
        <v>0.1</v>
      </c>
      <c r="G2257" s="312">
        <f>'LISTA DE INSUMOS'!E73</f>
        <v>69711.851420999985</v>
      </c>
      <c r="H2257" s="322">
        <v>1.03</v>
      </c>
      <c r="I2257" s="312">
        <f t="shared" ref="I2257:I2262" si="24">ROUND((F2257*G2257*H2257),0)</f>
        <v>7180</v>
      </c>
      <c r="J2257" s="313"/>
      <c r="K2257" s="323"/>
    </row>
    <row r="2258" spans="2:11" s="317" customFormat="1" ht="24.9" hidden="1" customHeight="1" x14ac:dyDescent="0.2">
      <c r="B2258" s="691"/>
      <c r="C2258" s="322" t="str">
        <f>+'LISTA DE INSUMOS'!A96</f>
        <v>MAT054</v>
      </c>
      <c r="D2258" s="339" t="str">
        <f>+'LISTA DE INSUMOS'!B96</f>
        <v>Tablilla machihembrada para cielo raso pino ciprés</v>
      </c>
      <c r="E2258" s="322" t="str">
        <f>+'LISTA DE INSUMOS'!C96</f>
        <v>M2</v>
      </c>
      <c r="F2258" s="325">
        <v>1</v>
      </c>
      <c r="G2258" s="312">
        <f>'LISTA DE INSUMOS'!E96</f>
        <v>21910.649999999998</v>
      </c>
      <c r="H2258" s="322">
        <v>1.05</v>
      </c>
      <c r="I2258" s="312">
        <f t="shared" si="24"/>
        <v>23006</v>
      </c>
      <c r="J2258" s="313"/>
      <c r="K2258" s="323"/>
    </row>
    <row r="2259" spans="2:11" s="317" customFormat="1" ht="24.9" hidden="1" customHeight="1" x14ac:dyDescent="0.2">
      <c r="B2259" s="691"/>
      <c r="C2259" s="322" t="str">
        <f>+'LISTA DE INSUMOS'!A97</f>
        <v>MAT055</v>
      </c>
      <c r="D2259" s="324" t="str">
        <f>+'LISTA DE INSUMOS'!B97</f>
        <v>Varilla esqueleto fina</v>
      </c>
      <c r="E2259" s="322" t="str">
        <f>+'LISTA DE INSUMOS'!C97</f>
        <v>M</v>
      </c>
      <c r="F2259" s="325">
        <v>8</v>
      </c>
      <c r="G2259" s="312">
        <f>'LISTA DE INSUMOS'!E97</f>
        <v>3668.7599999999998</v>
      </c>
      <c r="H2259" s="322">
        <v>1.05</v>
      </c>
      <c r="I2259" s="312">
        <f t="shared" si="24"/>
        <v>30818</v>
      </c>
      <c r="J2259" s="313"/>
      <c r="K2259" s="323"/>
    </row>
    <row r="2260" spans="2:11" s="317" customFormat="1" ht="24.9" hidden="1" customHeight="1" x14ac:dyDescent="0.2">
      <c r="B2260" s="691"/>
      <c r="C2260" s="322" t="str">
        <f>+'LISTA DE INSUMOS'!A317</f>
        <v>MAT293</v>
      </c>
      <c r="D2260" s="324" t="str">
        <f>+'LISTA DE INSUMOS'!B317</f>
        <v>Guarda luz (varilla)</v>
      </c>
      <c r="E2260" s="322" t="str">
        <f>+'LISTA DE INSUMOS'!C317</f>
        <v>M</v>
      </c>
      <c r="F2260" s="325">
        <v>0.9</v>
      </c>
      <c r="G2260" s="312">
        <f>'LISTA DE INSUMOS'!E317</f>
        <v>2310.1337469025198</v>
      </c>
      <c r="H2260" s="322">
        <v>1.05</v>
      </c>
      <c r="I2260" s="312">
        <f t="shared" si="24"/>
        <v>2183</v>
      </c>
      <c r="J2260" s="313"/>
      <c r="K2260" s="323"/>
    </row>
    <row r="2261" spans="2:11" s="317" customFormat="1" ht="24.9" hidden="1" customHeight="1" thickBot="1" x14ac:dyDescent="0.25">
      <c r="B2261" s="692"/>
      <c r="C2261" s="322" t="str">
        <f>+'LISTA DE INSUMOS'!A271</f>
        <v>MAT241</v>
      </c>
      <c r="D2261" s="324" t="str">
        <f>+'LISTA DE INSUMOS'!B271</f>
        <v>Imprimante referencia 3501 o similar</v>
      </c>
      <c r="E2261" s="322" t="str">
        <f>+'LISTA DE INSUMOS'!C271</f>
        <v>Gl</v>
      </c>
      <c r="F2261" s="325">
        <v>0.2</v>
      </c>
      <c r="G2261" s="312">
        <f>'LISTA DE INSUMOS'!E271</f>
        <v>195620.36761516586</v>
      </c>
      <c r="H2261" s="322">
        <v>1.03</v>
      </c>
      <c r="I2261" s="312">
        <f t="shared" si="24"/>
        <v>40298</v>
      </c>
      <c r="J2261" s="313"/>
      <c r="K2261" s="323"/>
    </row>
    <row r="2262" spans="2:11" s="317" customFormat="1" ht="24.9" hidden="1" customHeight="1" thickTop="1" thickBot="1" x14ac:dyDescent="0.25">
      <c r="B2262" s="363" t="s">
        <v>1034</v>
      </c>
      <c r="C2262" s="322" t="str">
        <f>+'LISTA DE INSUMOS'!A18</f>
        <v>MOB015</v>
      </c>
      <c r="D2262" s="324" t="str">
        <f>+'LISTA DE INSUMOS'!B18</f>
        <v>Cuadrilla E 1 Of + 1 Ay (jornal + prestaciones)</v>
      </c>
      <c r="E2262" s="322" t="str">
        <f>+'LISTA DE INSUMOS'!C18</f>
        <v>Día</v>
      </c>
      <c r="F2262" s="325">
        <v>1</v>
      </c>
      <c r="G2262" s="312">
        <f>'LISTA DE INSUMOS'!E18</f>
        <v>245584</v>
      </c>
      <c r="H2262" s="322">
        <f>1/8</f>
        <v>0.125</v>
      </c>
      <c r="I2262" s="312">
        <f t="shared" si="24"/>
        <v>30698</v>
      </c>
      <c r="J2262" s="313"/>
      <c r="K2262" s="323"/>
    </row>
    <row r="2263" spans="2:11" s="317" customFormat="1" ht="24.9" hidden="1" customHeight="1" thickTop="1" x14ac:dyDescent="0.2">
      <c r="B2263" s="652" t="s">
        <v>1033</v>
      </c>
      <c r="C2263" s="322" t="str">
        <f>+'LISTA DE INSUMOS'!A758</f>
        <v>EQU002</v>
      </c>
      <c r="D2263" s="324" t="str">
        <f>+'LISTA DE INSUMOS'!B758</f>
        <v>Herramienta menor (% mano obra)</v>
      </c>
      <c r="E2263" s="322" t="str">
        <f>+'LISTA DE INSUMOS'!C758</f>
        <v>%MO</v>
      </c>
      <c r="F2263" s="325">
        <v>0.1</v>
      </c>
      <c r="G2263" s="312">
        <f>I2262</f>
        <v>30698</v>
      </c>
      <c r="H2263" s="322">
        <v>0</v>
      </c>
      <c r="I2263" s="312">
        <f>ROUND((F2263*G2263),0)</f>
        <v>3070</v>
      </c>
      <c r="J2263" s="313"/>
      <c r="K2263" s="323"/>
    </row>
    <row r="2264" spans="2:11" s="317" customFormat="1" ht="24.9" hidden="1" customHeight="1" thickBot="1" x14ac:dyDescent="0.25">
      <c r="B2264" s="653"/>
      <c r="C2264" s="329" t="str">
        <f>+'LISTA DE INSUMOS'!A762</f>
        <v>EQU006</v>
      </c>
      <c r="D2264" s="328" t="str">
        <f>+'LISTA DE INSUMOS'!B762</f>
        <v>Andamio (% mano obra)</v>
      </c>
      <c r="E2264" s="329" t="str">
        <f>+'LISTA DE INSUMOS'!C762</f>
        <v>%MO</v>
      </c>
      <c r="F2264" s="330">
        <v>0.1</v>
      </c>
      <c r="G2264" s="331">
        <f>I2262</f>
        <v>30698</v>
      </c>
      <c r="H2264" s="329">
        <v>0</v>
      </c>
      <c r="I2264" s="331">
        <f>ROUND((F2264*G2264),0)</f>
        <v>3070</v>
      </c>
      <c r="J2264" s="313"/>
      <c r="K2264" s="323"/>
    </row>
    <row r="2265" spans="2:11" ht="24.9" customHeight="1" x14ac:dyDescent="0.2">
      <c r="B2265" s="193" t="s">
        <v>1617</v>
      </c>
      <c r="C2265" s="117"/>
      <c r="D2265" s="112" t="s">
        <v>77</v>
      </c>
      <c r="E2265" s="117" t="s">
        <v>2585</v>
      </c>
      <c r="F2265" s="118"/>
      <c r="G2265" s="119">
        <f>ROUND(SUM(I2265:I2275),0)</f>
        <v>47194</v>
      </c>
      <c r="H2265" s="120"/>
      <c r="I2265" s="119"/>
      <c r="J2265" s="47"/>
      <c r="K2265" s="143"/>
    </row>
    <row r="2266" spans="2:11" ht="24.9" customHeight="1" x14ac:dyDescent="0.2">
      <c r="B2266" s="672" t="s">
        <v>1035</v>
      </c>
      <c r="C2266" s="125" t="str">
        <f>+'LISTA DE INSUMOS'!A659</f>
        <v>MAT675</v>
      </c>
      <c r="D2266" s="155" t="str">
        <f>+'LISTA DE INSUMOS'!B659</f>
        <v>Perfil T-20 Cenizo Cepillado 2.5 Metros</v>
      </c>
      <c r="E2266" s="125" t="str">
        <f>+'LISTA DE INSUMOS'!C659</f>
        <v>Un</v>
      </c>
      <c r="F2266" s="160">
        <v>0.45</v>
      </c>
      <c r="G2266" s="141">
        <f>'LISTA DE INSUMOS'!E659</f>
        <v>29353.032536519997</v>
      </c>
      <c r="H2266" s="108">
        <v>1.03</v>
      </c>
      <c r="I2266" s="141">
        <f>ROUND((F2266*G2266*H2266),0)</f>
        <v>13605</v>
      </c>
      <c r="J2266" s="47"/>
      <c r="K2266" s="143"/>
    </row>
    <row r="2267" spans="2:11" ht="24.9" customHeight="1" x14ac:dyDescent="0.2">
      <c r="B2267" s="672"/>
      <c r="C2267" s="125" t="str">
        <f>+'LISTA DE INSUMOS'!A658</f>
        <v>MAT674</v>
      </c>
      <c r="D2267" s="155" t="str">
        <f>+'LISTA DE INSUMOS'!B658</f>
        <v xml:space="preserve">Perfil aluminio natural Tipo U :2,5 </v>
      </c>
      <c r="E2267" s="160" t="str">
        <f>+'LISTA DE INSUMOS'!C658</f>
        <v>m</v>
      </c>
      <c r="F2267" s="160">
        <v>0.22</v>
      </c>
      <c r="G2267" s="190">
        <f>'LISTA DE INSUMOS'!E658</f>
        <v>21170.727859049999</v>
      </c>
      <c r="H2267" s="108">
        <v>1.03</v>
      </c>
      <c r="I2267" s="141">
        <f>ROUND((F2267*G2267*H2267),0)</f>
        <v>4797</v>
      </c>
      <c r="J2267" s="47"/>
      <c r="K2267" s="143"/>
    </row>
    <row r="2268" spans="2:11" ht="24.9" customHeight="1" x14ac:dyDescent="0.2">
      <c r="B2268" s="672"/>
      <c r="C2268" s="125" t="str">
        <f>+'LISTA DE INSUMOS'!A662</f>
        <v>MAT678</v>
      </c>
      <c r="D2268" s="155" t="str">
        <f>+'LISTA DE INSUMOS'!B662</f>
        <v>Lámina de icopor 1,2 * 0,6 m</v>
      </c>
      <c r="E2268" s="125" t="str">
        <f>+'LISTA DE INSUMOS'!C662</f>
        <v>Un</v>
      </c>
      <c r="F2268" s="160">
        <v>1.4</v>
      </c>
      <c r="G2268" s="141">
        <f>'LISTA DE INSUMOS'!E662</f>
        <v>4448.4697921949992</v>
      </c>
      <c r="H2268" s="108">
        <v>1.03</v>
      </c>
      <c r="I2268" s="141">
        <f>ROUND((F2268*G2268*H2268),0)</f>
        <v>6415</v>
      </c>
      <c r="J2268" s="47"/>
      <c r="K2268" s="143"/>
    </row>
    <row r="2269" spans="2:11" ht="24.9" customHeight="1" x14ac:dyDescent="0.2">
      <c r="B2269" s="672"/>
      <c r="C2269" s="108" t="str">
        <f>+'LISTA DE INSUMOS'!A52</f>
        <v>MAT021</v>
      </c>
      <c r="D2269" s="139" t="str">
        <f>+'LISTA DE INSUMOS'!B52</f>
        <v>Puntilla (promedio)</v>
      </c>
      <c r="E2269" s="108" t="str">
        <f>+'LISTA DE INSUMOS'!C52</f>
        <v>Lb</v>
      </c>
      <c r="F2269" s="140">
        <v>0.08</v>
      </c>
      <c r="G2269" s="141">
        <f>'LISTA DE INSUMOS'!E52</f>
        <v>6690.6972299999998</v>
      </c>
      <c r="H2269" s="108">
        <v>0</v>
      </c>
      <c r="I2269" s="141">
        <f>ROUND((F2269*G2269),0)</f>
        <v>535</v>
      </c>
      <c r="J2269" s="47"/>
      <c r="K2269" s="143"/>
    </row>
    <row r="2270" spans="2:11" ht="24.9" customHeight="1" x14ac:dyDescent="0.2">
      <c r="B2270" s="672"/>
      <c r="C2270" s="108" t="str">
        <f>+'LISTA DE INSUMOS'!A665</f>
        <v>MAT681</v>
      </c>
      <c r="D2270" s="139" t="str">
        <f>+'LISTA DE INSUMOS'!B665</f>
        <v>Remache de aluminio</v>
      </c>
      <c r="E2270" s="108" t="str">
        <f>+'LISTA DE INSUMOS'!C665</f>
        <v>Un</v>
      </c>
      <c r="F2270" s="160">
        <v>8</v>
      </c>
      <c r="G2270" s="141">
        <f>'LISTA DE INSUMOS'!E665</f>
        <v>223.25494833179997</v>
      </c>
      <c r="H2270" s="108">
        <v>0</v>
      </c>
      <c r="I2270" s="141">
        <f>ROUND((F2270*G2270),0)</f>
        <v>1786</v>
      </c>
      <c r="J2270" s="47"/>
      <c r="K2270" s="143"/>
    </row>
    <row r="2271" spans="2:11" ht="24.9" customHeight="1" x14ac:dyDescent="0.2">
      <c r="B2271" s="672"/>
      <c r="C2271" s="108" t="str">
        <f>+'LISTA DE INSUMOS'!A190</f>
        <v>MAT148</v>
      </c>
      <c r="D2271" s="139" t="str">
        <f>+'LISTA DE INSUMOS'!B190</f>
        <v xml:space="preserve">Alambre galvanizado C 12 </v>
      </c>
      <c r="E2271" s="108" t="str">
        <f>+'LISTA DE INSUMOS'!C190</f>
        <v>Kg</v>
      </c>
      <c r="F2271" s="160">
        <v>0.02</v>
      </c>
      <c r="G2271" s="141">
        <f>'LISTA DE INSUMOS'!E190</f>
        <v>10174.934703779998</v>
      </c>
      <c r="H2271" s="108">
        <v>1.03</v>
      </c>
      <c r="I2271" s="141">
        <f>ROUND((F2271*G2271*H2271),0)</f>
        <v>210</v>
      </c>
      <c r="J2271" s="47"/>
      <c r="K2271" s="143"/>
    </row>
    <row r="2272" spans="2:11" ht="24.9" customHeight="1" thickBot="1" x14ac:dyDescent="0.25">
      <c r="B2272" s="673"/>
      <c r="C2272" s="108" t="str">
        <f>+'LISTA DE INSUMOS'!A155</f>
        <v>MAT113</v>
      </c>
      <c r="D2272" s="139" t="str">
        <f>+'LISTA DE INSUMOS'!B155</f>
        <v xml:space="preserve">Pintura vinilo </v>
      </c>
      <c r="E2272" s="108" t="str">
        <f>+'LISTA DE INSUMOS'!C155</f>
        <v>Gl</v>
      </c>
      <c r="F2272" s="160">
        <v>0.06</v>
      </c>
      <c r="G2272" s="141">
        <f>'LISTA DE INSUMOS'!E155</f>
        <v>82704.194264999984</v>
      </c>
      <c r="H2272" s="108">
        <v>1.03</v>
      </c>
      <c r="I2272" s="141">
        <f>ROUND((F2272*G2272*H2272),0)</f>
        <v>5111</v>
      </c>
      <c r="J2272" s="47"/>
      <c r="K2272" s="143"/>
    </row>
    <row r="2273" spans="2:11" ht="24.9" customHeight="1" thickTop="1" thickBot="1" x14ac:dyDescent="0.25">
      <c r="B2273" s="153" t="s">
        <v>1034</v>
      </c>
      <c r="C2273" s="108" t="str">
        <f>+'LISTA DE INSUMOS'!A18</f>
        <v>MOB015</v>
      </c>
      <c r="D2273" s="139" t="str">
        <f>+'LISTA DE INSUMOS'!B18</f>
        <v>Cuadrilla E 1 Of + 1 Ay (jornal + prestaciones)</v>
      </c>
      <c r="E2273" s="108" t="str">
        <f>+'LISTA DE INSUMOS'!C18</f>
        <v>Día</v>
      </c>
      <c r="F2273" s="140">
        <v>1</v>
      </c>
      <c r="G2273" s="141">
        <f>'LISTA DE INSUMOS'!E18</f>
        <v>245584</v>
      </c>
      <c r="H2273" s="108">
        <f>1/20</f>
        <v>0.05</v>
      </c>
      <c r="I2273" s="141">
        <f>ROUND((F2273*G2273*H2273),0)</f>
        <v>12279</v>
      </c>
      <c r="J2273" s="47"/>
      <c r="K2273" s="143"/>
    </row>
    <row r="2274" spans="2:11" ht="24.9" customHeight="1" thickTop="1" x14ac:dyDescent="0.2">
      <c r="B2274" s="647" t="s">
        <v>1033</v>
      </c>
      <c r="C2274" s="108" t="str">
        <f>+'LISTA DE INSUMOS'!A758</f>
        <v>EQU002</v>
      </c>
      <c r="D2274" s="139" t="str">
        <f>+'LISTA DE INSUMOS'!B758</f>
        <v>Herramienta menor (% mano obra)</v>
      </c>
      <c r="E2274" s="108" t="str">
        <f>+'LISTA DE INSUMOS'!C758</f>
        <v>%MO</v>
      </c>
      <c r="F2274" s="140">
        <v>0.1</v>
      </c>
      <c r="G2274" s="141">
        <f>I2273</f>
        <v>12279</v>
      </c>
      <c r="H2274" s="108">
        <v>0</v>
      </c>
      <c r="I2274" s="141">
        <f>ROUND((F2274*G2274),0)</f>
        <v>1228</v>
      </c>
      <c r="J2274" s="47"/>
      <c r="K2274" s="143"/>
    </row>
    <row r="2275" spans="2:11" ht="24.9" customHeight="1" thickBot="1" x14ac:dyDescent="0.25">
      <c r="B2275" s="704"/>
      <c r="C2275" s="145" t="str">
        <f>+'LISTA DE INSUMOS'!A762</f>
        <v>EQU006</v>
      </c>
      <c r="D2275" s="146" t="str">
        <f>+'LISTA DE INSUMOS'!B762</f>
        <v>Andamio (% mano obra)</v>
      </c>
      <c r="E2275" s="145" t="str">
        <f>+'LISTA DE INSUMOS'!C762</f>
        <v>%MO</v>
      </c>
      <c r="F2275" s="147">
        <v>0.1</v>
      </c>
      <c r="G2275" s="148">
        <f>I2273</f>
        <v>12279</v>
      </c>
      <c r="H2275" s="145">
        <v>0</v>
      </c>
      <c r="I2275" s="148">
        <f>ROUND((F2275*G2275),0)</f>
        <v>1228</v>
      </c>
      <c r="J2275" s="47"/>
      <c r="K2275" s="143"/>
    </row>
    <row r="2276" spans="2:11" ht="24.9" customHeight="1" x14ac:dyDescent="0.2">
      <c r="B2276" s="117" t="s">
        <v>1620</v>
      </c>
      <c r="C2276" s="117"/>
      <c r="D2276" s="112" t="s">
        <v>80</v>
      </c>
      <c r="E2276" s="117" t="s">
        <v>2585</v>
      </c>
      <c r="F2276" s="118"/>
      <c r="G2276" s="119">
        <f>ROUND(SUM(I2276:I2286),0)</f>
        <v>43763</v>
      </c>
      <c r="H2276" s="120"/>
      <c r="I2276" s="119"/>
      <c r="J2276" s="47"/>
      <c r="K2276" s="143"/>
    </row>
    <row r="2277" spans="2:11" ht="24.9" customHeight="1" x14ac:dyDescent="0.2">
      <c r="B2277" s="672" t="s">
        <v>1035</v>
      </c>
      <c r="C2277" s="125" t="str">
        <f>+'LISTA DE INSUMOS'!A661</f>
        <v>MAT677</v>
      </c>
      <c r="D2277" s="155" t="str">
        <f>+'LISTA DE INSUMOS'!B661</f>
        <v>Perfil aluminio anoloc T L = 6 m</v>
      </c>
      <c r="E2277" s="125" t="str">
        <f>+'LISTA DE INSUMOS'!C661</f>
        <v>Un</v>
      </c>
      <c r="F2277" s="160">
        <v>0.45</v>
      </c>
      <c r="G2277" s="141">
        <f>'LISTA DE INSUMOS'!E661</f>
        <v>21260.543068148996</v>
      </c>
      <c r="H2277" s="108">
        <v>1.03</v>
      </c>
      <c r="I2277" s="141">
        <f>ROUND((F2277*G2277*H2277),0)</f>
        <v>9854</v>
      </c>
      <c r="J2277" s="47"/>
      <c r="K2277" s="143"/>
    </row>
    <row r="2278" spans="2:11" ht="30" customHeight="1" x14ac:dyDescent="0.2">
      <c r="B2278" s="672"/>
      <c r="C2278" s="125" t="str">
        <f>+'LISTA DE INSUMOS'!A660</f>
        <v>MAT676</v>
      </c>
      <c r="D2278" s="155" t="str">
        <f>+'LISTA DE INSUMOS'!B660</f>
        <v>Perfil alumino anoloc ángulo L = 6 m</v>
      </c>
      <c r="E2278" s="160" t="str">
        <f>+'LISTA DE INSUMOS'!C660</f>
        <v>Un</v>
      </c>
      <c r="F2278" s="160">
        <v>0.22</v>
      </c>
      <c r="G2278" s="141">
        <f>'LISTA DE INSUMOS'!E660</f>
        <v>22582.109716319992</v>
      </c>
      <c r="H2278" s="108">
        <v>1.03</v>
      </c>
      <c r="I2278" s="141">
        <f>ROUND((F2278*G2278*H2278),0)</f>
        <v>5117</v>
      </c>
      <c r="J2278" s="47"/>
      <c r="K2278" s="143"/>
    </row>
    <row r="2279" spans="2:11" ht="30" customHeight="1" x14ac:dyDescent="0.2">
      <c r="B2279" s="672"/>
      <c r="C2279" s="125" t="str">
        <f>+'LISTA DE INSUMOS'!A662</f>
        <v>MAT678</v>
      </c>
      <c r="D2279" s="155" t="str">
        <f>+'LISTA DE INSUMOS'!B662</f>
        <v>Lámina de icopor 1,2 * 0,6 m</v>
      </c>
      <c r="E2279" s="125" t="str">
        <f>+'LISTA DE INSUMOS'!C662</f>
        <v>Un</v>
      </c>
      <c r="F2279" s="160">
        <v>1.4</v>
      </c>
      <c r="G2279" s="141">
        <f>'LISTA DE INSUMOS'!E662</f>
        <v>4448.4697921949992</v>
      </c>
      <c r="H2279" s="108">
        <v>1.03</v>
      </c>
      <c r="I2279" s="141">
        <f>ROUND((F2279*G2279*H2279),0)</f>
        <v>6415</v>
      </c>
      <c r="J2279" s="47"/>
      <c r="K2279" s="143"/>
    </row>
    <row r="2280" spans="2:11" ht="30" customHeight="1" x14ac:dyDescent="0.2">
      <c r="B2280" s="672"/>
      <c r="C2280" s="108" t="str">
        <f>+'LISTA DE INSUMOS'!A52</f>
        <v>MAT021</v>
      </c>
      <c r="D2280" s="139" t="str">
        <f>+'LISTA DE INSUMOS'!B52</f>
        <v>Puntilla (promedio)</v>
      </c>
      <c r="E2280" s="108" t="str">
        <f>+'LISTA DE INSUMOS'!C52</f>
        <v>Lb</v>
      </c>
      <c r="F2280" s="140">
        <v>0.08</v>
      </c>
      <c r="G2280" s="141">
        <f>+'LISTA DE INSUMOS'!E52</f>
        <v>6690.6972299999998</v>
      </c>
      <c r="H2280" s="108">
        <v>0</v>
      </c>
      <c r="I2280" s="141">
        <f>ROUND((F2280*G2280),0)</f>
        <v>535</v>
      </c>
      <c r="J2280" s="47"/>
      <c r="K2280" s="143"/>
    </row>
    <row r="2281" spans="2:11" ht="24.9" customHeight="1" x14ac:dyDescent="0.2">
      <c r="B2281" s="672"/>
      <c r="C2281" s="108" t="str">
        <f>+'LISTA DE INSUMOS'!A665</f>
        <v>MAT681</v>
      </c>
      <c r="D2281" s="139" t="str">
        <f>+'LISTA DE INSUMOS'!B665</f>
        <v>Remache de aluminio</v>
      </c>
      <c r="E2281" s="108" t="str">
        <f>+'LISTA DE INSUMOS'!C665</f>
        <v>Un</v>
      </c>
      <c r="F2281" s="160">
        <v>8</v>
      </c>
      <c r="G2281" s="141">
        <f>+'LISTA DE INSUMOS'!E665</f>
        <v>223.25494833179997</v>
      </c>
      <c r="H2281" s="108">
        <v>0</v>
      </c>
      <c r="I2281" s="141">
        <f>ROUND((F2281*G2281),0)</f>
        <v>1786</v>
      </c>
      <c r="J2281" s="47"/>
      <c r="K2281" s="143"/>
    </row>
    <row r="2282" spans="2:11" ht="24.9" customHeight="1" x14ac:dyDescent="0.2">
      <c r="B2282" s="672"/>
      <c r="C2282" s="108" t="str">
        <f>+'LISTA DE INSUMOS'!A190</f>
        <v>MAT148</v>
      </c>
      <c r="D2282" s="139" t="str">
        <f>+'LISTA DE INSUMOS'!B190</f>
        <v xml:space="preserve">Alambre galvanizado C 12 </v>
      </c>
      <c r="E2282" s="108" t="str">
        <f>+'LISTA DE INSUMOS'!C190</f>
        <v>Kg</v>
      </c>
      <c r="F2282" s="160">
        <v>0.02</v>
      </c>
      <c r="G2282" s="141">
        <f>+'LISTA DE INSUMOS'!E190</f>
        <v>10174.934703779998</v>
      </c>
      <c r="H2282" s="108">
        <v>1.03</v>
      </c>
      <c r="I2282" s="141">
        <f>ROUND((F2282*G2282*H2282),0)</f>
        <v>210</v>
      </c>
      <c r="J2282" s="47"/>
      <c r="K2282" s="143"/>
    </row>
    <row r="2283" spans="2:11" ht="24.9" customHeight="1" thickBot="1" x14ac:dyDescent="0.25">
      <c r="B2283" s="673"/>
      <c r="C2283" s="161" t="str">
        <f>+'LISTA DE INSUMOS'!A155</f>
        <v>MAT113</v>
      </c>
      <c r="D2283" s="162" t="str">
        <f>+'LISTA DE INSUMOS'!B155</f>
        <v xml:space="preserve">Pintura vinilo </v>
      </c>
      <c r="E2283" s="161" t="str">
        <f>+'LISTA DE INSUMOS'!C155</f>
        <v>Gl</v>
      </c>
      <c r="F2283" s="163">
        <v>0.06</v>
      </c>
      <c r="G2283" s="164">
        <f>'LISTA DE INSUMOS'!E155</f>
        <v>82704.194264999984</v>
      </c>
      <c r="H2283" s="161">
        <v>1.03</v>
      </c>
      <c r="I2283" s="164">
        <f>ROUND((F2283*G2283*H2283),0)</f>
        <v>5111</v>
      </c>
      <c r="J2283" s="51"/>
      <c r="K2283" s="143"/>
    </row>
    <row r="2284" spans="2:11" ht="20.25" customHeight="1" thickTop="1" thickBot="1" x14ac:dyDescent="0.25">
      <c r="B2284" s="153" t="s">
        <v>1034</v>
      </c>
      <c r="C2284" s="108" t="str">
        <f>+'LISTA DE INSUMOS'!A18</f>
        <v>MOB015</v>
      </c>
      <c r="D2284" s="139" t="str">
        <f>+'LISTA DE INSUMOS'!B18</f>
        <v>Cuadrilla E 1 Of + 1 Ay (jornal + prestaciones)</v>
      </c>
      <c r="E2284" s="108" t="str">
        <f>+'LISTA DE INSUMOS'!C18</f>
        <v>Día</v>
      </c>
      <c r="F2284" s="140">
        <v>1</v>
      </c>
      <c r="G2284" s="141">
        <f>+'LISTA DE INSUMOS'!E18</f>
        <v>245584</v>
      </c>
      <c r="H2284" s="108">
        <f>1/20</f>
        <v>0.05</v>
      </c>
      <c r="I2284" s="141">
        <f>ROUND((F2284*G2284*H2284),0)</f>
        <v>12279</v>
      </c>
      <c r="J2284" s="47"/>
      <c r="K2284" s="143"/>
    </row>
    <row r="2285" spans="2:11" ht="27" customHeight="1" thickTop="1" x14ac:dyDescent="0.2">
      <c r="B2285" s="647" t="s">
        <v>1033</v>
      </c>
      <c r="C2285" s="108" t="str">
        <f>+'LISTA DE INSUMOS'!A758</f>
        <v>EQU002</v>
      </c>
      <c r="D2285" s="139" t="str">
        <f>+'LISTA DE INSUMOS'!B758</f>
        <v>Herramienta menor (% mano obra)</v>
      </c>
      <c r="E2285" s="108" t="str">
        <f>+'LISTA DE INSUMOS'!C758</f>
        <v>%MO</v>
      </c>
      <c r="F2285" s="140">
        <v>0.1</v>
      </c>
      <c r="G2285" s="141">
        <f>I2284</f>
        <v>12279</v>
      </c>
      <c r="H2285" s="108">
        <v>0</v>
      </c>
      <c r="I2285" s="141">
        <f>ROUND((F2285*G2285),0)</f>
        <v>1228</v>
      </c>
      <c r="J2285" s="47"/>
      <c r="K2285" s="143"/>
    </row>
    <row r="2286" spans="2:11" ht="22.5" customHeight="1" thickBot="1" x14ac:dyDescent="0.25">
      <c r="B2286" s="704"/>
      <c r="C2286" s="145" t="str">
        <f>+'LISTA DE INSUMOS'!A762</f>
        <v>EQU006</v>
      </c>
      <c r="D2286" s="146" t="str">
        <f>+'LISTA DE INSUMOS'!B762</f>
        <v>Andamio (% mano obra)</v>
      </c>
      <c r="E2286" s="145" t="str">
        <f>+'LISTA DE INSUMOS'!C762</f>
        <v>%MO</v>
      </c>
      <c r="F2286" s="147">
        <v>0.1</v>
      </c>
      <c r="G2286" s="148">
        <f>I2284</f>
        <v>12279</v>
      </c>
      <c r="H2286" s="145">
        <v>0</v>
      </c>
      <c r="I2286" s="148">
        <f>ROUND((F2286*G2286),0)</f>
        <v>1228</v>
      </c>
      <c r="J2286" s="47"/>
      <c r="K2286" s="143"/>
    </row>
    <row r="2287" spans="2:11" ht="30" customHeight="1" x14ac:dyDescent="0.2">
      <c r="B2287" s="193" t="s">
        <v>1761</v>
      </c>
      <c r="C2287" s="117"/>
      <c r="D2287" s="112" t="s">
        <v>1499</v>
      </c>
      <c r="E2287" s="117" t="s">
        <v>2585</v>
      </c>
      <c r="F2287" s="118"/>
      <c r="G2287" s="119">
        <f>ROUND(SUM(I2287:I2297),0)</f>
        <v>45001</v>
      </c>
      <c r="H2287" s="120"/>
      <c r="I2287" s="119"/>
      <c r="J2287" s="47"/>
      <c r="K2287" s="143"/>
    </row>
    <row r="2288" spans="2:11" ht="24.9" customHeight="1" x14ac:dyDescent="0.2">
      <c r="B2288" s="672" t="s">
        <v>1035</v>
      </c>
      <c r="C2288" s="125" t="str">
        <f>+'LISTA DE INSUMOS'!A659</f>
        <v>MAT675</v>
      </c>
      <c r="D2288" s="155" t="str">
        <f>+'LISTA DE INSUMOS'!B659</f>
        <v>Perfil T-20 Cenizo Cepillado 2.5 Metros</v>
      </c>
      <c r="E2288" s="125" t="str">
        <f>+'LISTA DE INSUMOS'!C659</f>
        <v>Un</v>
      </c>
      <c r="F2288" s="160">
        <v>0.45</v>
      </c>
      <c r="G2288" s="141">
        <f>'LISTA DE INSUMOS'!E659</f>
        <v>29353.032536519997</v>
      </c>
      <c r="H2288" s="108">
        <v>1.03</v>
      </c>
      <c r="I2288" s="141">
        <f>ROUND((F2288*G2288*H2288),0)</f>
        <v>13605</v>
      </c>
      <c r="J2288" s="47"/>
      <c r="K2288" s="143"/>
    </row>
    <row r="2289" spans="2:11" ht="24.9" customHeight="1" x14ac:dyDescent="0.2">
      <c r="B2289" s="672"/>
      <c r="C2289" s="125" t="str">
        <f>+'LISTA DE INSUMOS'!A658</f>
        <v>MAT674</v>
      </c>
      <c r="D2289" s="155" t="str">
        <f>+'LISTA DE INSUMOS'!B658</f>
        <v xml:space="preserve">Perfil aluminio natural Tipo U :2,5 </v>
      </c>
      <c r="E2289" s="160" t="str">
        <f>+'LISTA DE INSUMOS'!C658</f>
        <v>m</v>
      </c>
      <c r="F2289" s="160">
        <v>0.22</v>
      </c>
      <c r="G2289" s="190">
        <f>'LISTA DE INSUMOS'!E658</f>
        <v>21170.727859049999</v>
      </c>
      <c r="H2289" s="108">
        <v>1.03</v>
      </c>
      <c r="I2289" s="141">
        <f>ROUND((F2289*G2289*H2289),0)</f>
        <v>4797</v>
      </c>
      <c r="J2289" s="47"/>
      <c r="K2289" s="143"/>
    </row>
    <row r="2290" spans="2:11" ht="24.9" customHeight="1" x14ac:dyDescent="0.2">
      <c r="B2290" s="672"/>
      <c r="C2290" s="125" t="str">
        <f>+'LISTA DE INSUMOS'!A663</f>
        <v>MAT679</v>
      </c>
      <c r="D2290" s="155" t="str">
        <f>+'LISTA DE INSUMOS'!B663</f>
        <v xml:space="preserve">Lámina de icopor 1*1 10mm </v>
      </c>
      <c r="E2290" s="125" t="str">
        <f>+'LISTA DE INSUMOS'!C663</f>
        <v>Un</v>
      </c>
      <c r="F2290" s="160">
        <v>1.4</v>
      </c>
      <c r="G2290" s="141">
        <f>'LISTA DE INSUMOS'!E663</f>
        <v>2927.8088623660797</v>
      </c>
      <c r="H2290" s="108">
        <v>1.03</v>
      </c>
      <c r="I2290" s="141">
        <f>ROUND((F2290*G2290*H2290),0)</f>
        <v>4222</v>
      </c>
      <c r="J2290" s="47"/>
      <c r="K2290" s="143"/>
    </row>
    <row r="2291" spans="2:11" ht="30" customHeight="1" x14ac:dyDescent="0.2">
      <c r="B2291" s="672"/>
      <c r="C2291" s="108" t="str">
        <f>+'LISTA DE INSUMOS'!A52</f>
        <v>MAT021</v>
      </c>
      <c r="D2291" s="139" t="str">
        <f>+'LISTA DE INSUMOS'!B52</f>
        <v>Puntilla (promedio)</v>
      </c>
      <c r="E2291" s="108" t="str">
        <f>+'LISTA DE INSUMOS'!C52</f>
        <v>Lb</v>
      </c>
      <c r="F2291" s="140">
        <v>0.08</v>
      </c>
      <c r="G2291" s="141">
        <f>'LISTA DE INSUMOS'!E52</f>
        <v>6690.6972299999998</v>
      </c>
      <c r="H2291" s="108">
        <v>0</v>
      </c>
      <c r="I2291" s="141">
        <f>ROUND((F2291*G2291),0)</f>
        <v>535</v>
      </c>
      <c r="J2291" s="47"/>
      <c r="K2291" s="143"/>
    </row>
    <row r="2292" spans="2:11" ht="30" customHeight="1" x14ac:dyDescent="0.2">
      <c r="B2292" s="672"/>
      <c r="C2292" s="108" t="str">
        <f>+'LISTA DE INSUMOS'!A665</f>
        <v>MAT681</v>
      </c>
      <c r="D2292" s="139" t="str">
        <f>+'LISTA DE INSUMOS'!B665</f>
        <v>Remache de aluminio</v>
      </c>
      <c r="E2292" s="108" t="str">
        <f>+'LISTA DE INSUMOS'!C665</f>
        <v>Un</v>
      </c>
      <c r="F2292" s="160">
        <v>8</v>
      </c>
      <c r="G2292" s="141">
        <f>'LISTA DE INSUMOS'!E665</f>
        <v>223.25494833179997</v>
      </c>
      <c r="H2292" s="108">
        <v>0</v>
      </c>
      <c r="I2292" s="141">
        <f>ROUND((F2292*G2292),0)</f>
        <v>1786</v>
      </c>
      <c r="J2292" s="47"/>
      <c r="K2292" s="143"/>
    </row>
    <row r="2293" spans="2:11" ht="30" customHeight="1" x14ac:dyDescent="0.2">
      <c r="B2293" s="672"/>
      <c r="C2293" s="108" t="str">
        <f>+'LISTA DE INSUMOS'!A190</f>
        <v>MAT148</v>
      </c>
      <c r="D2293" s="139" t="str">
        <f>+'LISTA DE INSUMOS'!B190</f>
        <v xml:space="preserve">Alambre galvanizado C 12 </v>
      </c>
      <c r="E2293" s="108" t="str">
        <f>+'LISTA DE INSUMOS'!C190</f>
        <v>Kg</v>
      </c>
      <c r="F2293" s="160">
        <v>0.02</v>
      </c>
      <c r="G2293" s="141">
        <f>'LISTA DE INSUMOS'!E190</f>
        <v>10174.934703779998</v>
      </c>
      <c r="H2293" s="108">
        <v>1.03</v>
      </c>
      <c r="I2293" s="141">
        <f>ROUND((F2293*G2293*H2293),0)</f>
        <v>210</v>
      </c>
      <c r="J2293" s="47"/>
      <c r="K2293" s="143"/>
    </row>
    <row r="2294" spans="2:11" ht="24.9" customHeight="1" thickBot="1" x14ac:dyDescent="0.25">
      <c r="B2294" s="673"/>
      <c r="C2294" s="161" t="str">
        <f>+'LISTA DE INSUMOS'!A155</f>
        <v>MAT113</v>
      </c>
      <c r="D2294" s="162" t="str">
        <f>+'LISTA DE INSUMOS'!B155</f>
        <v xml:space="preserve">Pintura vinilo </v>
      </c>
      <c r="E2294" s="161" t="str">
        <f>+'LISTA DE INSUMOS'!C155</f>
        <v>Gl</v>
      </c>
      <c r="F2294" s="163">
        <v>0.06</v>
      </c>
      <c r="G2294" s="164">
        <f>+'LISTA DE INSUMOS'!E155</f>
        <v>82704.194264999984</v>
      </c>
      <c r="H2294" s="161">
        <v>1.03</v>
      </c>
      <c r="I2294" s="164">
        <f>ROUND((F2294*G2294*H2294),0)</f>
        <v>5111</v>
      </c>
      <c r="J2294" s="51"/>
      <c r="K2294" s="143"/>
    </row>
    <row r="2295" spans="2:11" ht="24.9" customHeight="1" thickTop="1" thickBot="1" x14ac:dyDescent="0.25">
      <c r="B2295" s="153" t="s">
        <v>1034</v>
      </c>
      <c r="C2295" s="108" t="str">
        <f>+'LISTA DE INSUMOS'!A18</f>
        <v>MOB015</v>
      </c>
      <c r="D2295" s="139" t="str">
        <f>+'LISTA DE INSUMOS'!B18</f>
        <v>Cuadrilla E 1 Of + 1 Ay (jornal + prestaciones)</v>
      </c>
      <c r="E2295" s="108" t="str">
        <f>+'LISTA DE INSUMOS'!C18</f>
        <v>Día</v>
      </c>
      <c r="F2295" s="140">
        <v>1</v>
      </c>
      <c r="G2295" s="141">
        <f>'LISTA DE INSUMOS'!E18</f>
        <v>245584</v>
      </c>
      <c r="H2295" s="108">
        <f>1/20</f>
        <v>0.05</v>
      </c>
      <c r="I2295" s="141">
        <f>ROUND((F2295*G2295*H2295),0)</f>
        <v>12279</v>
      </c>
      <c r="J2295" s="47"/>
      <c r="K2295" s="143"/>
    </row>
    <row r="2296" spans="2:11" ht="24.9" customHeight="1" thickTop="1" x14ac:dyDescent="0.2">
      <c r="B2296" s="647" t="s">
        <v>1033</v>
      </c>
      <c r="C2296" s="108" t="str">
        <f>+'LISTA DE INSUMOS'!A758</f>
        <v>EQU002</v>
      </c>
      <c r="D2296" s="139" t="str">
        <f>+'LISTA DE INSUMOS'!B758</f>
        <v>Herramienta menor (% mano obra)</v>
      </c>
      <c r="E2296" s="108" t="str">
        <f>+'LISTA DE INSUMOS'!C758</f>
        <v>%MO</v>
      </c>
      <c r="F2296" s="140">
        <v>0.1</v>
      </c>
      <c r="G2296" s="141">
        <f>I2295</f>
        <v>12279</v>
      </c>
      <c r="H2296" s="108">
        <v>0</v>
      </c>
      <c r="I2296" s="141">
        <f>ROUND((F2296*G2296),0)</f>
        <v>1228</v>
      </c>
      <c r="J2296" s="47"/>
      <c r="K2296" s="143"/>
    </row>
    <row r="2297" spans="2:11" ht="24.9" customHeight="1" thickBot="1" x14ac:dyDescent="0.25">
      <c r="B2297" s="704"/>
      <c r="C2297" s="145" t="str">
        <f>+'LISTA DE INSUMOS'!A762</f>
        <v>EQU006</v>
      </c>
      <c r="D2297" s="146" t="str">
        <f>+'LISTA DE INSUMOS'!B762</f>
        <v>Andamio (% mano obra)</v>
      </c>
      <c r="E2297" s="145" t="str">
        <f>+'LISTA DE INSUMOS'!C762</f>
        <v>%MO</v>
      </c>
      <c r="F2297" s="147">
        <v>0.1</v>
      </c>
      <c r="G2297" s="148">
        <f>I2295</f>
        <v>12279</v>
      </c>
      <c r="H2297" s="145">
        <v>0</v>
      </c>
      <c r="I2297" s="148">
        <f>ROUND((F2297*G2297),0)</f>
        <v>1228</v>
      </c>
      <c r="J2297" s="47"/>
      <c r="K2297" s="143"/>
    </row>
    <row r="2298" spans="2:11" ht="24.9" customHeight="1" x14ac:dyDescent="0.2">
      <c r="B2298" s="193" t="s">
        <v>1823</v>
      </c>
      <c r="C2298" s="117"/>
      <c r="D2298" s="112" t="s">
        <v>1498</v>
      </c>
      <c r="E2298" s="117" t="s">
        <v>2585</v>
      </c>
      <c r="F2298" s="118"/>
      <c r="G2298" s="119">
        <f>ROUND(SUM(I2298:I2308),0)</f>
        <v>41271</v>
      </c>
      <c r="H2298" s="120"/>
      <c r="I2298" s="119"/>
      <c r="J2298" s="47"/>
      <c r="K2298" s="143"/>
    </row>
    <row r="2299" spans="2:11" ht="24.9" customHeight="1" x14ac:dyDescent="0.2">
      <c r="B2299" s="672" t="s">
        <v>1035</v>
      </c>
      <c r="C2299" s="125" t="str">
        <f>+'LISTA DE INSUMOS'!A661</f>
        <v>MAT677</v>
      </c>
      <c r="D2299" s="155" t="str">
        <f>+'LISTA DE INSUMOS'!B661</f>
        <v>Perfil aluminio anoloc T L = 6 m</v>
      </c>
      <c r="E2299" s="125" t="str">
        <f>+'LISTA DE INSUMOS'!C661</f>
        <v>Un</v>
      </c>
      <c r="F2299" s="160">
        <v>0.45</v>
      </c>
      <c r="G2299" s="141">
        <f>+'LISTA DE INSUMOS'!E661</f>
        <v>21260.543068148996</v>
      </c>
      <c r="H2299" s="108">
        <v>1.03</v>
      </c>
      <c r="I2299" s="141">
        <f>ROUND((F2299*G2299*H2299),0)</f>
        <v>9854</v>
      </c>
      <c r="J2299" s="47"/>
      <c r="K2299" s="143"/>
    </row>
    <row r="2300" spans="2:11" ht="24.9" customHeight="1" x14ac:dyDescent="0.2">
      <c r="B2300" s="672"/>
      <c r="C2300" s="125" t="str">
        <f>+'LISTA DE INSUMOS'!A660</f>
        <v>MAT676</v>
      </c>
      <c r="D2300" s="155" t="str">
        <f>+'LISTA DE INSUMOS'!B660</f>
        <v>Perfil alumino anoloc ángulo L = 6 m</v>
      </c>
      <c r="E2300" s="160" t="str">
        <f>+'LISTA DE INSUMOS'!C660</f>
        <v>Un</v>
      </c>
      <c r="F2300" s="160">
        <v>0.22</v>
      </c>
      <c r="G2300" s="141">
        <f>+'LISTA DE INSUMOS'!E661</f>
        <v>21260.543068148996</v>
      </c>
      <c r="H2300" s="108">
        <v>1.03</v>
      </c>
      <c r="I2300" s="141">
        <f>ROUND((F2300*G2300*H2300),0)</f>
        <v>4818</v>
      </c>
      <c r="J2300" s="47"/>
      <c r="K2300" s="143"/>
    </row>
    <row r="2301" spans="2:11" ht="24.9" customHeight="1" x14ac:dyDescent="0.2">
      <c r="B2301" s="672"/>
      <c r="C2301" s="125" t="str">
        <f>+'LISTA DE INSUMOS'!A663</f>
        <v>MAT679</v>
      </c>
      <c r="D2301" s="155" t="str">
        <f>+'LISTA DE INSUMOS'!B663</f>
        <v xml:space="preserve">Lámina de icopor 1*1 10mm </v>
      </c>
      <c r="E2301" s="125" t="str">
        <f>+'LISTA DE INSUMOS'!C663</f>
        <v>Un</v>
      </c>
      <c r="F2301" s="160">
        <v>1.4</v>
      </c>
      <c r="G2301" s="141">
        <f>+'LISTA DE INSUMOS'!E663</f>
        <v>2927.8088623660797</v>
      </c>
      <c r="H2301" s="108">
        <v>1.03</v>
      </c>
      <c r="I2301" s="141">
        <f>ROUND((F2301*G2301*H2301),0)</f>
        <v>4222</v>
      </c>
      <c r="J2301" s="47"/>
      <c r="K2301" s="143"/>
    </row>
    <row r="2302" spans="2:11" ht="24.9" customHeight="1" x14ac:dyDescent="0.2">
      <c r="B2302" s="672"/>
      <c r="C2302" s="108" t="str">
        <f>+'LISTA DE INSUMOS'!A52</f>
        <v>MAT021</v>
      </c>
      <c r="D2302" s="139" t="str">
        <f>+'LISTA DE INSUMOS'!B52</f>
        <v>Puntilla (promedio)</v>
      </c>
      <c r="E2302" s="108" t="str">
        <f>+'LISTA DE INSUMOS'!C52</f>
        <v>Lb</v>
      </c>
      <c r="F2302" s="140">
        <v>0.08</v>
      </c>
      <c r="G2302" s="141">
        <f>+'LISTA DE INSUMOS'!E52</f>
        <v>6690.6972299999998</v>
      </c>
      <c r="H2302" s="108">
        <v>0</v>
      </c>
      <c r="I2302" s="141">
        <f>ROUND((F2302*G2302),0)</f>
        <v>535</v>
      </c>
      <c r="J2302" s="47"/>
      <c r="K2302" s="143"/>
    </row>
    <row r="2303" spans="2:11" ht="24.9" customHeight="1" x14ac:dyDescent="0.2">
      <c r="B2303" s="672"/>
      <c r="C2303" s="108" t="str">
        <f>+'LISTA DE INSUMOS'!A665</f>
        <v>MAT681</v>
      </c>
      <c r="D2303" s="139" t="str">
        <f>+'LISTA DE INSUMOS'!B665</f>
        <v>Remache de aluminio</v>
      </c>
      <c r="E2303" s="108" t="str">
        <f>+'LISTA DE INSUMOS'!C665</f>
        <v>Un</v>
      </c>
      <c r="F2303" s="160">
        <v>8</v>
      </c>
      <c r="G2303" s="141">
        <f>+'LISTA DE INSUMOS'!E665</f>
        <v>223.25494833179997</v>
      </c>
      <c r="H2303" s="108">
        <v>0</v>
      </c>
      <c r="I2303" s="141">
        <f>ROUND((F2303*G2303),0)</f>
        <v>1786</v>
      </c>
      <c r="J2303" s="47"/>
      <c r="K2303" s="143"/>
    </row>
    <row r="2304" spans="2:11" ht="24.9" customHeight="1" x14ac:dyDescent="0.2">
      <c r="B2304" s="672"/>
      <c r="C2304" s="108" t="str">
        <f>+'LISTA DE INSUMOS'!A190</f>
        <v>MAT148</v>
      </c>
      <c r="D2304" s="139" t="str">
        <f>+'LISTA DE INSUMOS'!B190</f>
        <v xml:space="preserve">Alambre galvanizado C 12 </v>
      </c>
      <c r="E2304" s="108" t="str">
        <f>+'LISTA DE INSUMOS'!C190</f>
        <v>Kg</v>
      </c>
      <c r="F2304" s="160">
        <v>0.02</v>
      </c>
      <c r="G2304" s="141">
        <f>+'LISTA DE INSUMOS'!E190</f>
        <v>10174.934703779998</v>
      </c>
      <c r="H2304" s="108">
        <v>1.03</v>
      </c>
      <c r="I2304" s="141">
        <f>ROUND((F2304*G2304*H2304),0)</f>
        <v>210</v>
      </c>
      <c r="J2304" s="47"/>
      <c r="K2304" s="143"/>
    </row>
    <row r="2305" spans="2:11" ht="24.9" customHeight="1" thickBot="1" x14ac:dyDescent="0.25">
      <c r="B2305" s="673"/>
      <c r="C2305" s="161" t="str">
        <f>+'LISTA DE INSUMOS'!A155</f>
        <v>MAT113</v>
      </c>
      <c r="D2305" s="162" t="str">
        <f>+'LISTA DE INSUMOS'!B155</f>
        <v xml:space="preserve">Pintura vinilo </v>
      </c>
      <c r="E2305" s="161" t="str">
        <f>+'LISTA DE INSUMOS'!C155</f>
        <v>Gl</v>
      </c>
      <c r="F2305" s="163">
        <v>0.06</v>
      </c>
      <c r="G2305" s="164">
        <f>+'LISTA DE INSUMOS'!E155</f>
        <v>82704.194264999984</v>
      </c>
      <c r="H2305" s="161">
        <v>1.03</v>
      </c>
      <c r="I2305" s="164">
        <f>ROUND((F2305*G2305*H2305),0)</f>
        <v>5111</v>
      </c>
      <c r="J2305" s="51"/>
      <c r="K2305" s="143"/>
    </row>
    <row r="2306" spans="2:11" ht="24.9" customHeight="1" thickTop="1" thickBot="1" x14ac:dyDescent="0.25">
      <c r="B2306" s="153" t="s">
        <v>1034</v>
      </c>
      <c r="C2306" s="108" t="str">
        <f>+'LISTA DE INSUMOS'!A18</f>
        <v>MOB015</v>
      </c>
      <c r="D2306" s="139" t="str">
        <f>+'LISTA DE INSUMOS'!B18</f>
        <v>Cuadrilla E 1 Of + 1 Ay (jornal + prestaciones)</v>
      </c>
      <c r="E2306" s="108" t="str">
        <f>+'LISTA DE INSUMOS'!C18</f>
        <v>Día</v>
      </c>
      <c r="F2306" s="140">
        <v>1</v>
      </c>
      <c r="G2306" s="141">
        <f>+'LISTA DE INSUMOS'!E18</f>
        <v>245584</v>
      </c>
      <c r="H2306" s="108">
        <f>1/20</f>
        <v>0.05</v>
      </c>
      <c r="I2306" s="141">
        <f>ROUND((F2306*G2306*H2306),0)</f>
        <v>12279</v>
      </c>
      <c r="J2306" s="47"/>
      <c r="K2306" s="143"/>
    </row>
    <row r="2307" spans="2:11" ht="24.9" customHeight="1" thickTop="1" x14ac:dyDescent="0.2">
      <c r="B2307" s="647" t="s">
        <v>1033</v>
      </c>
      <c r="C2307" s="108" t="str">
        <f>+'LISTA DE INSUMOS'!A758</f>
        <v>EQU002</v>
      </c>
      <c r="D2307" s="139" t="str">
        <f>+'LISTA DE INSUMOS'!B758</f>
        <v>Herramienta menor (% mano obra)</v>
      </c>
      <c r="E2307" s="108" t="str">
        <f>+'LISTA DE INSUMOS'!C758</f>
        <v>%MO</v>
      </c>
      <c r="F2307" s="140">
        <v>0.1</v>
      </c>
      <c r="G2307" s="141">
        <f>I2306</f>
        <v>12279</v>
      </c>
      <c r="H2307" s="108">
        <v>0</v>
      </c>
      <c r="I2307" s="141">
        <f>ROUND((F2307*G2307),0)</f>
        <v>1228</v>
      </c>
      <c r="J2307" s="47"/>
      <c r="K2307" s="143"/>
    </row>
    <row r="2308" spans="2:11" ht="24.9" customHeight="1" thickBot="1" x14ac:dyDescent="0.25">
      <c r="B2308" s="704"/>
      <c r="C2308" s="145" t="str">
        <f>+'LISTA DE INSUMOS'!A762</f>
        <v>EQU006</v>
      </c>
      <c r="D2308" s="146" t="str">
        <f>+'LISTA DE INSUMOS'!B762</f>
        <v>Andamio (% mano obra)</v>
      </c>
      <c r="E2308" s="145" t="str">
        <f>+'LISTA DE INSUMOS'!C762</f>
        <v>%MO</v>
      </c>
      <c r="F2308" s="147">
        <v>0.1</v>
      </c>
      <c r="G2308" s="148">
        <f>I2306</f>
        <v>12279</v>
      </c>
      <c r="H2308" s="145">
        <v>0</v>
      </c>
      <c r="I2308" s="148">
        <f>ROUND((F2308*G2308),0)</f>
        <v>1228</v>
      </c>
      <c r="J2308" s="47"/>
      <c r="K2308" s="143"/>
    </row>
    <row r="2309" spans="2:11" ht="24.9" customHeight="1" x14ac:dyDescent="0.2">
      <c r="B2309" s="193" t="s">
        <v>1830</v>
      </c>
      <c r="C2309" s="117"/>
      <c r="D2309" s="112" t="s">
        <v>1501</v>
      </c>
      <c r="E2309" s="117" t="s">
        <v>2585</v>
      </c>
      <c r="F2309" s="118"/>
      <c r="G2309" s="119">
        <f>ROUND(SUM(I2309:I2319),0)</f>
        <v>46903</v>
      </c>
      <c r="H2309" s="120"/>
      <c r="I2309" s="119"/>
      <c r="J2309" s="47"/>
      <c r="K2309" s="143"/>
    </row>
    <row r="2310" spans="2:11" ht="24.9" customHeight="1" x14ac:dyDescent="0.2">
      <c r="B2310" s="672" t="s">
        <v>1035</v>
      </c>
      <c r="C2310" s="125" t="str">
        <f>+'LISTA DE INSUMOS'!A659</f>
        <v>MAT675</v>
      </c>
      <c r="D2310" s="155" t="str">
        <f>+'LISTA DE INSUMOS'!B659</f>
        <v>Perfil T-20 Cenizo Cepillado 2.5 Metros</v>
      </c>
      <c r="E2310" s="125" t="str">
        <f>+'LISTA DE INSUMOS'!C659</f>
        <v>Un</v>
      </c>
      <c r="F2310" s="160">
        <v>0.45</v>
      </c>
      <c r="G2310" s="141">
        <f>+'LISTA DE INSUMOS'!E659</f>
        <v>29353.032536519997</v>
      </c>
      <c r="H2310" s="108">
        <v>1.03</v>
      </c>
      <c r="I2310" s="141">
        <f>ROUND((F2310*G2310*H2310),0)</f>
        <v>13605</v>
      </c>
      <c r="J2310" s="47"/>
      <c r="K2310" s="143"/>
    </row>
    <row r="2311" spans="2:11" ht="24.9" customHeight="1" x14ac:dyDescent="0.2">
      <c r="B2311" s="672"/>
      <c r="C2311" s="125" t="str">
        <f>+'LISTA DE INSUMOS'!A658</f>
        <v>MAT674</v>
      </c>
      <c r="D2311" s="155" t="str">
        <f>+'LISTA DE INSUMOS'!B658</f>
        <v xml:space="preserve">Perfil aluminio natural Tipo U :2,5 </v>
      </c>
      <c r="E2311" s="160" t="str">
        <f>+'LISTA DE INSUMOS'!C658</f>
        <v>m</v>
      </c>
      <c r="F2311" s="160">
        <v>0.22</v>
      </c>
      <c r="G2311" s="190">
        <f>+'LISTA DE INSUMOS'!E658</f>
        <v>21170.727859049999</v>
      </c>
      <c r="H2311" s="108">
        <v>1.03</v>
      </c>
      <c r="I2311" s="141">
        <f>ROUND((F2311*G2311*H2311),0)</f>
        <v>4797</v>
      </c>
      <c r="J2311" s="47"/>
      <c r="K2311" s="143"/>
    </row>
    <row r="2312" spans="2:11" ht="24.9" customHeight="1" x14ac:dyDescent="0.2">
      <c r="B2312" s="672"/>
      <c r="C2312" s="125" t="str">
        <f>+'LISTA DE INSUMOS'!A664</f>
        <v>MAT680</v>
      </c>
      <c r="D2312" s="155" t="str">
        <f>+'LISTA DE INSUMOS'!B664</f>
        <v>Lámina de icopor perlita sintética 1,2 * 0,6 m</v>
      </c>
      <c r="E2312" s="125" t="str">
        <f>+'LISTA DE INSUMOS'!C664</f>
        <v>Un</v>
      </c>
      <c r="F2312" s="160">
        <v>1.4</v>
      </c>
      <c r="G2312" s="141">
        <f>'LISTA DE INSUMOS'!E664</f>
        <v>4246.8217286879999</v>
      </c>
      <c r="H2312" s="108">
        <v>1.03</v>
      </c>
      <c r="I2312" s="141">
        <f>ROUND((F2312*G2312*H2312),0)</f>
        <v>6124</v>
      </c>
      <c r="J2312" s="47"/>
      <c r="K2312" s="143"/>
    </row>
    <row r="2313" spans="2:11" ht="24.9" customHeight="1" x14ac:dyDescent="0.2">
      <c r="B2313" s="672"/>
      <c r="C2313" s="108" t="str">
        <f>+'LISTA DE INSUMOS'!A52</f>
        <v>MAT021</v>
      </c>
      <c r="D2313" s="139" t="str">
        <f>+'LISTA DE INSUMOS'!B52</f>
        <v>Puntilla (promedio)</v>
      </c>
      <c r="E2313" s="108" t="str">
        <f>+'LISTA DE INSUMOS'!C52</f>
        <v>Lb</v>
      </c>
      <c r="F2313" s="140">
        <v>0.08</v>
      </c>
      <c r="G2313" s="141">
        <f>+'LISTA DE INSUMOS'!E52</f>
        <v>6690.6972299999998</v>
      </c>
      <c r="H2313" s="108">
        <v>0</v>
      </c>
      <c r="I2313" s="141">
        <f>ROUND((F2313*G2313),0)</f>
        <v>535</v>
      </c>
      <c r="J2313" s="47"/>
      <c r="K2313" s="143"/>
    </row>
    <row r="2314" spans="2:11" ht="24.9" customHeight="1" x14ac:dyDescent="0.2">
      <c r="B2314" s="672"/>
      <c r="C2314" s="108" t="str">
        <f>+'LISTA DE INSUMOS'!A665</f>
        <v>MAT681</v>
      </c>
      <c r="D2314" s="139" t="str">
        <f>+'LISTA DE INSUMOS'!B665</f>
        <v>Remache de aluminio</v>
      </c>
      <c r="E2314" s="108" t="str">
        <f>+'LISTA DE INSUMOS'!C665</f>
        <v>Un</v>
      </c>
      <c r="F2314" s="160">
        <v>8</v>
      </c>
      <c r="G2314" s="141">
        <f>+'LISTA DE INSUMOS'!E665</f>
        <v>223.25494833179997</v>
      </c>
      <c r="H2314" s="108">
        <v>0</v>
      </c>
      <c r="I2314" s="141">
        <f>ROUND((F2314*G2314),0)</f>
        <v>1786</v>
      </c>
      <c r="J2314" s="47"/>
      <c r="K2314" s="143"/>
    </row>
    <row r="2315" spans="2:11" ht="24.9" customHeight="1" x14ac:dyDescent="0.2">
      <c r="B2315" s="672"/>
      <c r="C2315" s="108" t="str">
        <f>+'LISTA DE INSUMOS'!A190</f>
        <v>MAT148</v>
      </c>
      <c r="D2315" s="139" t="str">
        <f>+'LISTA DE INSUMOS'!B190</f>
        <v xml:space="preserve">Alambre galvanizado C 12 </v>
      </c>
      <c r="E2315" s="108" t="str">
        <f>+'LISTA DE INSUMOS'!C190</f>
        <v>Kg</v>
      </c>
      <c r="F2315" s="160">
        <v>0.02</v>
      </c>
      <c r="G2315" s="141">
        <f>+'LISTA DE INSUMOS'!E190</f>
        <v>10174.934703779998</v>
      </c>
      <c r="H2315" s="108">
        <v>1.03</v>
      </c>
      <c r="I2315" s="141">
        <f>ROUND((F2315*G2315*H2315),0)</f>
        <v>210</v>
      </c>
      <c r="J2315" s="47"/>
      <c r="K2315" s="143"/>
    </row>
    <row r="2316" spans="2:11" ht="24.9" customHeight="1" thickBot="1" x14ac:dyDescent="0.25">
      <c r="B2316" s="673"/>
      <c r="C2316" s="161" t="str">
        <f>+'LISTA DE INSUMOS'!A155</f>
        <v>MAT113</v>
      </c>
      <c r="D2316" s="162" t="str">
        <f>+'LISTA DE INSUMOS'!B155</f>
        <v xml:space="preserve">Pintura vinilo </v>
      </c>
      <c r="E2316" s="161" t="str">
        <f>+'LISTA DE INSUMOS'!C155</f>
        <v>Gl</v>
      </c>
      <c r="F2316" s="163">
        <v>0.06</v>
      </c>
      <c r="G2316" s="164">
        <f>+'LISTA DE INSUMOS'!E155</f>
        <v>82704.194264999984</v>
      </c>
      <c r="H2316" s="161">
        <v>1.03</v>
      </c>
      <c r="I2316" s="164">
        <f>ROUND((F2316*G2316*H2316),0)</f>
        <v>5111</v>
      </c>
      <c r="J2316" s="51"/>
      <c r="K2316" s="143"/>
    </row>
    <row r="2317" spans="2:11" ht="24.9" customHeight="1" thickTop="1" thickBot="1" x14ac:dyDescent="0.25">
      <c r="B2317" s="153" t="s">
        <v>1034</v>
      </c>
      <c r="C2317" s="108" t="str">
        <f>+'LISTA DE INSUMOS'!A18</f>
        <v>MOB015</v>
      </c>
      <c r="D2317" s="139" t="str">
        <f>+'LISTA DE INSUMOS'!B18</f>
        <v>Cuadrilla E 1 Of + 1 Ay (jornal + prestaciones)</v>
      </c>
      <c r="E2317" s="108" t="str">
        <f>+'LISTA DE INSUMOS'!C18</f>
        <v>Día</v>
      </c>
      <c r="F2317" s="140">
        <v>1</v>
      </c>
      <c r="G2317" s="141">
        <f>+'LISTA DE INSUMOS'!E18</f>
        <v>245584</v>
      </c>
      <c r="H2317" s="108">
        <f>1/20</f>
        <v>0.05</v>
      </c>
      <c r="I2317" s="141">
        <f>ROUND((F2317*G2317*H2317),0)</f>
        <v>12279</v>
      </c>
      <c r="J2317" s="47"/>
      <c r="K2317" s="143"/>
    </row>
    <row r="2318" spans="2:11" ht="24.9" customHeight="1" thickTop="1" x14ac:dyDescent="0.2">
      <c r="B2318" s="647" t="s">
        <v>1033</v>
      </c>
      <c r="C2318" s="108" t="str">
        <f>+'LISTA DE INSUMOS'!A758</f>
        <v>EQU002</v>
      </c>
      <c r="D2318" s="139" t="str">
        <f>+'LISTA DE INSUMOS'!B758</f>
        <v>Herramienta menor (% mano obra)</v>
      </c>
      <c r="E2318" s="108" t="str">
        <f>+'LISTA DE INSUMOS'!C758</f>
        <v>%MO</v>
      </c>
      <c r="F2318" s="140">
        <v>0.1</v>
      </c>
      <c r="G2318" s="141">
        <f>I2317</f>
        <v>12279</v>
      </c>
      <c r="H2318" s="108">
        <v>0</v>
      </c>
      <c r="I2318" s="141">
        <f>ROUND((F2318*G2318),0)</f>
        <v>1228</v>
      </c>
      <c r="J2318" s="47"/>
      <c r="K2318" s="143"/>
    </row>
    <row r="2319" spans="2:11" ht="24.9" customHeight="1" thickBot="1" x14ac:dyDescent="0.25">
      <c r="B2319" s="704"/>
      <c r="C2319" s="145" t="str">
        <f>+'LISTA DE INSUMOS'!A762</f>
        <v>EQU006</v>
      </c>
      <c r="D2319" s="146" t="str">
        <f>+'LISTA DE INSUMOS'!B762</f>
        <v>Andamio (% mano obra)</v>
      </c>
      <c r="E2319" s="145" t="str">
        <f>+'LISTA DE INSUMOS'!C762</f>
        <v>%MO</v>
      </c>
      <c r="F2319" s="147">
        <v>0.1</v>
      </c>
      <c r="G2319" s="148">
        <f>I2317</f>
        <v>12279</v>
      </c>
      <c r="H2319" s="145">
        <v>0</v>
      </c>
      <c r="I2319" s="148">
        <f>ROUND((F2319*G2319),0)</f>
        <v>1228</v>
      </c>
      <c r="J2319" s="47"/>
      <c r="K2319" s="143"/>
    </row>
    <row r="2320" spans="2:11" ht="24.9" customHeight="1" x14ac:dyDescent="0.2">
      <c r="B2320" s="193" t="s">
        <v>1837</v>
      </c>
      <c r="C2320" s="117"/>
      <c r="D2320" s="112" t="s">
        <v>365</v>
      </c>
      <c r="E2320" s="117" t="s">
        <v>2585</v>
      </c>
      <c r="F2320" s="118"/>
      <c r="G2320" s="119">
        <f>ROUND(SUM(I2320:I2330),0)</f>
        <v>43472</v>
      </c>
      <c r="H2320" s="120"/>
      <c r="I2320" s="119"/>
      <c r="J2320" s="47"/>
      <c r="K2320" s="143"/>
    </row>
    <row r="2321" spans="2:11" ht="24.9" customHeight="1" x14ac:dyDescent="0.2">
      <c r="B2321" s="672" t="s">
        <v>1035</v>
      </c>
      <c r="C2321" s="125" t="str">
        <f>+'LISTA DE INSUMOS'!A661</f>
        <v>MAT677</v>
      </c>
      <c r="D2321" s="155" t="str">
        <f>+'LISTA DE INSUMOS'!B661</f>
        <v>Perfil aluminio anoloc T L = 6 m</v>
      </c>
      <c r="E2321" s="125" t="str">
        <f>+'LISTA DE INSUMOS'!C661</f>
        <v>Un</v>
      </c>
      <c r="F2321" s="160">
        <v>0.45</v>
      </c>
      <c r="G2321" s="141">
        <f>+'LISTA DE INSUMOS'!E661</f>
        <v>21260.543068148996</v>
      </c>
      <c r="H2321" s="108">
        <v>1.03</v>
      </c>
      <c r="I2321" s="141">
        <f>ROUND((F2321*G2321*H2321),0)</f>
        <v>9854</v>
      </c>
      <c r="J2321" s="47"/>
      <c r="K2321" s="143"/>
    </row>
    <row r="2322" spans="2:11" ht="24.9" customHeight="1" x14ac:dyDescent="0.2">
      <c r="B2322" s="672"/>
      <c r="C2322" s="125" t="str">
        <f>+'LISTA DE INSUMOS'!A660</f>
        <v>MAT676</v>
      </c>
      <c r="D2322" s="155" t="str">
        <f>+'LISTA DE INSUMOS'!B660</f>
        <v>Perfil alumino anoloc ángulo L = 6 m</v>
      </c>
      <c r="E2322" s="160" t="str">
        <f>+'LISTA DE INSUMOS'!C660</f>
        <v>Un</v>
      </c>
      <c r="F2322" s="160">
        <v>0.22</v>
      </c>
      <c r="G2322" s="141">
        <f>+'LISTA DE INSUMOS'!E660</f>
        <v>22582.109716319992</v>
      </c>
      <c r="H2322" s="108">
        <v>1.03</v>
      </c>
      <c r="I2322" s="141">
        <f>ROUND((F2322*G2322*H2322),0)</f>
        <v>5117</v>
      </c>
      <c r="J2322" s="47"/>
      <c r="K2322" s="143"/>
    </row>
    <row r="2323" spans="2:11" ht="24.9" customHeight="1" x14ac:dyDescent="0.2">
      <c r="B2323" s="672"/>
      <c r="C2323" s="125" t="str">
        <f>+'LISTA DE INSUMOS'!A664</f>
        <v>MAT680</v>
      </c>
      <c r="D2323" s="155" t="str">
        <f>+'LISTA DE INSUMOS'!B664</f>
        <v>Lámina de icopor perlita sintética 1,2 * 0,6 m</v>
      </c>
      <c r="E2323" s="125" t="str">
        <f>+'LISTA DE INSUMOS'!C664</f>
        <v>Un</v>
      </c>
      <c r="F2323" s="160">
        <v>1.4</v>
      </c>
      <c r="G2323" s="141">
        <f>+'LISTA DE INSUMOS'!E664</f>
        <v>4246.8217286879999</v>
      </c>
      <c r="H2323" s="108">
        <v>1.03</v>
      </c>
      <c r="I2323" s="141">
        <f>ROUND((F2323*G2323*H2323),0)</f>
        <v>6124</v>
      </c>
      <c r="J2323" s="47"/>
      <c r="K2323" s="143"/>
    </row>
    <row r="2324" spans="2:11" ht="24.9" customHeight="1" x14ac:dyDescent="0.2">
      <c r="B2324" s="672"/>
      <c r="C2324" s="108" t="str">
        <f>+'LISTA DE INSUMOS'!A52</f>
        <v>MAT021</v>
      </c>
      <c r="D2324" s="139" t="str">
        <f>+'LISTA DE INSUMOS'!B52</f>
        <v>Puntilla (promedio)</v>
      </c>
      <c r="E2324" s="108" t="str">
        <f>+'LISTA DE INSUMOS'!C52</f>
        <v>Lb</v>
      </c>
      <c r="F2324" s="140">
        <v>0.08</v>
      </c>
      <c r="G2324" s="141">
        <f>+'LISTA DE INSUMOS'!E52</f>
        <v>6690.6972299999998</v>
      </c>
      <c r="H2324" s="108">
        <v>0</v>
      </c>
      <c r="I2324" s="141">
        <f>ROUND((F2324*G2324),0)</f>
        <v>535</v>
      </c>
      <c r="J2324" s="47"/>
      <c r="K2324" s="143"/>
    </row>
    <row r="2325" spans="2:11" ht="24.9" customHeight="1" x14ac:dyDescent="0.2">
      <c r="B2325" s="672"/>
      <c r="C2325" s="108" t="str">
        <f>+'LISTA DE INSUMOS'!A665</f>
        <v>MAT681</v>
      </c>
      <c r="D2325" s="139" t="str">
        <f>+'LISTA DE INSUMOS'!B665</f>
        <v>Remache de aluminio</v>
      </c>
      <c r="E2325" s="108" t="str">
        <f>+'LISTA DE INSUMOS'!C665</f>
        <v>Un</v>
      </c>
      <c r="F2325" s="160">
        <v>8</v>
      </c>
      <c r="G2325" s="141">
        <f>+'LISTA DE INSUMOS'!E665</f>
        <v>223.25494833179997</v>
      </c>
      <c r="H2325" s="108">
        <v>0</v>
      </c>
      <c r="I2325" s="141">
        <f>ROUND((F2325*G2325),0)</f>
        <v>1786</v>
      </c>
      <c r="J2325" s="47"/>
      <c r="K2325" s="143"/>
    </row>
    <row r="2326" spans="2:11" ht="24.9" customHeight="1" x14ac:dyDescent="0.2">
      <c r="B2326" s="672"/>
      <c r="C2326" s="108" t="str">
        <f>+'LISTA DE INSUMOS'!A190</f>
        <v>MAT148</v>
      </c>
      <c r="D2326" s="139" t="str">
        <f>+'LISTA DE INSUMOS'!B190</f>
        <v xml:space="preserve">Alambre galvanizado C 12 </v>
      </c>
      <c r="E2326" s="108" t="str">
        <f>+'LISTA DE INSUMOS'!C190</f>
        <v>Kg</v>
      </c>
      <c r="F2326" s="160">
        <v>0.02</v>
      </c>
      <c r="G2326" s="141">
        <f>+'LISTA DE INSUMOS'!E190</f>
        <v>10174.934703779998</v>
      </c>
      <c r="H2326" s="108">
        <v>1.03</v>
      </c>
      <c r="I2326" s="141">
        <f>ROUND((F2326*G2326*H2326),0)</f>
        <v>210</v>
      </c>
      <c r="J2326" s="47"/>
      <c r="K2326" s="143"/>
    </row>
    <row r="2327" spans="2:11" ht="24.9" customHeight="1" thickBot="1" x14ac:dyDescent="0.25">
      <c r="B2327" s="673"/>
      <c r="C2327" s="161" t="str">
        <f>+'LISTA DE INSUMOS'!A155</f>
        <v>MAT113</v>
      </c>
      <c r="D2327" s="162" t="str">
        <f>+'LISTA DE INSUMOS'!B155</f>
        <v xml:space="preserve">Pintura vinilo </v>
      </c>
      <c r="E2327" s="161" t="str">
        <f>+'LISTA DE INSUMOS'!C155</f>
        <v>Gl</v>
      </c>
      <c r="F2327" s="163">
        <v>0.06</v>
      </c>
      <c r="G2327" s="164">
        <f>+'LISTA DE INSUMOS'!E155</f>
        <v>82704.194264999984</v>
      </c>
      <c r="H2327" s="161">
        <v>1.03</v>
      </c>
      <c r="I2327" s="164">
        <f>ROUND((F2327*G2327*H2327),0)</f>
        <v>5111</v>
      </c>
      <c r="J2327" s="51"/>
      <c r="K2327" s="143"/>
    </row>
    <row r="2328" spans="2:11" ht="24.9" customHeight="1" thickTop="1" thickBot="1" x14ac:dyDescent="0.25">
      <c r="B2328" s="153" t="s">
        <v>1034</v>
      </c>
      <c r="C2328" s="108" t="str">
        <f>+'LISTA DE INSUMOS'!A18</f>
        <v>MOB015</v>
      </c>
      <c r="D2328" s="139" t="str">
        <f>+'LISTA DE INSUMOS'!B18</f>
        <v>Cuadrilla E 1 Of + 1 Ay (jornal + prestaciones)</v>
      </c>
      <c r="E2328" s="108" t="str">
        <f>+'LISTA DE INSUMOS'!C18</f>
        <v>Día</v>
      </c>
      <c r="F2328" s="140">
        <v>1</v>
      </c>
      <c r="G2328" s="141">
        <f>+'LISTA DE INSUMOS'!E18</f>
        <v>245584</v>
      </c>
      <c r="H2328" s="108">
        <f>1/20</f>
        <v>0.05</v>
      </c>
      <c r="I2328" s="141">
        <f>ROUND((F2328*G2328*H2328),0)</f>
        <v>12279</v>
      </c>
      <c r="J2328" s="47"/>
      <c r="K2328" s="143"/>
    </row>
    <row r="2329" spans="2:11" ht="24.9" customHeight="1" thickTop="1" x14ac:dyDescent="0.2">
      <c r="B2329" s="647" t="s">
        <v>1033</v>
      </c>
      <c r="C2329" s="108" t="str">
        <f>+'LISTA DE INSUMOS'!A758</f>
        <v>EQU002</v>
      </c>
      <c r="D2329" s="139" t="str">
        <f>+'LISTA DE INSUMOS'!B758</f>
        <v>Herramienta menor (% mano obra)</v>
      </c>
      <c r="E2329" s="108" t="str">
        <f>+'LISTA DE INSUMOS'!C758</f>
        <v>%MO</v>
      </c>
      <c r="F2329" s="140">
        <v>0.1</v>
      </c>
      <c r="G2329" s="141">
        <f>I2328</f>
        <v>12279</v>
      </c>
      <c r="H2329" s="108">
        <v>0</v>
      </c>
      <c r="I2329" s="141">
        <f>ROUND((F2329*G2329),0)</f>
        <v>1228</v>
      </c>
      <c r="J2329" s="47"/>
      <c r="K2329" s="143"/>
    </row>
    <row r="2330" spans="2:11" ht="24.9" customHeight="1" thickBot="1" x14ac:dyDescent="0.25">
      <c r="B2330" s="704"/>
      <c r="C2330" s="145" t="str">
        <f>+'LISTA DE INSUMOS'!A762</f>
        <v>EQU006</v>
      </c>
      <c r="D2330" s="146" t="str">
        <f>+'LISTA DE INSUMOS'!B762</f>
        <v>Andamio (% mano obra)</v>
      </c>
      <c r="E2330" s="145" t="str">
        <f>+'LISTA DE INSUMOS'!C762</f>
        <v>%MO</v>
      </c>
      <c r="F2330" s="147">
        <v>0.1</v>
      </c>
      <c r="G2330" s="148">
        <f>I2328</f>
        <v>12279</v>
      </c>
      <c r="H2330" s="145">
        <v>0</v>
      </c>
      <c r="I2330" s="148">
        <f>ROUND((F2330*G2330),0)</f>
        <v>1228</v>
      </c>
      <c r="J2330" s="47"/>
      <c r="K2330" s="143"/>
    </row>
    <row r="2331" spans="2:11" ht="24.9" customHeight="1" x14ac:dyDescent="0.2">
      <c r="B2331" s="193" t="s">
        <v>1826</v>
      </c>
      <c r="C2331" s="117"/>
      <c r="D2331" s="112" t="s">
        <v>2248</v>
      </c>
      <c r="E2331" s="117" t="s">
        <v>2585</v>
      </c>
      <c r="F2331" s="118"/>
      <c r="G2331" s="119">
        <f>ROUND(SUM(I2331:I2343),0)</f>
        <v>111182</v>
      </c>
      <c r="H2331" s="120"/>
      <c r="I2331" s="119"/>
      <c r="J2331" s="47"/>
      <c r="K2331" s="143"/>
    </row>
    <row r="2332" spans="2:11" ht="24.9" customHeight="1" x14ac:dyDescent="0.2">
      <c r="B2332" s="737" t="s">
        <v>1035</v>
      </c>
      <c r="C2332" s="125" t="str">
        <f>+'LISTA DE INSUMOS'!A342</f>
        <v>MAT330</v>
      </c>
      <c r="D2332" s="155" t="str">
        <f>+'LISTA DE INSUMOS'!B342</f>
        <v>Omega  liviana en 2,44</v>
      </c>
      <c r="E2332" s="125" t="str">
        <f>+'LISTA DE INSUMOS'!C342</f>
        <v>Un</v>
      </c>
      <c r="F2332" s="176">
        <v>0.84</v>
      </c>
      <c r="G2332" s="141">
        <f>'LISTA DE INSUMOS'!E342</f>
        <v>6926.923468607999</v>
      </c>
      <c r="H2332" s="108">
        <v>1.1000000000000001</v>
      </c>
      <c r="I2332" s="141">
        <f>ROUND((F2332*G2332*H2332),0)</f>
        <v>6400</v>
      </c>
      <c r="J2332" s="47"/>
      <c r="K2332" s="143"/>
    </row>
    <row r="2333" spans="2:11" ht="24.9" customHeight="1" x14ac:dyDescent="0.2">
      <c r="B2333" s="737"/>
      <c r="C2333" s="125" t="str">
        <f>+'LISTA DE INSUMOS'!A343</f>
        <v>MAT331</v>
      </c>
      <c r="D2333" s="155" t="str">
        <f>+'LISTA DE INSUMOS'!B343</f>
        <v>Vigueta principal en 2,44</v>
      </c>
      <c r="E2333" s="125" t="str">
        <f>+'LISTA DE INSUMOS'!C343</f>
        <v>Un</v>
      </c>
      <c r="F2333" s="176">
        <v>0.42</v>
      </c>
      <c r="G2333" s="141">
        <f>'LISTA DE INSUMOS'!E343</f>
        <v>7872.7149422063976</v>
      </c>
      <c r="H2333" s="108">
        <v>1.1000000000000001</v>
      </c>
      <c r="I2333" s="141">
        <f>ROUND((F2333*G2333*H2333),0)</f>
        <v>3637</v>
      </c>
      <c r="J2333" s="47"/>
      <c r="K2333" s="143"/>
    </row>
    <row r="2334" spans="2:11" ht="24.9" customHeight="1" x14ac:dyDescent="0.2">
      <c r="B2334" s="737"/>
      <c r="C2334" s="125" t="str">
        <f>+'LISTA DE INSUMOS'!A337</f>
        <v>MAT324</v>
      </c>
      <c r="D2334" s="155" t="str">
        <f>+'LISTA DE INSUMOS'!B337</f>
        <v>Angulo perimetral de 2,44</v>
      </c>
      <c r="E2334" s="125" t="str">
        <f>+'LISTA DE INSUMOS'!C337</f>
        <v>Un</v>
      </c>
      <c r="F2334" s="176">
        <v>0.82</v>
      </c>
      <c r="G2334" s="141">
        <f>'LISTA DE INSUMOS'!E337</f>
        <v>4930.0533340740003</v>
      </c>
      <c r="H2334" s="108">
        <v>1.1000000000000001</v>
      </c>
      <c r="I2334" s="141">
        <f>ROUND((F2334*G2334*H2334),0)</f>
        <v>4447</v>
      </c>
      <c r="J2334" s="47"/>
      <c r="K2334" s="143"/>
    </row>
    <row r="2335" spans="2:11" ht="24.9" customHeight="1" x14ac:dyDescent="0.2">
      <c r="B2335" s="737"/>
      <c r="C2335" s="125" t="str">
        <f>+'LISTA DE INSUMOS'!A238</f>
        <v>MAT206</v>
      </c>
      <c r="D2335" s="155" t="str">
        <f>+'LISTA DE INSUMOS'!B238</f>
        <v>Lámina de yeso 1,22 m x 2,44 m e = 12,7 mm</v>
      </c>
      <c r="E2335" s="125" t="str">
        <f>+'LISTA DE INSUMOS'!C238</f>
        <v>M2</v>
      </c>
      <c r="F2335" s="176">
        <v>1</v>
      </c>
      <c r="G2335" s="141">
        <f>'LISTA DE INSUMOS'!E238</f>
        <v>35662.691129999992</v>
      </c>
      <c r="H2335" s="108">
        <v>1.1000000000000001</v>
      </c>
      <c r="I2335" s="141">
        <f>ROUND((F2335*G2335*H2335),0)</f>
        <v>39229</v>
      </c>
      <c r="J2335" s="47"/>
      <c r="K2335" s="143"/>
    </row>
    <row r="2336" spans="2:11" ht="24.9" customHeight="1" x14ac:dyDescent="0.2">
      <c r="B2336" s="737"/>
      <c r="C2336" s="125" t="str">
        <f>+'LISTA DE INSUMOS'!A520</f>
        <v>MAT537</v>
      </c>
      <c r="D2336" s="155" t="str">
        <f>+'LISTA DE INSUMOS'!B520</f>
        <v>Tornillo drywall 6 x 1"</v>
      </c>
      <c r="E2336" s="125" t="str">
        <f>+'LISTA DE INSUMOS'!C520</f>
        <v>Un</v>
      </c>
      <c r="F2336" s="176">
        <v>15</v>
      </c>
      <c r="G2336" s="141">
        <f>'LISTA DE INSUMOS'!E520</f>
        <v>76.984464941999988</v>
      </c>
      <c r="H2336" s="108">
        <v>0</v>
      </c>
      <c r="I2336" s="141">
        <f>ROUND((F2336*G2336),0)</f>
        <v>1155</v>
      </c>
      <c r="J2336" s="47"/>
      <c r="K2336" s="143"/>
    </row>
    <row r="2337" spans="2:11" ht="24.9" customHeight="1" x14ac:dyDescent="0.2">
      <c r="B2337" s="737"/>
      <c r="C2337" s="125" t="str">
        <f>+'LISTA DE INSUMOS'!A523</f>
        <v>MAT540</v>
      </c>
      <c r="D2337" s="155" t="str">
        <f>+'LISTA DE INSUMOS'!B523</f>
        <v>Tornillo estructura drywall 8 x 1/2"</v>
      </c>
      <c r="E2337" s="125" t="str">
        <f>+'LISTA DE INSUMOS'!C523</f>
        <v>Un</v>
      </c>
      <c r="F2337" s="176">
        <v>15</v>
      </c>
      <c r="G2337" s="141">
        <f>'LISTA DE INSUMOS'!E523</f>
        <v>186.04579027649996</v>
      </c>
      <c r="H2337" s="108">
        <v>0</v>
      </c>
      <c r="I2337" s="141">
        <f>ROUND((F2337*G2337),0)</f>
        <v>2791</v>
      </c>
      <c r="J2337" s="47"/>
      <c r="K2337" s="143"/>
    </row>
    <row r="2338" spans="2:11" ht="24.9" customHeight="1" x14ac:dyDescent="0.2">
      <c r="B2338" s="737"/>
      <c r="C2338" s="125" t="str">
        <f>+'LISTA DE INSUMOS'!A335</f>
        <v>MAT318</v>
      </c>
      <c r="D2338" s="155" t="str">
        <f>+'LISTA DE INSUMOS'!B335</f>
        <v>Cinta de papel</v>
      </c>
      <c r="E2338" s="125" t="str">
        <f>+'LISTA DE INSUMOS'!C335</f>
        <v>M</v>
      </c>
      <c r="F2338" s="176">
        <v>4</v>
      </c>
      <c r="G2338" s="141">
        <f>'LISTA DE INSUMOS'!E335</f>
        <v>154.88408657567996</v>
      </c>
      <c r="H2338" s="108">
        <v>0</v>
      </c>
      <c r="I2338" s="141">
        <f>ROUND((F2338*G2338),0)</f>
        <v>620</v>
      </c>
      <c r="J2338" s="47"/>
      <c r="K2338" s="143"/>
    </row>
    <row r="2339" spans="2:11" ht="24.9" customHeight="1" x14ac:dyDescent="0.2">
      <c r="B2339" s="737"/>
      <c r="C2339" s="125" t="str">
        <f>+'LISTA DE INSUMOS'!A329</f>
        <v>MAT307</v>
      </c>
      <c r="D2339" s="155" t="str">
        <f>+'LISTA DE INSUMOS'!B329</f>
        <v>Masilla topex joint</v>
      </c>
      <c r="E2339" s="125" t="str">
        <f>+'LISTA DE INSUMOS'!C329</f>
        <v>Gl</v>
      </c>
      <c r="F2339" s="176">
        <v>0.24</v>
      </c>
      <c r="G2339" s="141">
        <f>'LISTA DE INSUMOS'!E329</f>
        <v>14361.931155494996</v>
      </c>
      <c r="H2339" s="108">
        <v>1.05</v>
      </c>
      <c r="I2339" s="141">
        <f>ROUND((F2339*G2339*H2339),0)</f>
        <v>3619</v>
      </c>
      <c r="J2339" s="47"/>
      <c r="K2339" s="143"/>
    </row>
    <row r="2340" spans="2:11" ht="24.9" customHeight="1" thickBot="1" x14ac:dyDescent="0.25">
      <c r="B2340" s="738"/>
      <c r="C2340" s="161" t="str">
        <f>+'LISTA DE INSUMOS'!A155</f>
        <v>MAT113</v>
      </c>
      <c r="D2340" s="162" t="str">
        <f>+'LISTA DE INSUMOS'!B155</f>
        <v xml:space="preserve">Pintura vinilo </v>
      </c>
      <c r="E2340" s="161" t="str">
        <f>+'LISTA DE INSUMOS'!C155</f>
        <v>Gl</v>
      </c>
      <c r="F2340" s="243">
        <v>0.05</v>
      </c>
      <c r="G2340" s="164">
        <f>'LISTA DE INSUMOS'!E155</f>
        <v>82704.194264999984</v>
      </c>
      <c r="H2340" s="161">
        <v>1.03</v>
      </c>
      <c r="I2340" s="164">
        <f>ROUND((F2340*G2340*H2340),0)</f>
        <v>4259</v>
      </c>
      <c r="J2340" s="51"/>
      <c r="K2340" s="143"/>
    </row>
    <row r="2341" spans="2:11" ht="24.9" customHeight="1" thickTop="1" thickBot="1" x14ac:dyDescent="0.25">
      <c r="B2341" s="153" t="s">
        <v>1034</v>
      </c>
      <c r="C2341" s="108" t="str">
        <f>+'LISTA DE INSUMOS'!A18</f>
        <v>MOB015</v>
      </c>
      <c r="D2341" s="139" t="str">
        <f>+'LISTA DE INSUMOS'!B18</f>
        <v>Cuadrilla E 1 Of + 1 Ay (jornal + prestaciones)</v>
      </c>
      <c r="E2341" s="108" t="str">
        <f>+'LISTA DE INSUMOS'!C18</f>
        <v>Día</v>
      </c>
      <c r="F2341" s="140">
        <v>1</v>
      </c>
      <c r="G2341" s="141">
        <f>'LISTA DE INSUMOS'!E18</f>
        <v>245584</v>
      </c>
      <c r="H2341" s="108">
        <f>1/6</f>
        <v>0.16666666666666666</v>
      </c>
      <c r="I2341" s="141">
        <f>ROUND((F2341*G2341*H2341),0)</f>
        <v>40931</v>
      </c>
      <c r="J2341" s="47"/>
      <c r="K2341" s="143"/>
    </row>
    <row r="2342" spans="2:11" ht="24.9" customHeight="1" thickTop="1" x14ac:dyDescent="0.2">
      <c r="B2342" s="647" t="s">
        <v>1033</v>
      </c>
      <c r="C2342" s="108" t="str">
        <f>+'LISTA DE INSUMOS'!A758</f>
        <v>EQU002</v>
      </c>
      <c r="D2342" s="139" t="str">
        <f>+'LISTA DE INSUMOS'!B758</f>
        <v>Herramienta menor (% mano obra)</v>
      </c>
      <c r="E2342" s="108" t="str">
        <f>+'LISTA DE INSUMOS'!C758</f>
        <v>%MO</v>
      </c>
      <c r="F2342" s="140">
        <v>0.05</v>
      </c>
      <c r="G2342" s="141">
        <f>I2341</f>
        <v>40931</v>
      </c>
      <c r="H2342" s="108">
        <v>0</v>
      </c>
      <c r="I2342" s="141">
        <f>ROUND((F2342*G2342),0)</f>
        <v>2047</v>
      </c>
      <c r="J2342" s="47"/>
      <c r="K2342" s="143"/>
    </row>
    <row r="2343" spans="2:11" ht="24.9" customHeight="1" thickBot="1" x14ac:dyDescent="0.25">
      <c r="B2343" s="704"/>
      <c r="C2343" s="145" t="str">
        <f>+'LISTA DE INSUMOS'!A762</f>
        <v>EQU006</v>
      </c>
      <c r="D2343" s="146" t="str">
        <f>+'LISTA DE INSUMOS'!B762</f>
        <v>Andamio (% mano obra)</v>
      </c>
      <c r="E2343" s="145" t="str">
        <f>+'LISTA DE INSUMOS'!C762</f>
        <v>%MO</v>
      </c>
      <c r="F2343" s="147">
        <v>0.05</v>
      </c>
      <c r="G2343" s="148">
        <f>I2341</f>
        <v>40931</v>
      </c>
      <c r="H2343" s="145">
        <v>0</v>
      </c>
      <c r="I2343" s="148">
        <f>ROUND((F2343*G2343),0)</f>
        <v>2047</v>
      </c>
      <c r="J2343" s="47"/>
      <c r="K2343" s="143"/>
    </row>
    <row r="2344" spans="2:11" ht="24.9" customHeight="1" x14ac:dyDescent="0.2">
      <c r="B2344" s="193" t="s">
        <v>1674</v>
      </c>
      <c r="C2344" s="117"/>
      <c r="D2344" s="112" t="s">
        <v>445</v>
      </c>
      <c r="E2344" s="117" t="s">
        <v>1412</v>
      </c>
      <c r="F2344" s="149"/>
      <c r="G2344" s="119">
        <f>ROUND(SUM(I2344:I2349),0)</f>
        <v>64355</v>
      </c>
      <c r="H2344" s="120"/>
      <c r="I2344" s="119"/>
      <c r="J2344" s="47"/>
      <c r="K2344" s="143"/>
    </row>
    <row r="2345" spans="2:11" ht="24.9" customHeight="1" x14ac:dyDescent="0.2">
      <c r="B2345" s="657" t="s">
        <v>1325</v>
      </c>
      <c r="C2345" s="108" t="str">
        <f>+'LISTA DE INSUMOS'!A99</f>
        <v>MAT058</v>
      </c>
      <c r="D2345" s="139" t="str">
        <f>+'LISTA DE INSUMOS'!B99</f>
        <v xml:space="preserve">Lámina galvanizada C 26 </v>
      </c>
      <c r="E2345" s="108" t="str">
        <f>+'LISTA DE INSUMOS'!C99</f>
        <v>M2</v>
      </c>
      <c r="F2345" s="140">
        <v>0.6</v>
      </c>
      <c r="G2345" s="141">
        <f>'LISTA DE INSUMOS'!E99</f>
        <v>76330.59</v>
      </c>
      <c r="H2345" s="108">
        <v>1.1000000000000001</v>
      </c>
      <c r="I2345" s="141">
        <f>ROUND((F2345*G2345*H2345),0)</f>
        <v>50378</v>
      </c>
      <c r="J2345" s="47"/>
      <c r="K2345" s="143"/>
    </row>
    <row r="2346" spans="2:11" ht="24.9" customHeight="1" thickBot="1" x14ac:dyDescent="0.25">
      <c r="B2346" s="659"/>
      <c r="C2346" s="108" t="str">
        <f>+'LISTA DE INSUMOS'!A52</f>
        <v>MAT021</v>
      </c>
      <c r="D2346" s="139" t="str">
        <f>+'LISTA DE INSUMOS'!B52</f>
        <v>Puntilla (promedio)</v>
      </c>
      <c r="E2346" s="108" t="str">
        <f>+'LISTA DE INSUMOS'!C52</f>
        <v>Lb</v>
      </c>
      <c r="F2346" s="140">
        <v>0.01</v>
      </c>
      <c r="G2346" s="141">
        <f>'LISTA DE INSUMOS'!E52</f>
        <v>6690.6972299999998</v>
      </c>
      <c r="H2346" s="108">
        <v>0</v>
      </c>
      <c r="I2346" s="141">
        <f>ROUND((F2346*G2346),0)</f>
        <v>67</v>
      </c>
      <c r="J2346" s="47"/>
      <c r="K2346" s="143"/>
    </row>
    <row r="2347" spans="2:11" ht="24.9" customHeight="1" thickTop="1" thickBot="1" x14ac:dyDescent="0.25">
      <c r="B2347" s="191" t="s">
        <v>1310</v>
      </c>
      <c r="C2347" s="108" t="str">
        <f>+B1465</f>
        <v>ITE163</v>
      </c>
      <c r="D2347" s="139" t="str">
        <f>+D1465</f>
        <v>Mortero 1:3 impermeabilizado (producción)</v>
      </c>
      <c r="E2347" s="108" t="str">
        <f>+E1465</f>
        <v>M3</v>
      </c>
      <c r="F2347" s="140">
        <v>8.0000000000000002E-3</v>
      </c>
      <c r="G2347" s="141">
        <f>G1465</f>
        <v>583886</v>
      </c>
      <c r="H2347" s="108">
        <v>1.05</v>
      </c>
      <c r="I2347" s="141">
        <f>ROUND((F2347*G2347*H2347),0)</f>
        <v>4905</v>
      </c>
      <c r="J2347" s="47"/>
      <c r="K2347" s="143"/>
    </row>
    <row r="2348" spans="2:11" ht="24.9" customHeight="1" thickTop="1" thickBot="1" x14ac:dyDescent="0.25">
      <c r="B2348" s="153" t="s">
        <v>1034</v>
      </c>
      <c r="C2348" s="108" t="str">
        <f>+'LISTA DE INSUMOS'!A18</f>
        <v>MOB015</v>
      </c>
      <c r="D2348" s="139" t="str">
        <f>+'LISTA DE INSUMOS'!B18</f>
        <v>Cuadrilla E 1 Of + 1 Ay (jornal + prestaciones)</v>
      </c>
      <c r="E2348" s="108" t="str">
        <f>+'LISTA DE INSUMOS'!C18</f>
        <v>Día</v>
      </c>
      <c r="F2348" s="140">
        <v>1</v>
      </c>
      <c r="G2348" s="141">
        <f>'LISTA DE INSUMOS'!E18</f>
        <v>245584</v>
      </c>
      <c r="H2348" s="108">
        <f>1/30</f>
        <v>3.3333333333333333E-2</v>
      </c>
      <c r="I2348" s="141">
        <f>ROUND((F2348*G2348*H2348),0)</f>
        <v>8186</v>
      </c>
      <c r="J2348" s="47"/>
      <c r="K2348" s="143"/>
    </row>
    <row r="2349" spans="2:11" ht="24.9" customHeight="1" thickTop="1" thickBot="1" x14ac:dyDescent="0.25">
      <c r="B2349" s="242" t="s">
        <v>1033</v>
      </c>
      <c r="C2349" s="145" t="str">
        <f>+'LISTA DE INSUMOS'!A758</f>
        <v>EQU002</v>
      </c>
      <c r="D2349" s="146" t="str">
        <f>+'LISTA DE INSUMOS'!B758</f>
        <v>Herramienta menor (% mano obra)</v>
      </c>
      <c r="E2349" s="145" t="str">
        <f>+'LISTA DE INSUMOS'!C758</f>
        <v>%MO</v>
      </c>
      <c r="F2349" s="147">
        <v>0.1</v>
      </c>
      <c r="G2349" s="148">
        <f>I2348</f>
        <v>8186</v>
      </c>
      <c r="H2349" s="145">
        <v>0</v>
      </c>
      <c r="I2349" s="148">
        <f>ROUND((F2349*G2349),0)</f>
        <v>819</v>
      </c>
      <c r="J2349" s="47"/>
      <c r="K2349" s="143"/>
    </row>
    <row r="2350" spans="2:11" ht="24.9" customHeight="1" x14ac:dyDescent="0.2">
      <c r="B2350" s="117" t="s">
        <v>1832</v>
      </c>
      <c r="C2350" s="117"/>
      <c r="D2350" s="112" t="s">
        <v>1951</v>
      </c>
      <c r="E2350" s="117" t="s">
        <v>1435</v>
      </c>
      <c r="F2350" s="118"/>
      <c r="G2350" s="119">
        <f>ROUND(SUM(I2350:I2353),0)</f>
        <v>462288</v>
      </c>
      <c r="H2350" s="120"/>
      <c r="I2350" s="119"/>
      <c r="J2350" s="47"/>
      <c r="K2350" s="143"/>
    </row>
    <row r="2351" spans="2:11" ht="24.9" customHeight="1" thickBot="1" x14ac:dyDescent="0.25">
      <c r="B2351" s="175" t="s">
        <v>1325</v>
      </c>
      <c r="C2351" s="108" t="str">
        <f>+'LISTA DE INSUMOS'!A467</f>
        <v>MAT485</v>
      </c>
      <c r="D2351" s="139" t="str">
        <f>+'LISTA DE INSUMOS'!B467</f>
        <v>Tanque para agua plástico de 500 lt completo</v>
      </c>
      <c r="E2351" s="108" t="str">
        <f>+'LISTA DE INSUMOS'!C467</f>
        <v>Un</v>
      </c>
      <c r="F2351" s="140">
        <v>1</v>
      </c>
      <c r="G2351" s="141">
        <f>'LISTA DE INSUMOS'!E467</f>
        <v>327217.10184899997</v>
      </c>
      <c r="H2351" s="108">
        <v>0</v>
      </c>
      <c r="I2351" s="141">
        <f>ROUND((F2351*G2351),0)</f>
        <v>327217</v>
      </c>
      <c r="J2351" s="47"/>
      <c r="K2351" s="143"/>
    </row>
    <row r="2352" spans="2:11" ht="24.9" customHeight="1" thickTop="1" thickBot="1" x14ac:dyDescent="0.25">
      <c r="B2352" s="153" t="s">
        <v>1034</v>
      </c>
      <c r="C2352" s="108" t="str">
        <f>+'LISTA DE INSUMOS'!A18</f>
        <v>MOB015</v>
      </c>
      <c r="D2352" s="139" t="str">
        <f>+'LISTA DE INSUMOS'!B18</f>
        <v>Cuadrilla E 1 Of + 1 Ay (jornal + prestaciones)</v>
      </c>
      <c r="E2352" s="108" t="str">
        <f>+'LISTA DE INSUMOS'!C18</f>
        <v>Día</v>
      </c>
      <c r="F2352" s="140">
        <v>1</v>
      </c>
      <c r="G2352" s="141">
        <f>'LISTA DE INSUMOS'!E18</f>
        <v>245584</v>
      </c>
      <c r="H2352" s="108">
        <f>1/2</f>
        <v>0.5</v>
      </c>
      <c r="I2352" s="141">
        <f>ROUND((F2352*G2352*H2352),0)</f>
        <v>122792</v>
      </c>
      <c r="J2352" s="47"/>
      <c r="K2352" s="143"/>
    </row>
    <row r="2353" spans="2:11" ht="24.9" customHeight="1" thickTop="1" thickBot="1" x14ac:dyDescent="0.25">
      <c r="B2353" s="150" t="s">
        <v>1033</v>
      </c>
      <c r="C2353" s="151" t="str">
        <f>+'LISTA DE INSUMOS'!A758</f>
        <v>EQU002</v>
      </c>
      <c r="D2353" s="146" t="str">
        <f>+'LISTA DE INSUMOS'!B758</f>
        <v>Herramienta menor (% mano obra)</v>
      </c>
      <c r="E2353" s="145" t="str">
        <f>+'LISTA DE INSUMOS'!C758</f>
        <v>%MO</v>
      </c>
      <c r="F2353" s="147">
        <v>0.1</v>
      </c>
      <c r="G2353" s="148">
        <f>I2352</f>
        <v>122792</v>
      </c>
      <c r="H2353" s="145">
        <v>0</v>
      </c>
      <c r="I2353" s="148">
        <f>ROUND((F2353*G2353),0)</f>
        <v>12279</v>
      </c>
      <c r="J2353" s="47"/>
      <c r="K2353" s="143"/>
    </row>
    <row r="2354" spans="2:11" ht="24.9" customHeight="1" x14ac:dyDescent="0.2">
      <c r="B2354" s="117" t="s">
        <v>1835</v>
      </c>
      <c r="C2354" s="117"/>
      <c r="D2354" s="112" t="s">
        <v>447</v>
      </c>
      <c r="E2354" s="117" t="s">
        <v>1435</v>
      </c>
      <c r="F2354" s="118"/>
      <c r="G2354" s="119">
        <f>ROUND(SUM(I2354:I2357),0)</f>
        <v>185072</v>
      </c>
      <c r="H2354" s="120"/>
      <c r="I2354" s="119"/>
      <c r="J2354" s="47"/>
      <c r="K2354" s="143"/>
    </row>
    <row r="2355" spans="2:11" ht="24.9" customHeight="1" thickBot="1" x14ac:dyDescent="0.25">
      <c r="B2355" s="175" t="s">
        <v>1325</v>
      </c>
      <c r="C2355" s="108" t="str">
        <f>+'LISTA DE INSUMOS'!A306</f>
        <v>MAT280</v>
      </c>
      <c r="D2355" s="139" t="str">
        <f>+'LISTA DE INSUMOS'!B306</f>
        <v>Ducha Mezclador de 8plg + Regadera Monza Cruz</v>
      </c>
      <c r="E2355" s="108" t="str">
        <f>+'LISTA DE INSUMOS'!C306</f>
        <v>Un</v>
      </c>
      <c r="F2355" s="140">
        <v>1</v>
      </c>
      <c r="G2355" s="141">
        <f>'LISTA DE INSUMOS'!E306</f>
        <v>167062.80367375497</v>
      </c>
      <c r="H2355" s="108">
        <v>0</v>
      </c>
      <c r="I2355" s="141">
        <f t="shared" ref="I2355:I2377" si="25">ROUND((F2355*G2355),0)</f>
        <v>167063</v>
      </c>
      <c r="J2355" s="47"/>
      <c r="K2355" s="143"/>
    </row>
    <row r="2356" spans="2:11" ht="24.9" customHeight="1" thickTop="1" thickBot="1" x14ac:dyDescent="0.25">
      <c r="B2356" s="153" t="s">
        <v>1034</v>
      </c>
      <c r="C2356" s="108" t="str">
        <f>+'LISTA DE INSUMOS'!A5</f>
        <v>MOB002</v>
      </c>
      <c r="D2356" s="139" t="str">
        <f>+'LISTA DE INSUMOS'!B5</f>
        <v>Oficial (jornal + prestaciones)</v>
      </c>
      <c r="E2356" s="108" t="str">
        <f>+'LISTA DE INSUMOS'!C5</f>
        <v>Día</v>
      </c>
      <c r="F2356" s="140">
        <v>1</v>
      </c>
      <c r="G2356" s="141">
        <f>'LISTA DE INSUMOS'!E5</f>
        <v>163723</v>
      </c>
      <c r="H2356" s="108">
        <f>1/10</f>
        <v>0.1</v>
      </c>
      <c r="I2356" s="141">
        <f>ROUND((F2356*G2356*H2356),0)</f>
        <v>16372</v>
      </c>
      <c r="J2356" s="47"/>
      <c r="K2356" s="143"/>
    </row>
    <row r="2357" spans="2:11" ht="24.9" customHeight="1" thickTop="1" thickBot="1" x14ac:dyDescent="0.25">
      <c r="B2357" s="150" t="s">
        <v>1033</v>
      </c>
      <c r="C2357" s="151" t="str">
        <f>+'LISTA DE INSUMOS'!A758</f>
        <v>EQU002</v>
      </c>
      <c r="D2357" s="146" t="str">
        <f>+'LISTA DE INSUMOS'!B758</f>
        <v>Herramienta menor (% mano obra)</v>
      </c>
      <c r="E2357" s="145" t="str">
        <f>+'LISTA DE INSUMOS'!C758</f>
        <v>%MO</v>
      </c>
      <c r="F2357" s="147">
        <v>0.1</v>
      </c>
      <c r="G2357" s="148">
        <f>I2356</f>
        <v>16372</v>
      </c>
      <c r="H2357" s="145">
        <v>0</v>
      </c>
      <c r="I2357" s="148">
        <f t="shared" si="25"/>
        <v>1637</v>
      </c>
      <c r="J2357" s="47"/>
      <c r="K2357" s="143"/>
    </row>
    <row r="2358" spans="2:11" ht="24.9" customHeight="1" x14ac:dyDescent="0.2">
      <c r="B2358" s="117" t="s">
        <v>1833</v>
      </c>
      <c r="C2358" s="117"/>
      <c r="D2358" s="112" t="s">
        <v>448</v>
      </c>
      <c r="E2358" s="117" t="s">
        <v>1435</v>
      </c>
      <c r="F2358" s="149"/>
      <c r="G2358" s="119">
        <f>ROUND(SUM(I2358:I2362),0)</f>
        <v>56775</v>
      </c>
      <c r="H2358" s="120"/>
      <c r="I2358" s="119"/>
      <c r="J2358" s="47"/>
      <c r="K2358" s="143"/>
    </row>
    <row r="2359" spans="2:11" ht="24.9" customHeight="1" x14ac:dyDescent="0.2">
      <c r="B2359" s="657" t="s">
        <v>1325</v>
      </c>
      <c r="C2359" s="108" t="str">
        <f>+'LISTA DE INSUMOS'!A149</f>
        <v>MAT108</v>
      </c>
      <c r="D2359" s="139" t="str">
        <f>+'LISTA DE INSUMOS'!B149</f>
        <v>Rejilla piso corriente de 3" x 2" bronce/aluminio</v>
      </c>
      <c r="E2359" s="108" t="str">
        <f>+'LISTA DE INSUMOS'!C149</f>
        <v>Un</v>
      </c>
      <c r="F2359" s="140">
        <v>1</v>
      </c>
      <c r="G2359" s="141">
        <f>'LISTA DE INSUMOS'!E149</f>
        <v>44738.49</v>
      </c>
      <c r="H2359" s="108">
        <v>0</v>
      </c>
      <c r="I2359" s="141">
        <f t="shared" si="25"/>
        <v>44738</v>
      </c>
      <c r="J2359" s="47"/>
      <c r="K2359" s="143"/>
    </row>
    <row r="2360" spans="2:11" ht="24.9" customHeight="1" thickBot="1" x14ac:dyDescent="0.25">
      <c r="B2360" s="659"/>
      <c r="C2360" s="108" t="str">
        <f>+'LISTA DE INSUMOS'!A31</f>
        <v>MAT002</v>
      </c>
      <c r="D2360" s="139" t="str">
        <f>+'LISTA DE INSUMOS'!B31</f>
        <v>Cemento blanco</v>
      </c>
      <c r="E2360" s="108" t="str">
        <f>+'LISTA DE INSUMOS'!C31</f>
        <v>Kg</v>
      </c>
      <c r="F2360" s="140">
        <v>0.01</v>
      </c>
      <c r="G2360" s="141">
        <f>'LISTA DE INSUMOS'!E31</f>
        <v>2900</v>
      </c>
      <c r="H2360" s="108">
        <v>1.05</v>
      </c>
      <c r="I2360" s="141">
        <f>ROUND((F2360*G2360*H2360),0)</f>
        <v>30</v>
      </c>
      <c r="J2360" s="47"/>
      <c r="K2360" s="143"/>
    </row>
    <row r="2361" spans="2:11" ht="24.9" customHeight="1" thickTop="1" thickBot="1" x14ac:dyDescent="0.25">
      <c r="B2361" s="153" t="s">
        <v>1034</v>
      </c>
      <c r="C2361" s="108" t="str">
        <f>+'LISTA DE INSUMOS'!A5</f>
        <v>MOB002</v>
      </c>
      <c r="D2361" s="139" t="str">
        <f>+'LISTA DE INSUMOS'!B5</f>
        <v>Oficial (jornal + prestaciones)</v>
      </c>
      <c r="E2361" s="108" t="str">
        <f>+'LISTA DE INSUMOS'!C5</f>
        <v>Día</v>
      </c>
      <c r="F2361" s="140">
        <v>1</v>
      </c>
      <c r="G2361" s="141">
        <f>'LISTA DE INSUMOS'!E5</f>
        <v>163723</v>
      </c>
      <c r="H2361" s="108">
        <f>1/15</f>
        <v>6.6666666666666666E-2</v>
      </c>
      <c r="I2361" s="141">
        <f>ROUND((F2361*G2361*H2361),0)</f>
        <v>10915</v>
      </c>
      <c r="J2361" s="47"/>
      <c r="K2361" s="143"/>
    </row>
    <row r="2362" spans="2:11" ht="24.9" customHeight="1" thickTop="1" thickBot="1" x14ac:dyDescent="0.25">
      <c r="B2362" s="150" t="s">
        <v>1033</v>
      </c>
      <c r="C2362" s="151" t="str">
        <f>+'LISTA DE INSUMOS'!A758</f>
        <v>EQU002</v>
      </c>
      <c r="D2362" s="146" t="str">
        <f>+'LISTA DE INSUMOS'!B758</f>
        <v>Herramienta menor (% mano obra)</v>
      </c>
      <c r="E2362" s="145" t="str">
        <f>+'LISTA DE INSUMOS'!C758</f>
        <v>%MO</v>
      </c>
      <c r="F2362" s="147">
        <v>0.1</v>
      </c>
      <c r="G2362" s="148">
        <f>I2361</f>
        <v>10915</v>
      </c>
      <c r="H2362" s="145">
        <v>0</v>
      </c>
      <c r="I2362" s="148">
        <f t="shared" si="25"/>
        <v>1092</v>
      </c>
      <c r="J2362" s="47"/>
      <c r="K2362" s="143"/>
    </row>
    <row r="2363" spans="2:11" ht="24.9" customHeight="1" x14ac:dyDescent="0.2">
      <c r="B2363" s="117" t="s">
        <v>1679</v>
      </c>
      <c r="C2363" s="117"/>
      <c r="D2363" s="112" t="s">
        <v>1691</v>
      </c>
      <c r="E2363" s="117" t="s">
        <v>1435</v>
      </c>
      <c r="F2363" s="118"/>
      <c r="G2363" s="119">
        <f>ROUND(SUM(I2363:I2367),0)</f>
        <v>63290</v>
      </c>
      <c r="H2363" s="120"/>
      <c r="I2363" s="119"/>
      <c r="J2363" s="47"/>
      <c r="K2363" s="143"/>
    </row>
    <row r="2364" spans="2:11" ht="24.9" customHeight="1" x14ac:dyDescent="0.2">
      <c r="B2364" s="657" t="s">
        <v>1325</v>
      </c>
      <c r="C2364" s="108" t="str">
        <f>+'LISTA DE INSUMOS'!A31</f>
        <v>MAT002</v>
      </c>
      <c r="D2364" s="139" t="str">
        <f>+'LISTA DE INSUMOS'!B31</f>
        <v>Cemento blanco</v>
      </c>
      <c r="E2364" s="108" t="str">
        <f>+'LISTA DE INSUMOS'!C31</f>
        <v>Kg</v>
      </c>
      <c r="F2364" s="140">
        <v>0.25</v>
      </c>
      <c r="G2364" s="141">
        <f>'LISTA DE INSUMOS'!E31</f>
        <v>2900</v>
      </c>
      <c r="H2364" s="108">
        <v>1.05</v>
      </c>
      <c r="I2364" s="141">
        <f>ROUND((F2364*G2364*H2364),0)</f>
        <v>761</v>
      </c>
      <c r="J2364" s="47"/>
      <c r="K2364" s="143"/>
    </row>
    <row r="2365" spans="2:11" ht="24.9" customHeight="1" thickBot="1" x14ac:dyDescent="0.25">
      <c r="B2365" s="659"/>
      <c r="C2365" s="108" t="str">
        <f>+'LISTA DE INSUMOS'!A277</f>
        <v>MAT249</v>
      </c>
      <c r="D2365" s="139" t="str">
        <f>+'LISTA DE INSUMOS'!B277</f>
        <v>Incrustaciones tipo Acuacer (viene por 4 un)</v>
      </c>
      <c r="E2365" s="108" t="str">
        <f>+'LISTA DE INSUMOS'!C277</f>
        <v>Un</v>
      </c>
      <c r="F2365" s="140">
        <v>1</v>
      </c>
      <c r="G2365" s="141">
        <f>'LISTA DE INSUMOS'!E277</f>
        <v>47520.768319236813</v>
      </c>
      <c r="H2365" s="108">
        <v>0</v>
      </c>
      <c r="I2365" s="141">
        <f t="shared" si="25"/>
        <v>47521</v>
      </c>
      <c r="J2365" s="47"/>
      <c r="K2365" s="143"/>
    </row>
    <row r="2366" spans="2:11" ht="24.9" customHeight="1" thickTop="1" thickBot="1" x14ac:dyDescent="0.25">
      <c r="B2366" s="153" t="s">
        <v>1034</v>
      </c>
      <c r="C2366" s="108" t="str">
        <f>+'LISTA DE INSUMOS'!A5</f>
        <v>MOB002</v>
      </c>
      <c r="D2366" s="139" t="str">
        <f>+'LISTA DE INSUMOS'!B5</f>
        <v>Oficial (jornal + prestaciones)</v>
      </c>
      <c r="E2366" s="108" t="str">
        <f>+'LISTA DE INSUMOS'!C5</f>
        <v>Día</v>
      </c>
      <c r="F2366" s="140">
        <v>1</v>
      </c>
      <c r="G2366" s="141">
        <f>'LISTA DE INSUMOS'!E5</f>
        <v>163723</v>
      </c>
      <c r="H2366" s="108">
        <f>1/12</f>
        <v>8.3333333333333329E-2</v>
      </c>
      <c r="I2366" s="141">
        <f>ROUND((F2366*G2366*H2366),0)</f>
        <v>13644</v>
      </c>
      <c r="J2366" s="47"/>
      <c r="K2366" s="143"/>
    </row>
    <row r="2367" spans="2:11" ht="24.9" customHeight="1" thickTop="1" thickBot="1" x14ac:dyDescent="0.25">
      <c r="B2367" s="150" t="s">
        <v>1033</v>
      </c>
      <c r="C2367" s="151" t="str">
        <f>+'LISTA DE INSUMOS'!A758</f>
        <v>EQU002</v>
      </c>
      <c r="D2367" s="146" t="str">
        <f>+'LISTA DE INSUMOS'!B758</f>
        <v>Herramienta menor (% mano obra)</v>
      </c>
      <c r="E2367" s="145" t="str">
        <f>+'LISTA DE INSUMOS'!C758</f>
        <v>%MO</v>
      </c>
      <c r="F2367" s="147">
        <v>0.1</v>
      </c>
      <c r="G2367" s="148">
        <f>I2366</f>
        <v>13644</v>
      </c>
      <c r="H2367" s="145">
        <v>0</v>
      </c>
      <c r="I2367" s="148">
        <f t="shared" si="25"/>
        <v>1364</v>
      </c>
      <c r="J2367" s="47"/>
      <c r="K2367" s="143"/>
    </row>
    <row r="2368" spans="2:11" s="317" customFormat="1" ht="24.9" hidden="1" customHeight="1" x14ac:dyDescent="0.2">
      <c r="B2368" s="319" t="s">
        <v>1666</v>
      </c>
      <c r="C2368" s="319"/>
      <c r="D2368" s="320" t="s">
        <v>1695</v>
      </c>
      <c r="E2368" s="322" t="s">
        <v>1435</v>
      </c>
      <c r="F2368" s="321"/>
      <c r="G2368" s="312">
        <f>ROUND(SUM(I2368:I2372),0)</f>
        <v>134903</v>
      </c>
      <c r="H2368" s="322"/>
      <c r="I2368" s="312"/>
      <c r="J2368" s="313"/>
      <c r="K2368" s="323"/>
    </row>
    <row r="2369" spans="2:11" s="317" customFormat="1" ht="24.9" hidden="1" customHeight="1" x14ac:dyDescent="0.2">
      <c r="B2369" s="658" t="s">
        <v>1325</v>
      </c>
      <c r="C2369" s="322" t="str">
        <f>+'LISTA DE INSUMOS'!A31</f>
        <v>MAT002</v>
      </c>
      <c r="D2369" s="324" t="str">
        <f>+'LISTA DE INSUMOS'!B31</f>
        <v>Cemento blanco</v>
      </c>
      <c r="E2369" s="322" t="str">
        <f>+'LISTA DE INSUMOS'!C31</f>
        <v>Kg</v>
      </c>
      <c r="F2369" s="325">
        <v>0.3</v>
      </c>
      <c r="G2369" s="312">
        <f>'LISTA DE INSUMOS'!E31</f>
        <v>2900</v>
      </c>
      <c r="H2369" s="322">
        <v>1.05</v>
      </c>
      <c r="I2369" s="312">
        <f>ROUND((F2369*G2369*H2369),0)</f>
        <v>914</v>
      </c>
      <c r="J2369" s="313"/>
      <c r="K2369" s="323"/>
    </row>
    <row r="2370" spans="2:11" s="317" customFormat="1" ht="24.9" hidden="1" customHeight="1" thickBot="1" x14ac:dyDescent="0.25">
      <c r="B2370" s="668"/>
      <c r="C2370" s="322" t="str">
        <f>+'LISTA DE INSUMOS'!A134</f>
        <v>MAT094</v>
      </c>
      <c r="D2370" s="324" t="str">
        <f>+'LISTA DE INSUMOS'!B134</f>
        <v>Incrustaciones tipo astro (6 un)</v>
      </c>
      <c r="E2370" s="322" t="str">
        <f>+'LISTA DE INSUMOS'!C134</f>
        <v>Un</v>
      </c>
      <c r="F2370" s="325">
        <v>1</v>
      </c>
      <c r="G2370" s="312">
        <f>'LISTA DE INSUMOS'!E134</f>
        <v>118981.46310154104</v>
      </c>
      <c r="H2370" s="322">
        <v>0</v>
      </c>
      <c r="I2370" s="312">
        <f t="shared" si="25"/>
        <v>118981</v>
      </c>
      <c r="J2370" s="313"/>
      <c r="K2370" s="323"/>
    </row>
    <row r="2371" spans="2:11" s="317" customFormat="1" ht="24.9" hidden="1" customHeight="1" thickTop="1" thickBot="1" x14ac:dyDescent="0.25">
      <c r="B2371" s="363" t="s">
        <v>1034</v>
      </c>
      <c r="C2371" s="322" t="str">
        <f>+'LISTA DE INSUMOS'!A5</f>
        <v>MOB002</v>
      </c>
      <c r="D2371" s="324" t="str">
        <f>+'LISTA DE INSUMOS'!B5</f>
        <v>Oficial (jornal + prestaciones)</v>
      </c>
      <c r="E2371" s="322" t="str">
        <f>+'LISTA DE INSUMOS'!C5</f>
        <v>Día</v>
      </c>
      <c r="F2371" s="325">
        <v>1</v>
      </c>
      <c r="G2371" s="312">
        <f>'LISTA DE INSUMOS'!E5</f>
        <v>163723</v>
      </c>
      <c r="H2371" s="322">
        <f>1/12</f>
        <v>8.3333333333333329E-2</v>
      </c>
      <c r="I2371" s="312">
        <f>ROUND((F2371*G2371*H2371),0)</f>
        <v>13644</v>
      </c>
      <c r="J2371" s="313"/>
      <c r="K2371" s="323"/>
    </row>
    <row r="2372" spans="2:11" s="317" customFormat="1" ht="24.9" hidden="1" customHeight="1" thickTop="1" thickBot="1" x14ac:dyDescent="0.25">
      <c r="B2372" s="255" t="s">
        <v>1033</v>
      </c>
      <c r="C2372" s="327" t="str">
        <f>+'LISTA DE INSUMOS'!A758</f>
        <v>EQU002</v>
      </c>
      <c r="D2372" s="328" t="str">
        <f>+'LISTA DE INSUMOS'!B758</f>
        <v>Herramienta menor (% mano obra)</v>
      </c>
      <c r="E2372" s="329" t="str">
        <f>+'LISTA DE INSUMOS'!C758</f>
        <v>%MO</v>
      </c>
      <c r="F2372" s="330">
        <v>0.1</v>
      </c>
      <c r="G2372" s="331">
        <f>I2371</f>
        <v>13644</v>
      </c>
      <c r="H2372" s="329">
        <v>0</v>
      </c>
      <c r="I2372" s="331">
        <f t="shared" si="25"/>
        <v>1364</v>
      </c>
      <c r="J2372" s="313"/>
      <c r="K2372" s="323"/>
    </row>
    <row r="2373" spans="2:11" ht="24.9" customHeight="1" x14ac:dyDescent="0.2">
      <c r="B2373" s="117" t="s">
        <v>1676</v>
      </c>
      <c r="C2373" s="117"/>
      <c r="D2373" s="112" t="s">
        <v>1709</v>
      </c>
      <c r="E2373" s="117" t="s">
        <v>1435</v>
      </c>
      <c r="F2373" s="118"/>
      <c r="G2373" s="119">
        <f>ROUND(SUM(I2373:I2379),0)</f>
        <v>311968</v>
      </c>
      <c r="H2373" s="120"/>
      <c r="I2373" s="119"/>
      <c r="J2373" s="47"/>
      <c r="K2373" s="143"/>
    </row>
    <row r="2374" spans="2:11" ht="24.9" customHeight="1" x14ac:dyDescent="0.2">
      <c r="B2374" s="672" t="s">
        <v>1035</v>
      </c>
      <c r="C2374" s="108" t="str">
        <f>+'LISTA DE INSUMOS'!A138</f>
        <v>MAT098</v>
      </c>
      <c r="D2374" s="139" t="str">
        <f>+'LISTA DE INSUMOS'!B138</f>
        <v>Lavamanos tipo Acuacer de colgar blanco</v>
      </c>
      <c r="E2374" s="108" t="str">
        <f>+'LISTA DE INSUMOS'!C138</f>
        <v>Un</v>
      </c>
      <c r="F2374" s="140">
        <v>1</v>
      </c>
      <c r="G2374" s="141">
        <f>+'LISTA DE INSUMOS'!E138</f>
        <v>86637.359759999992</v>
      </c>
      <c r="H2374" s="108">
        <v>0</v>
      </c>
      <c r="I2374" s="141">
        <f t="shared" si="25"/>
        <v>86637</v>
      </c>
      <c r="J2374" s="47"/>
      <c r="K2374" s="143"/>
    </row>
    <row r="2375" spans="2:11" ht="24.9" customHeight="1" x14ac:dyDescent="0.2">
      <c r="B2375" s="672"/>
      <c r="C2375" s="108" t="str">
        <f>+'LISTA DE INSUMOS'!A31</f>
        <v>MAT002</v>
      </c>
      <c r="D2375" s="139" t="str">
        <f>+'LISTA DE INSUMOS'!B31</f>
        <v>Cemento blanco</v>
      </c>
      <c r="E2375" s="108" t="str">
        <f>+'LISTA DE INSUMOS'!C31</f>
        <v>Kg</v>
      </c>
      <c r="F2375" s="140">
        <v>0.3</v>
      </c>
      <c r="G2375" s="141">
        <f>'LISTA DE INSUMOS'!E31</f>
        <v>2900</v>
      </c>
      <c r="H2375" s="108">
        <v>1.05</v>
      </c>
      <c r="I2375" s="141">
        <f>ROUND((F2375*G2375*H2375),0)</f>
        <v>914</v>
      </c>
      <c r="J2375" s="47"/>
      <c r="K2375" s="143"/>
    </row>
    <row r="2376" spans="2:11" ht="24.9" customHeight="1" x14ac:dyDescent="0.2">
      <c r="B2376" s="672"/>
      <c r="C2376" s="125" t="str">
        <f>+'LISTA DE INSUMOS'!A276</f>
        <v>MAT247</v>
      </c>
      <c r="D2376" s="155" t="str">
        <f>+'LISTA DE INSUMOS'!B276</f>
        <v>Acople flexible</v>
      </c>
      <c r="E2376" s="108" t="str">
        <f>+'LISTA DE INSUMOS'!C276</f>
        <v>Un</v>
      </c>
      <c r="F2376" s="140">
        <v>2</v>
      </c>
      <c r="G2376" s="141">
        <f>'LISTA DE INSUMOS'!E276</f>
        <v>23093.113425782398</v>
      </c>
      <c r="H2376" s="108">
        <v>0</v>
      </c>
      <c r="I2376" s="141">
        <f t="shared" si="25"/>
        <v>46186</v>
      </c>
      <c r="J2376" s="47"/>
      <c r="K2376" s="143"/>
    </row>
    <row r="2377" spans="2:11" ht="24.9" customHeight="1" thickBot="1" x14ac:dyDescent="0.25">
      <c r="B2377" s="673"/>
      <c r="C2377" s="125" t="str">
        <f>+'LISTA DE INSUMOS'!A623</f>
        <v>MAT639</v>
      </c>
      <c r="D2377" s="155" t="str">
        <f>+'LISTA DE INSUMOS'!B623</f>
        <v>Grifería para lavamanos Dalia grival</v>
      </c>
      <c r="E2377" s="108" t="str">
        <f>+'LISTA DE INSUMOS'!C623</f>
        <v>Un</v>
      </c>
      <c r="F2377" s="140">
        <v>1</v>
      </c>
      <c r="G2377" s="141">
        <f>+'LISTA DE INSUMOS'!E623</f>
        <v>88183.209110699987</v>
      </c>
      <c r="H2377" s="108">
        <v>0</v>
      </c>
      <c r="I2377" s="141">
        <f t="shared" si="25"/>
        <v>88183</v>
      </c>
      <c r="J2377" s="47"/>
      <c r="K2377" s="143"/>
    </row>
    <row r="2378" spans="2:11" ht="24.9" customHeight="1" thickTop="1" thickBot="1" x14ac:dyDescent="0.25">
      <c r="B2378" s="153" t="s">
        <v>1034</v>
      </c>
      <c r="C2378" s="108" t="str">
        <f>+'LISTA DE INSUMOS'!A5</f>
        <v>MOB002</v>
      </c>
      <c r="D2378" s="139" t="str">
        <f>+'LISTA DE INSUMOS'!B5</f>
        <v>Oficial (jornal + prestaciones)</v>
      </c>
      <c r="E2378" s="108" t="str">
        <f>+'LISTA DE INSUMOS'!C5</f>
        <v>Día</v>
      </c>
      <c r="F2378" s="140">
        <v>1</v>
      </c>
      <c r="G2378" s="141">
        <f>'LISTA DE INSUMOS'!E5</f>
        <v>163723</v>
      </c>
      <c r="H2378" s="108">
        <f>1/2</f>
        <v>0.5</v>
      </c>
      <c r="I2378" s="141">
        <f>ROUND((F2378*G2378*H2378),0)</f>
        <v>81862</v>
      </c>
      <c r="J2378" s="47"/>
      <c r="K2378" s="143"/>
    </row>
    <row r="2379" spans="2:11" ht="22.5" customHeight="1" thickTop="1" thickBot="1" x14ac:dyDescent="0.25">
      <c r="B2379" s="150" t="s">
        <v>1033</v>
      </c>
      <c r="C2379" s="151" t="str">
        <f>+'LISTA DE INSUMOS'!A758</f>
        <v>EQU002</v>
      </c>
      <c r="D2379" s="146" t="str">
        <f>+'LISTA DE INSUMOS'!B758</f>
        <v>Herramienta menor (% mano obra)</v>
      </c>
      <c r="E2379" s="145" t="str">
        <f>+'LISTA DE INSUMOS'!C758</f>
        <v>%MO</v>
      </c>
      <c r="F2379" s="147">
        <v>0.1</v>
      </c>
      <c r="G2379" s="148">
        <f>I2378</f>
        <v>81862</v>
      </c>
      <c r="H2379" s="145">
        <v>0</v>
      </c>
      <c r="I2379" s="148">
        <f>IF(H2379&gt;=0,(F2379*G2379*(1+H2379/100)),ABS(F2379*G2379/H2379))</f>
        <v>8186.2000000000007</v>
      </c>
      <c r="J2379" s="47"/>
      <c r="K2379" s="143"/>
    </row>
    <row r="2380" spans="2:11" s="317" customFormat="1" ht="24.9" hidden="1" customHeight="1" x14ac:dyDescent="0.2">
      <c r="B2380" s="319" t="s">
        <v>1472</v>
      </c>
      <c r="C2380" s="319"/>
      <c r="D2380" s="320" t="s">
        <v>1694</v>
      </c>
      <c r="E2380" s="319" t="s">
        <v>1435</v>
      </c>
      <c r="F2380" s="321"/>
      <c r="G2380" s="312">
        <f>ROUND(SUM(I2380:I2383),0)</f>
        <v>95215</v>
      </c>
      <c r="H2380" s="322"/>
      <c r="I2380" s="312"/>
      <c r="J2380" s="313"/>
      <c r="K2380" s="323"/>
    </row>
    <row r="2381" spans="2:11" s="317" customFormat="1" ht="24.9" hidden="1" customHeight="1" thickBot="1" x14ac:dyDescent="0.25">
      <c r="B2381" s="347" t="s">
        <v>1325</v>
      </c>
      <c r="C2381" s="322" t="str">
        <f>+'LISTA DE INSUMOS'!A136</f>
        <v>MAT096</v>
      </c>
      <c r="D2381" s="324" t="str">
        <f>+'LISTA DE INSUMOS'!B136</f>
        <v>Incrustaciones tipo allegro (5 un)</v>
      </c>
      <c r="E2381" s="322" t="str">
        <f>+'LISTA DE INSUMOS'!C136</f>
        <v>Un</v>
      </c>
      <c r="F2381" s="325">
        <v>1</v>
      </c>
      <c r="G2381" s="312">
        <f>'LISTA DE INSUMOS'!E136</f>
        <v>80207.327927999999</v>
      </c>
      <c r="H2381" s="322">
        <v>0</v>
      </c>
      <c r="I2381" s="312">
        <f>ROUND((F2381*G2381),0)</f>
        <v>80207</v>
      </c>
      <c r="J2381" s="313"/>
      <c r="K2381" s="323"/>
    </row>
    <row r="2382" spans="2:11" s="317" customFormat="1" ht="24.9" hidden="1" customHeight="1" thickTop="1" thickBot="1" x14ac:dyDescent="0.25">
      <c r="B2382" s="363" t="s">
        <v>1034</v>
      </c>
      <c r="C2382" s="322" t="str">
        <f>+'LISTA DE INSUMOS'!A5</f>
        <v>MOB002</v>
      </c>
      <c r="D2382" s="324" t="str">
        <f>+'LISTA DE INSUMOS'!B5</f>
        <v>Oficial (jornal + prestaciones)</v>
      </c>
      <c r="E2382" s="322" t="str">
        <f>+'LISTA DE INSUMOS'!C5</f>
        <v>Día</v>
      </c>
      <c r="F2382" s="325">
        <v>1</v>
      </c>
      <c r="G2382" s="312">
        <f>'LISTA DE INSUMOS'!E5</f>
        <v>163723</v>
      </c>
      <c r="H2382" s="322">
        <f>1/12</f>
        <v>8.3333333333333329E-2</v>
      </c>
      <c r="I2382" s="312">
        <f>ROUND((F2382*G2382*H2382),0)</f>
        <v>13644</v>
      </c>
      <c r="J2382" s="313"/>
      <c r="K2382" s="323"/>
    </row>
    <row r="2383" spans="2:11" s="317" customFormat="1" ht="30" hidden="1" customHeight="1" thickTop="1" thickBot="1" x14ac:dyDescent="0.25">
      <c r="B2383" s="255" t="s">
        <v>1033</v>
      </c>
      <c r="C2383" s="327" t="str">
        <f>+'LISTA DE INSUMOS'!A758</f>
        <v>EQU002</v>
      </c>
      <c r="D2383" s="328" t="str">
        <f>+'LISTA DE INSUMOS'!B758</f>
        <v>Herramienta menor (% mano obra)</v>
      </c>
      <c r="E2383" s="329" t="str">
        <f>+'LISTA DE INSUMOS'!C758</f>
        <v>%MO</v>
      </c>
      <c r="F2383" s="330">
        <v>0.1</v>
      </c>
      <c r="G2383" s="331">
        <f>I2382</f>
        <v>13644</v>
      </c>
      <c r="H2383" s="329">
        <v>0</v>
      </c>
      <c r="I2383" s="331">
        <f>ROUND((F2383*G2383),0)</f>
        <v>1364</v>
      </c>
      <c r="J2383" s="313"/>
      <c r="K2383" s="323"/>
    </row>
    <row r="2384" spans="2:11" s="317" customFormat="1" ht="30" hidden="1" customHeight="1" x14ac:dyDescent="0.2">
      <c r="B2384" s="319" t="s">
        <v>1470</v>
      </c>
      <c r="C2384" s="319"/>
      <c r="D2384" s="320" t="s">
        <v>1711</v>
      </c>
      <c r="E2384" s="319" t="s">
        <v>1435</v>
      </c>
      <c r="F2384" s="332"/>
      <c r="G2384" s="312">
        <f>ROUND(SUM(I2384:I2390),0)</f>
        <v>391951</v>
      </c>
      <c r="H2384" s="322"/>
      <c r="I2384" s="312"/>
      <c r="J2384" s="313"/>
      <c r="K2384" s="323"/>
    </row>
    <row r="2385" spans="2:11" s="317" customFormat="1" ht="30" hidden="1" customHeight="1" x14ac:dyDescent="0.2">
      <c r="B2385" s="691" t="s">
        <v>1035</v>
      </c>
      <c r="C2385" s="322" t="str">
        <f>+'LISTA DE INSUMOS'!A31</f>
        <v>MAT002</v>
      </c>
      <c r="D2385" s="324" t="str">
        <f>+'LISTA DE INSUMOS'!B31</f>
        <v>Cemento blanco</v>
      </c>
      <c r="E2385" s="322" t="str">
        <f>+'LISTA DE INSUMOS'!C31</f>
        <v>Kg</v>
      </c>
      <c r="F2385" s="325">
        <v>0.5</v>
      </c>
      <c r="G2385" s="312">
        <f>'LISTA DE INSUMOS'!E31</f>
        <v>2900</v>
      </c>
      <c r="H2385" s="322">
        <v>1.05</v>
      </c>
      <c r="I2385" s="312">
        <f>ROUND((F2385*G2385*H2385),0)</f>
        <v>1523</v>
      </c>
      <c r="J2385" s="313"/>
      <c r="K2385" s="323"/>
    </row>
    <row r="2386" spans="2:11" s="317" customFormat="1" ht="24.9" hidden="1" customHeight="1" x14ac:dyDescent="0.2">
      <c r="B2386" s="691"/>
      <c r="C2386" s="322" t="str">
        <f>+'LISTA DE INSUMOS'!A202</f>
        <v>MAT161</v>
      </c>
      <c r="D2386" s="324" t="str">
        <f>+'LISTA DE INSUMOS'!B202</f>
        <v>Lavamanos tipo Avanti de pedestal</v>
      </c>
      <c r="E2386" s="322" t="str">
        <f>+'LISTA DE INSUMOS'!C202</f>
        <v>Un</v>
      </c>
      <c r="F2386" s="325">
        <v>1</v>
      </c>
      <c r="G2386" s="312">
        <f>'LISTA DE INSUMOS'!E202</f>
        <v>166011.38999999998</v>
      </c>
      <c r="H2386" s="322">
        <v>0</v>
      </c>
      <c r="I2386" s="312">
        <f>ROUND((F2386*G2386),0)</f>
        <v>166011</v>
      </c>
      <c r="J2386" s="313"/>
      <c r="K2386" s="323"/>
    </row>
    <row r="2387" spans="2:11" s="317" customFormat="1" ht="24.9" hidden="1" customHeight="1" x14ac:dyDescent="0.2">
      <c r="B2387" s="691"/>
      <c r="C2387" s="338" t="str">
        <f>+'LISTA DE INSUMOS'!A276</f>
        <v>MAT247</v>
      </c>
      <c r="D2387" s="339" t="str">
        <f>+'LISTA DE INSUMOS'!B276</f>
        <v>Acople flexible</v>
      </c>
      <c r="E2387" s="322" t="str">
        <f>+'LISTA DE INSUMOS'!C276</f>
        <v>Un</v>
      </c>
      <c r="F2387" s="325">
        <v>2</v>
      </c>
      <c r="G2387" s="312">
        <f>'LISTA DE INSUMOS'!E276</f>
        <v>23093.113425782398</v>
      </c>
      <c r="H2387" s="322">
        <v>0</v>
      </c>
      <c r="I2387" s="312">
        <f>ROUND((F2387*G2387),0)</f>
        <v>46186</v>
      </c>
      <c r="J2387" s="313"/>
      <c r="K2387" s="323"/>
    </row>
    <row r="2388" spans="2:11" s="317" customFormat="1" ht="24.9" hidden="1" customHeight="1" thickBot="1" x14ac:dyDescent="0.25">
      <c r="B2388" s="692"/>
      <c r="C2388" s="338" t="str">
        <f>+'LISTA DE INSUMOS'!A623</f>
        <v>MAT639</v>
      </c>
      <c r="D2388" s="339" t="str">
        <f>+'LISTA DE INSUMOS'!B623</f>
        <v>Grifería para lavamanos Dalia grival</v>
      </c>
      <c r="E2388" s="322" t="str">
        <f>+'LISTA DE INSUMOS'!C623</f>
        <v>Un</v>
      </c>
      <c r="F2388" s="325">
        <v>1</v>
      </c>
      <c r="G2388" s="312">
        <f>'LISTA DE INSUMOS'!E623</f>
        <v>88183.209110699987</v>
      </c>
      <c r="H2388" s="322">
        <v>0</v>
      </c>
      <c r="I2388" s="312">
        <f>ROUND((F2388*G2388),0)</f>
        <v>88183</v>
      </c>
      <c r="J2388" s="313"/>
      <c r="K2388" s="323"/>
    </row>
    <row r="2389" spans="2:11" s="317" customFormat="1" ht="24.9" hidden="1" customHeight="1" thickTop="1" thickBot="1" x14ac:dyDescent="0.25">
      <c r="B2389" s="363" t="s">
        <v>1034</v>
      </c>
      <c r="C2389" s="322" t="str">
        <f>+'LISTA DE INSUMOS'!A5</f>
        <v>MOB002</v>
      </c>
      <c r="D2389" s="324" t="str">
        <f>+'LISTA DE INSUMOS'!B5</f>
        <v>Oficial (jornal + prestaciones)</v>
      </c>
      <c r="E2389" s="322" t="str">
        <f>+'LISTA DE INSUMOS'!C5</f>
        <v>Día</v>
      </c>
      <c r="F2389" s="325">
        <v>1</v>
      </c>
      <c r="G2389" s="312">
        <f>'LISTA DE INSUMOS'!E5</f>
        <v>163723</v>
      </c>
      <c r="H2389" s="322">
        <f>1/2</f>
        <v>0.5</v>
      </c>
      <c r="I2389" s="312">
        <f>ROUND((F2389*G2389*H2389),0)</f>
        <v>81862</v>
      </c>
      <c r="J2389" s="313"/>
      <c r="K2389" s="323"/>
    </row>
    <row r="2390" spans="2:11" s="317" customFormat="1" ht="24.9" hidden="1" customHeight="1" thickTop="1" thickBot="1" x14ac:dyDescent="0.25">
      <c r="B2390" s="255" t="s">
        <v>1033</v>
      </c>
      <c r="C2390" s="327" t="str">
        <f>+'LISTA DE INSUMOS'!A758</f>
        <v>EQU002</v>
      </c>
      <c r="D2390" s="328" t="str">
        <f>+'LISTA DE INSUMOS'!B758</f>
        <v>Herramienta menor (% mano obra)</v>
      </c>
      <c r="E2390" s="329" t="str">
        <f>+'LISTA DE INSUMOS'!C758</f>
        <v>%MO</v>
      </c>
      <c r="F2390" s="330">
        <v>0.1</v>
      </c>
      <c r="G2390" s="331">
        <f>I2389</f>
        <v>81862</v>
      </c>
      <c r="H2390" s="329">
        <v>0</v>
      </c>
      <c r="I2390" s="331">
        <f>ROUND((F2390*G2390),0)</f>
        <v>8186</v>
      </c>
      <c r="J2390" s="313"/>
      <c r="K2390" s="323"/>
    </row>
    <row r="2391" spans="2:11" s="317" customFormat="1" ht="24.9" hidden="1" customHeight="1" x14ac:dyDescent="0.2">
      <c r="B2391" s="319" t="s">
        <v>1960</v>
      </c>
      <c r="C2391" s="319"/>
      <c r="D2391" s="320" t="s">
        <v>2541</v>
      </c>
      <c r="E2391" s="319" t="s">
        <v>1435</v>
      </c>
      <c r="F2391" s="321"/>
      <c r="G2391" s="312">
        <f>ROUND(SUM(I2391:I2396),0)</f>
        <v>331630</v>
      </c>
      <c r="H2391" s="322"/>
      <c r="I2391" s="312"/>
      <c r="J2391" s="313"/>
      <c r="K2391" s="323"/>
    </row>
    <row r="2392" spans="2:11" s="317" customFormat="1" ht="24.9" hidden="1" customHeight="1" x14ac:dyDescent="0.2">
      <c r="B2392" s="691" t="s">
        <v>1035</v>
      </c>
      <c r="C2392" s="322" t="str">
        <f>+'LISTA DE INSUMOS'!A31</f>
        <v>MAT002</v>
      </c>
      <c r="D2392" s="324" t="str">
        <f>+'LISTA DE INSUMOS'!B31</f>
        <v>Cemento blanco</v>
      </c>
      <c r="E2392" s="322" t="str">
        <f>+'LISTA DE INSUMOS'!C31</f>
        <v>Kg</v>
      </c>
      <c r="F2392" s="325">
        <v>0.5</v>
      </c>
      <c r="G2392" s="312">
        <f>'LISTA DE INSUMOS'!E31</f>
        <v>2900</v>
      </c>
      <c r="H2392" s="322">
        <v>1.05</v>
      </c>
      <c r="I2392" s="312">
        <f>ROUND((F2392*G2392*H2392),0)</f>
        <v>1523</v>
      </c>
      <c r="J2392" s="313"/>
      <c r="K2392" s="323"/>
    </row>
    <row r="2393" spans="2:11" s="317" customFormat="1" ht="11.25" hidden="1" customHeight="1" x14ac:dyDescent="0.2">
      <c r="B2393" s="691"/>
      <c r="C2393" s="338" t="str">
        <f>+'LISTA DE INSUMOS'!A276</f>
        <v>MAT247</v>
      </c>
      <c r="D2393" s="339" t="str">
        <f>+'LISTA DE INSUMOS'!B276</f>
        <v>Acople flexible</v>
      </c>
      <c r="E2393" s="322" t="str">
        <f>+'LISTA DE INSUMOS'!C276</f>
        <v>Un</v>
      </c>
      <c r="F2393" s="325">
        <v>1</v>
      </c>
      <c r="G2393" s="312">
        <f>'LISTA DE INSUMOS'!E276</f>
        <v>23093.113425782398</v>
      </c>
      <c r="H2393" s="322">
        <v>0</v>
      </c>
      <c r="I2393" s="312">
        <f>ROUND((F2393*G2393),0)</f>
        <v>23093</v>
      </c>
      <c r="J2393" s="313"/>
      <c r="K2393" s="323"/>
    </row>
    <row r="2394" spans="2:11" s="317" customFormat="1" ht="18" hidden="1" customHeight="1" thickBot="1" x14ac:dyDescent="0.25">
      <c r="B2394" s="692"/>
      <c r="C2394" s="322" t="str">
        <f>+'LISTA DE INSUMOS'!A142</f>
        <v>MAT101</v>
      </c>
      <c r="D2394" s="324" t="str">
        <f>+'LISTA DE INSUMOS'!B142</f>
        <v>Sanitario tao single Blanco</v>
      </c>
      <c r="E2394" s="322" t="str">
        <f>+'LISTA DE INSUMOS'!C142</f>
        <v>Un</v>
      </c>
      <c r="F2394" s="325">
        <v>1</v>
      </c>
      <c r="G2394" s="312">
        <f>'LISTA DE INSUMOS'!E142</f>
        <v>216966.38999999998</v>
      </c>
      <c r="H2394" s="322">
        <v>0</v>
      </c>
      <c r="I2394" s="312">
        <f>ROUND((F2394*G2394),0)</f>
        <v>216966</v>
      </c>
      <c r="J2394" s="313"/>
      <c r="K2394" s="323"/>
    </row>
    <row r="2395" spans="2:11" s="317" customFormat="1" ht="18.75" hidden="1" customHeight="1" thickTop="1" thickBot="1" x14ac:dyDescent="0.25">
      <c r="B2395" s="363" t="s">
        <v>1034</v>
      </c>
      <c r="C2395" s="322" t="str">
        <f>+'LISTA DE INSUMOS'!A5</f>
        <v>MOB002</v>
      </c>
      <c r="D2395" s="324" t="str">
        <f>+'LISTA DE INSUMOS'!B5</f>
        <v>Oficial (jornal + prestaciones)</v>
      </c>
      <c r="E2395" s="322" t="str">
        <f>+'LISTA DE INSUMOS'!C5</f>
        <v>Día</v>
      </c>
      <c r="F2395" s="325">
        <v>1</v>
      </c>
      <c r="G2395" s="312">
        <f>'LISTA DE INSUMOS'!E5</f>
        <v>163723</v>
      </c>
      <c r="H2395" s="322">
        <f>1/2</f>
        <v>0.5</v>
      </c>
      <c r="I2395" s="312">
        <f>ROUND((F2395*G2395*H2395),0)</f>
        <v>81862</v>
      </c>
      <c r="J2395" s="313"/>
      <c r="K2395" s="323"/>
    </row>
    <row r="2396" spans="2:11" s="317" customFormat="1" ht="25.5" hidden="1" customHeight="1" thickTop="1" thickBot="1" x14ac:dyDescent="0.25">
      <c r="B2396" s="255" t="s">
        <v>1033</v>
      </c>
      <c r="C2396" s="327" t="str">
        <f>+'LISTA DE INSUMOS'!A758</f>
        <v>EQU002</v>
      </c>
      <c r="D2396" s="328" t="str">
        <f>+'LISTA DE INSUMOS'!B758</f>
        <v>Herramienta menor (% mano obra)</v>
      </c>
      <c r="E2396" s="329" t="str">
        <f>+'LISTA DE INSUMOS'!C758</f>
        <v>%MO</v>
      </c>
      <c r="F2396" s="330">
        <v>0.1</v>
      </c>
      <c r="G2396" s="331">
        <f>I2395</f>
        <v>81862</v>
      </c>
      <c r="H2396" s="329">
        <v>0</v>
      </c>
      <c r="I2396" s="331">
        <f>ROUND((F2396*G2396),0)</f>
        <v>8186</v>
      </c>
      <c r="J2396" s="313"/>
      <c r="K2396" s="323"/>
    </row>
    <row r="2397" spans="2:11" ht="24.9" customHeight="1" x14ac:dyDescent="0.2">
      <c r="B2397" s="117" t="s">
        <v>1668</v>
      </c>
      <c r="C2397" s="117"/>
      <c r="D2397" s="112" t="s">
        <v>1290</v>
      </c>
      <c r="E2397" s="117" t="s">
        <v>2585</v>
      </c>
      <c r="F2397" s="149"/>
      <c r="G2397" s="119">
        <f>ROUND(SUM(I2397:I2402),0)</f>
        <v>35355</v>
      </c>
      <c r="H2397" s="120"/>
      <c r="I2397" s="119"/>
      <c r="J2397" s="47"/>
      <c r="K2397" s="143"/>
    </row>
    <row r="2398" spans="2:11" ht="24.9" customHeight="1" thickBot="1" x14ac:dyDescent="0.25">
      <c r="B2398" s="175" t="s">
        <v>1325</v>
      </c>
      <c r="C2398" s="108" t="str">
        <f>+'LISTA DE INSUMOS'!A380</f>
        <v>MAT374</v>
      </c>
      <c r="D2398" s="139" t="str">
        <f>+'LISTA DE INSUMOS'!B380</f>
        <v>Pintura vinilo para exteriores koraza o similar</v>
      </c>
      <c r="E2398" s="108" t="str">
        <f>+'LISTA DE INSUMOS'!C380</f>
        <v>Gl</v>
      </c>
      <c r="F2398" s="176">
        <f>1/12</f>
        <v>8.3333333333333329E-2</v>
      </c>
      <c r="G2398" s="141">
        <f>'LISTA DE INSUMOS'!E380</f>
        <v>135705.54706499999</v>
      </c>
      <c r="H2398" s="205">
        <v>1.03</v>
      </c>
      <c r="I2398" s="141">
        <f>ROUND((F2398*G2398*H2398),0)</f>
        <v>11648</v>
      </c>
      <c r="J2398" s="47"/>
      <c r="K2398" s="143"/>
    </row>
    <row r="2399" spans="2:11" ht="24.9" customHeight="1" thickTop="1" thickBot="1" x14ac:dyDescent="0.25">
      <c r="B2399" s="153" t="s">
        <v>1034</v>
      </c>
      <c r="C2399" s="108" t="str">
        <f>+'LISTA DE INSUMOS'!A18</f>
        <v>MOB015</v>
      </c>
      <c r="D2399" s="139" t="str">
        <f>+'LISTA DE INSUMOS'!B18</f>
        <v>Cuadrilla E 1 Of + 1 Ay (jornal + prestaciones)</v>
      </c>
      <c r="E2399" s="108" t="str">
        <f>+'LISTA DE INSUMOS'!C18</f>
        <v>Día</v>
      </c>
      <c r="F2399" s="176">
        <v>1</v>
      </c>
      <c r="G2399" s="141">
        <f>'LISTA DE INSUMOS'!E18</f>
        <v>245584</v>
      </c>
      <c r="H2399" s="205">
        <f>1/13</f>
        <v>7.6923076923076927E-2</v>
      </c>
      <c r="I2399" s="141">
        <f>ROUND((F2399*G2399*H2399),0)</f>
        <v>18891</v>
      </c>
      <c r="J2399" s="47"/>
      <c r="K2399" s="143"/>
    </row>
    <row r="2400" spans="2:11" ht="24.9" customHeight="1" thickTop="1" x14ac:dyDescent="0.2">
      <c r="B2400" s="647" t="s">
        <v>1033</v>
      </c>
      <c r="C2400" s="108" t="str">
        <f>+'LISTA DE INSUMOS'!A758</f>
        <v>EQU002</v>
      </c>
      <c r="D2400" s="139" t="str">
        <f>+'LISTA DE INSUMOS'!B758</f>
        <v>Herramienta menor (% mano obra)</v>
      </c>
      <c r="E2400" s="108" t="str">
        <f>+'LISTA DE INSUMOS'!C758</f>
        <v>%MO</v>
      </c>
      <c r="F2400" s="176">
        <v>0.1</v>
      </c>
      <c r="G2400" s="141">
        <f>I2399</f>
        <v>18891</v>
      </c>
      <c r="H2400" s="205">
        <v>0</v>
      </c>
      <c r="I2400" s="141">
        <f>ROUND((F2400*G2400),0)</f>
        <v>1889</v>
      </c>
      <c r="J2400" s="47"/>
      <c r="K2400" s="143"/>
    </row>
    <row r="2401" spans="2:11" ht="24.9" customHeight="1" x14ac:dyDescent="0.2">
      <c r="B2401" s="648"/>
      <c r="C2401" s="108" t="str">
        <f>'LISTA DE INSUMOS'!A820</f>
        <v>EQU065</v>
      </c>
      <c r="D2401" s="139" t="str">
        <f>'LISTA DE INSUMOS'!B820</f>
        <v>eslinga y arnes</v>
      </c>
      <c r="E2401" s="108" t="str">
        <f>'LISTA DE INSUMOS'!C820</f>
        <v>Dia</v>
      </c>
      <c r="F2401" s="176">
        <v>1</v>
      </c>
      <c r="G2401" s="141">
        <f>'LISTA DE INSUMOS'!E820</f>
        <v>20757.962193407995</v>
      </c>
      <c r="H2401" s="205">
        <f>1/20</f>
        <v>0.05</v>
      </c>
      <c r="I2401" s="141">
        <f>H2401*G2401*F2401</f>
        <v>1037.8981096703999</v>
      </c>
      <c r="J2401" s="47"/>
      <c r="K2401" s="143"/>
    </row>
    <row r="2402" spans="2:11" ht="24.9" customHeight="1" thickBot="1" x14ac:dyDescent="0.25">
      <c r="B2402" s="704"/>
      <c r="C2402" s="145" t="str">
        <f>+'LISTA DE INSUMOS'!A762</f>
        <v>EQU006</v>
      </c>
      <c r="D2402" s="146" t="str">
        <f>+'LISTA DE INSUMOS'!B762</f>
        <v>Andamio (% mano obra)</v>
      </c>
      <c r="E2402" s="145" t="str">
        <f>+'LISTA DE INSUMOS'!C762</f>
        <v>%MO</v>
      </c>
      <c r="F2402" s="229">
        <v>0.1</v>
      </c>
      <c r="G2402" s="148">
        <f>I2399</f>
        <v>18891</v>
      </c>
      <c r="H2402" s="206">
        <v>0</v>
      </c>
      <c r="I2402" s="148">
        <f>ROUND((F2402*G2402),0)</f>
        <v>1889</v>
      </c>
      <c r="J2402" s="47"/>
      <c r="K2402" s="143"/>
    </row>
    <row r="2403" spans="2:11" ht="24.9" customHeight="1" x14ac:dyDescent="0.2">
      <c r="B2403" s="117" t="s">
        <v>1678</v>
      </c>
      <c r="C2403" s="117"/>
      <c r="D2403" s="112" t="s">
        <v>2542</v>
      </c>
      <c r="E2403" s="117" t="s">
        <v>1435</v>
      </c>
      <c r="F2403" s="149"/>
      <c r="G2403" s="119">
        <f>ROUND(SUM(I2403:I2408),0)</f>
        <v>341821</v>
      </c>
      <c r="H2403" s="120"/>
      <c r="I2403" s="119"/>
      <c r="J2403" s="47"/>
      <c r="K2403" s="143"/>
    </row>
    <row r="2404" spans="2:11" ht="24.9" customHeight="1" x14ac:dyDescent="0.2">
      <c r="B2404" s="672" t="s">
        <v>1035</v>
      </c>
      <c r="C2404" s="108" t="str">
        <f>+'LISTA DE INSUMOS'!A31</f>
        <v>MAT002</v>
      </c>
      <c r="D2404" s="139" t="str">
        <f>+'LISTA DE INSUMOS'!B31</f>
        <v>Cemento blanco</v>
      </c>
      <c r="E2404" s="108" t="str">
        <f>+'LISTA DE INSUMOS'!C31</f>
        <v>Kg</v>
      </c>
      <c r="F2404" s="140">
        <v>0.5</v>
      </c>
      <c r="G2404" s="141">
        <f>'LISTA DE INSUMOS'!E31</f>
        <v>2900</v>
      </c>
      <c r="H2404" s="108">
        <v>1.05</v>
      </c>
      <c r="I2404" s="141">
        <f>ROUND((F2404*G2404*H2404),0)</f>
        <v>1523</v>
      </c>
      <c r="J2404" s="47"/>
      <c r="K2404" s="143"/>
    </row>
    <row r="2405" spans="2:11" ht="24.9" customHeight="1" x14ac:dyDescent="0.2">
      <c r="B2405" s="672"/>
      <c r="C2405" s="125" t="str">
        <f>+'LISTA DE INSUMOS'!A276</f>
        <v>MAT247</v>
      </c>
      <c r="D2405" s="155" t="str">
        <f>+'LISTA DE INSUMOS'!B276</f>
        <v>Acople flexible</v>
      </c>
      <c r="E2405" s="108" t="str">
        <f>+'LISTA DE INSUMOS'!C276</f>
        <v>Un</v>
      </c>
      <c r="F2405" s="140">
        <v>1</v>
      </c>
      <c r="G2405" s="141">
        <f>'LISTA DE INSUMOS'!E276</f>
        <v>23093.113425782398</v>
      </c>
      <c r="H2405" s="108">
        <v>0</v>
      </c>
      <c r="I2405" s="141">
        <f>ROUND((F2405*G2405),0)</f>
        <v>23093</v>
      </c>
      <c r="J2405" s="47"/>
      <c r="K2405" s="143"/>
    </row>
    <row r="2406" spans="2:11" ht="24.9" customHeight="1" thickBot="1" x14ac:dyDescent="0.25">
      <c r="B2406" s="673"/>
      <c r="C2406" s="108" t="str">
        <f>+'LISTA DE INSUMOS'!A140</f>
        <v>MAT100</v>
      </c>
      <c r="D2406" s="139" t="str">
        <f>+'LISTA DE INSUMOS'!B140</f>
        <v>Sanitario tipo acuaplus ultrablanco</v>
      </c>
      <c r="E2406" s="108" t="str">
        <f>+'LISTA DE INSUMOS'!C140</f>
        <v>Un</v>
      </c>
      <c r="F2406" s="140">
        <v>1</v>
      </c>
      <c r="G2406" s="141">
        <f>'LISTA DE INSUMOS'!E140</f>
        <v>227157.38999999998</v>
      </c>
      <c r="H2406" s="108">
        <v>0</v>
      </c>
      <c r="I2406" s="141">
        <f>ROUND((F2406*G2406),0)</f>
        <v>227157</v>
      </c>
      <c r="J2406" s="47"/>
      <c r="K2406" s="143"/>
    </row>
    <row r="2407" spans="2:11" ht="24.9" customHeight="1" thickTop="1" thickBot="1" x14ac:dyDescent="0.25">
      <c r="B2407" s="153" t="s">
        <v>1034</v>
      </c>
      <c r="C2407" s="108" t="str">
        <f>+'LISTA DE INSUMOS'!A5</f>
        <v>MOB002</v>
      </c>
      <c r="D2407" s="139" t="str">
        <f>+'LISTA DE INSUMOS'!B5</f>
        <v>Oficial (jornal + prestaciones)</v>
      </c>
      <c r="E2407" s="108" t="str">
        <f>+'LISTA DE INSUMOS'!C5</f>
        <v>Día</v>
      </c>
      <c r="F2407" s="140">
        <v>1</v>
      </c>
      <c r="G2407" s="141">
        <f>'LISTA DE INSUMOS'!E5</f>
        <v>163723</v>
      </c>
      <c r="H2407" s="108">
        <f>1/2</f>
        <v>0.5</v>
      </c>
      <c r="I2407" s="141">
        <f>ROUND((F2407*G2407*H2407),0)</f>
        <v>81862</v>
      </c>
      <c r="J2407" s="47"/>
      <c r="K2407" s="143"/>
    </row>
    <row r="2408" spans="2:11" ht="24.9" customHeight="1" thickTop="1" thickBot="1" x14ac:dyDescent="0.25">
      <c r="B2408" s="150" t="s">
        <v>1033</v>
      </c>
      <c r="C2408" s="151" t="str">
        <f>+'LISTA DE INSUMOS'!A758</f>
        <v>EQU002</v>
      </c>
      <c r="D2408" s="146" t="str">
        <f>+'LISTA DE INSUMOS'!B758</f>
        <v>Herramienta menor (% mano obra)</v>
      </c>
      <c r="E2408" s="145" t="str">
        <f>+'LISTA DE INSUMOS'!C758</f>
        <v>%MO</v>
      </c>
      <c r="F2408" s="147">
        <v>0.1</v>
      </c>
      <c r="G2408" s="148">
        <f>I2407</f>
        <v>81862</v>
      </c>
      <c r="H2408" s="145">
        <v>0</v>
      </c>
      <c r="I2408" s="148">
        <f>ROUND((F2408*G2408),0)</f>
        <v>8186</v>
      </c>
      <c r="J2408" s="47"/>
      <c r="K2408" s="143"/>
    </row>
    <row r="2409" spans="2:11" ht="24.9" customHeight="1" x14ac:dyDescent="0.2">
      <c r="B2409" s="117" t="s">
        <v>1670</v>
      </c>
      <c r="C2409" s="117"/>
      <c r="D2409" s="112" t="s">
        <v>399</v>
      </c>
      <c r="E2409" s="117" t="s">
        <v>1435</v>
      </c>
      <c r="F2409" s="149"/>
      <c r="G2409" s="119">
        <f>ROUND(SUM(I2409:I2415),0)</f>
        <v>443157</v>
      </c>
      <c r="H2409" s="120"/>
      <c r="I2409" s="119"/>
      <c r="J2409" s="47"/>
      <c r="K2409" s="143"/>
    </row>
    <row r="2410" spans="2:11" ht="24.9" customHeight="1" x14ac:dyDescent="0.2">
      <c r="B2410" s="672" t="s">
        <v>1035</v>
      </c>
      <c r="C2410" s="108" t="str">
        <f>+'LISTA DE INSUMOS'!A31</f>
        <v>MAT002</v>
      </c>
      <c r="D2410" s="139" t="str">
        <f>+'LISTA DE INSUMOS'!B31</f>
        <v>Cemento blanco</v>
      </c>
      <c r="E2410" s="108" t="str">
        <f>+'LISTA DE INSUMOS'!C31</f>
        <v>Kg</v>
      </c>
      <c r="F2410" s="140">
        <v>0.5</v>
      </c>
      <c r="G2410" s="141">
        <f>'LISTA DE INSUMOS'!E31</f>
        <v>2900</v>
      </c>
      <c r="H2410" s="108">
        <v>1.05</v>
      </c>
      <c r="I2410" s="141">
        <f>ROUND((F2410*G2410*H2410),0)</f>
        <v>1523</v>
      </c>
      <c r="J2410" s="47"/>
      <c r="K2410" s="143"/>
    </row>
    <row r="2411" spans="2:11" ht="24.9" customHeight="1" x14ac:dyDescent="0.2">
      <c r="B2411" s="672"/>
      <c r="C2411" s="125" t="str">
        <f>+'LISTA DE INSUMOS'!A276</f>
        <v>MAT247</v>
      </c>
      <c r="D2411" s="155" t="str">
        <f>+'LISTA DE INSUMOS'!B276</f>
        <v>Acople flexible</v>
      </c>
      <c r="E2411" s="108" t="str">
        <f>+'LISTA DE INSUMOS'!C276</f>
        <v>Un</v>
      </c>
      <c r="F2411" s="140">
        <v>2</v>
      </c>
      <c r="G2411" s="141">
        <f>'LISTA DE INSUMOS'!E276</f>
        <v>23093.113425782398</v>
      </c>
      <c r="H2411" s="108">
        <v>0</v>
      </c>
      <c r="I2411" s="141">
        <f>ROUND((F2411*G2411),0)</f>
        <v>46186</v>
      </c>
      <c r="J2411" s="47"/>
      <c r="K2411" s="143"/>
    </row>
    <row r="2412" spans="2:11" ht="24.9" customHeight="1" x14ac:dyDescent="0.2">
      <c r="B2412" s="672"/>
      <c r="C2412" s="125" t="str">
        <f>+'LISTA DE INSUMOS'!A624</f>
        <v>MAT640</v>
      </c>
      <c r="D2412" s="155" t="str">
        <f>+'LISTA DE INSUMOS'!B624</f>
        <v>Grifería para lavamanos Artesa grival</v>
      </c>
      <c r="E2412" s="108" t="str">
        <f>+'LISTA DE INSUMOS'!C624</f>
        <v>Un</v>
      </c>
      <c r="F2412" s="140">
        <v>1</v>
      </c>
      <c r="G2412" s="141">
        <f>'LISTA DE INSUMOS'!E624</f>
        <v>59164.968452699999</v>
      </c>
      <c r="H2412" s="108">
        <v>0</v>
      </c>
      <c r="I2412" s="141">
        <f>ROUND((F2412*G2412),0)</f>
        <v>59165</v>
      </c>
      <c r="J2412" s="47"/>
      <c r="K2412" s="143"/>
    </row>
    <row r="2413" spans="2:11" ht="24.9" customHeight="1" thickBot="1" x14ac:dyDescent="0.25">
      <c r="B2413" s="673"/>
      <c r="C2413" s="125" t="str">
        <f>+'LISTA DE INSUMOS'!A625</f>
        <v>MAT641</v>
      </c>
      <c r="D2413" s="155" t="str">
        <f>+'LISTA DE INSUMOS'!B625</f>
        <v>Lavamanos tipo acuacer de pedestal</v>
      </c>
      <c r="E2413" s="108" t="str">
        <f>+'LISTA DE INSUMOS'!C625</f>
        <v>Un</v>
      </c>
      <c r="F2413" s="140">
        <v>1</v>
      </c>
      <c r="G2413" s="141">
        <f>'LISTA DE INSUMOS'!E625</f>
        <v>246235.45154999997</v>
      </c>
      <c r="H2413" s="108">
        <v>0</v>
      </c>
      <c r="I2413" s="141">
        <f>ROUND((F2413*G2413),0)</f>
        <v>246235</v>
      </c>
      <c r="J2413" s="47"/>
      <c r="K2413" s="143"/>
    </row>
    <row r="2414" spans="2:11" ht="24.9" customHeight="1" thickTop="1" thickBot="1" x14ac:dyDescent="0.25">
      <c r="B2414" s="153" t="s">
        <v>1034</v>
      </c>
      <c r="C2414" s="108" t="str">
        <f>+'LISTA DE INSUMOS'!A5</f>
        <v>MOB002</v>
      </c>
      <c r="D2414" s="139" t="str">
        <f>+'LISTA DE INSUMOS'!B5</f>
        <v>Oficial (jornal + prestaciones)</v>
      </c>
      <c r="E2414" s="108" t="str">
        <f>+'LISTA DE INSUMOS'!C5</f>
        <v>Día</v>
      </c>
      <c r="F2414" s="140">
        <v>1</v>
      </c>
      <c r="G2414" s="141">
        <f>'LISTA DE INSUMOS'!E5</f>
        <v>163723</v>
      </c>
      <c r="H2414" s="108">
        <f>1/2</f>
        <v>0.5</v>
      </c>
      <c r="I2414" s="141">
        <f>ROUND((F2414*G2414*H2414),0)</f>
        <v>81862</v>
      </c>
      <c r="J2414" s="47"/>
      <c r="K2414" s="143"/>
    </row>
    <row r="2415" spans="2:11" ht="24.9" customHeight="1" thickTop="1" thickBot="1" x14ac:dyDescent="0.25">
      <c r="B2415" s="150" t="s">
        <v>1033</v>
      </c>
      <c r="C2415" s="151" t="str">
        <f>+'LISTA DE INSUMOS'!A758</f>
        <v>EQU002</v>
      </c>
      <c r="D2415" s="146" t="str">
        <f>+'LISTA DE INSUMOS'!B758</f>
        <v>Herramienta menor (% mano obra)</v>
      </c>
      <c r="E2415" s="145" t="str">
        <f>+'LISTA DE INSUMOS'!C758</f>
        <v>%MO</v>
      </c>
      <c r="F2415" s="147">
        <v>0.1</v>
      </c>
      <c r="G2415" s="148">
        <f>I2414</f>
        <v>81862</v>
      </c>
      <c r="H2415" s="145">
        <v>0</v>
      </c>
      <c r="I2415" s="148">
        <f>ROUND((F2415*G2415),0)</f>
        <v>8186</v>
      </c>
      <c r="J2415" s="47"/>
      <c r="K2415" s="143"/>
    </row>
    <row r="2416" spans="2:11" ht="24.9" customHeight="1" x14ac:dyDescent="0.2">
      <c r="B2416" s="117" t="s">
        <v>2061</v>
      </c>
      <c r="C2416" s="117"/>
      <c r="D2416" s="112" t="s">
        <v>1791</v>
      </c>
      <c r="E2416" s="117" t="s">
        <v>1435</v>
      </c>
      <c r="F2416" s="118"/>
      <c r="G2416" s="119">
        <f>ROUND(SUM(I2416:I2421),0)</f>
        <v>1445992</v>
      </c>
      <c r="H2416" s="120"/>
      <c r="I2416" s="119"/>
      <c r="J2416" s="47"/>
      <c r="K2416" s="143"/>
    </row>
    <row r="2417" spans="2:11" ht="24.9" customHeight="1" x14ac:dyDescent="0.2">
      <c r="B2417" s="672" t="s">
        <v>1035</v>
      </c>
      <c r="C2417" s="108" t="str">
        <f>+'LISTA DE INSUMOS'!A31</f>
        <v>MAT002</v>
      </c>
      <c r="D2417" s="139" t="str">
        <f>+'LISTA DE INSUMOS'!B31</f>
        <v>Cemento blanco</v>
      </c>
      <c r="E2417" s="108" t="str">
        <f>+'LISTA DE INSUMOS'!C31</f>
        <v>Kg</v>
      </c>
      <c r="F2417" s="140">
        <v>0.5</v>
      </c>
      <c r="G2417" s="141">
        <f>'LISTA DE INSUMOS'!E31</f>
        <v>2900</v>
      </c>
      <c r="H2417" s="108">
        <v>1.05</v>
      </c>
      <c r="I2417" s="141">
        <f>ROUND((F2417*G2417*H2417),0)</f>
        <v>1523</v>
      </c>
      <c r="J2417" s="47"/>
      <c r="K2417" s="143"/>
    </row>
    <row r="2418" spans="2:11" ht="24.9" customHeight="1" x14ac:dyDescent="0.2">
      <c r="B2418" s="672"/>
      <c r="C2418" s="125" t="str">
        <f>+'LISTA DE INSUMOS'!A619</f>
        <v>MAT635</v>
      </c>
      <c r="D2418" s="155" t="str">
        <f>+'LISTA DE INSUMOS'!B619</f>
        <v>Fluxómetro flujo ajustable, incluye accesorios</v>
      </c>
      <c r="E2418" s="108" t="str">
        <f>+'LISTA DE INSUMOS'!C619</f>
        <v>Un</v>
      </c>
      <c r="F2418" s="140">
        <v>1</v>
      </c>
      <c r="G2418" s="141">
        <f>+'LISTA DE INSUMOS'!E619</f>
        <v>953709.21318980982</v>
      </c>
      <c r="H2418" s="108">
        <v>0</v>
      </c>
      <c r="I2418" s="141">
        <f>ROUND((F2418*G2418),0)</f>
        <v>953709</v>
      </c>
      <c r="J2418" s="47"/>
      <c r="K2418" s="143"/>
    </row>
    <row r="2419" spans="2:11" ht="24.9" customHeight="1" thickBot="1" x14ac:dyDescent="0.25">
      <c r="B2419" s="673"/>
      <c r="C2419" s="108" t="str">
        <f>+'LISTA DE INSUMOS'!A381</f>
        <v>MAT375</v>
      </c>
      <c r="D2419" s="48" t="str">
        <f>+'LISTA DE INSUMOS'!B381</f>
        <v>Orinal Arrecife Para Fluxómetro Blanco</v>
      </c>
      <c r="E2419" s="108" t="str">
        <f>+'LISTA DE INSUMOS'!C381</f>
        <v>Un</v>
      </c>
      <c r="F2419" s="140">
        <v>1</v>
      </c>
      <c r="G2419" s="141">
        <f>+'LISTA DE INSUMOS'!E381</f>
        <v>400712.31106499996</v>
      </c>
      <c r="H2419" s="108">
        <v>0</v>
      </c>
      <c r="I2419" s="141">
        <f>ROUND((F2419*G2419),0)</f>
        <v>400712</v>
      </c>
      <c r="J2419" s="47"/>
      <c r="K2419" s="143"/>
    </row>
    <row r="2420" spans="2:11" ht="24.9" customHeight="1" thickTop="1" thickBot="1" x14ac:dyDescent="0.25">
      <c r="B2420" s="153" t="s">
        <v>1034</v>
      </c>
      <c r="C2420" s="108" t="str">
        <f>+'LISTA DE INSUMOS'!A5</f>
        <v>MOB002</v>
      </c>
      <c r="D2420" s="139" t="str">
        <f>+'LISTA DE INSUMOS'!B5</f>
        <v>Oficial (jornal + prestaciones)</v>
      </c>
      <c r="E2420" s="108" t="str">
        <f>+'LISTA DE INSUMOS'!C5</f>
        <v>Día</v>
      </c>
      <c r="F2420" s="140">
        <v>1</v>
      </c>
      <c r="G2420" s="141">
        <f>'LISTA DE INSUMOS'!E5</f>
        <v>163723</v>
      </c>
      <c r="H2420" s="108">
        <f>1/2</f>
        <v>0.5</v>
      </c>
      <c r="I2420" s="141">
        <f>ROUND((F2420*G2420*H2420),0)</f>
        <v>81862</v>
      </c>
      <c r="J2420" s="47"/>
      <c r="K2420" s="143"/>
    </row>
    <row r="2421" spans="2:11" ht="24.9" customHeight="1" thickTop="1" thickBot="1" x14ac:dyDescent="0.25">
      <c r="B2421" s="150" t="s">
        <v>1033</v>
      </c>
      <c r="C2421" s="151" t="str">
        <f>+'LISTA DE INSUMOS'!A758</f>
        <v>EQU002</v>
      </c>
      <c r="D2421" s="146" t="str">
        <f>+'LISTA DE INSUMOS'!B758</f>
        <v>Herramienta menor (% mano obra)</v>
      </c>
      <c r="E2421" s="145" t="str">
        <f>+'LISTA DE INSUMOS'!C758</f>
        <v>%MO</v>
      </c>
      <c r="F2421" s="147">
        <v>0.1</v>
      </c>
      <c r="G2421" s="148">
        <f>I2420</f>
        <v>81862</v>
      </c>
      <c r="H2421" s="145">
        <v>0</v>
      </c>
      <c r="I2421" s="148">
        <f>ROUND((F2421*G2421),0)</f>
        <v>8186</v>
      </c>
      <c r="J2421" s="47"/>
      <c r="K2421" s="143"/>
    </row>
    <row r="2422" spans="2:11" ht="24.9" customHeight="1" x14ac:dyDescent="0.2">
      <c r="B2422" s="117" t="s">
        <v>1705</v>
      </c>
      <c r="C2422" s="117"/>
      <c r="D2422" s="112" t="s">
        <v>1508</v>
      </c>
      <c r="E2422" s="117" t="s">
        <v>1435</v>
      </c>
      <c r="F2422" s="149"/>
      <c r="G2422" s="119">
        <f>ROUND(SUM(I2422:I2430),0)</f>
        <v>154172</v>
      </c>
      <c r="H2422" s="120"/>
      <c r="I2422" s="119"/>
      <c r="J2422" s="47"/>
      <c r="K2422" s="143"/>
    </row>
    <row r="2423" spans="2:11" ht="24.9" customHeight="1" x14ac:dyDescent="0.2">
      <c r="B2423" s="672" t="s">
        <v>1035</v>
      </c>
      <c r="C2423" s="108" t="str">
        <f>+'LISTA DE INSUMOS'!A199</f>
        <v>MAT159</v>
      </c>
      <c r="D2423" s="139" t="str">
        <f>+'LISTA DE INSUMOS'!B199</f>
        <v>Claraboya de fibrocemento No. 6 l = 1,690 a = 0,873 m</v>
      </c>
      <c r="E2423" s="108" t="str">
        <f>+'LISTA DE INSUMOS'!C199</f>
        <v>Un</v>
      </c>
      <c r="F2423" s="140">
        <v>1</v>
      </c>
      <c r="G2423" s="141">
        <f>'LISTA DE INSUMOS'!E199</f>
        <v>96396.210404999991</v>
      </c>
      <c r="H2423" s="108">
        <v>0</v>
      </c>
      <c r="I2423" s="141">
        <f>ROUND((F2423*G2423),0)</f>
        <v>96396</v>
      </c>
      <c r="J2423" s="47"/>
      <c r="K2423" s="143"/>
    </row>
    <row r="2424" spans="2:11" ht="24.9" customHeight="1" x14ac:dyDescent="0.2">
      <c r="B2424" s="672"/>
      <c r="C2424" s="108" t="str">
        <f>+'LISTA DE INSUMOS'!A78</f>
        <v>MAT042</v>
      </c>
      <c r="D2424" s="139" t="str">
        <f>+'LISTA DE INSUMOS'!B78</f>
        <v>Ganchos para teja ondulada de fibrocemento</v>
      </c>
      <c r="E2424" s="108" t="str">
        <f>+'LISTA DE INSUMOS'!C78</f>
        <v>Un</v>
      </c>
      <c r="F2424" s="140">
        <v>3</v>
      </c>
      <c r="G2424" s="141">
        <f>'LISTA DE INSUMOS'!E78</f>
        <v>832.87476149999986</v>
      </c>
      <c r="H2424" s="108">
        <v>0</v>
      </c>
      <c r="I2424" s="141">
        <f>ROUND((F2424*G2424),0)</f>
        <v>2499</v>
      </c>
      <c r="J2424" s="47"/>
      <c r="K2424" s="143"/>
    </row>
    <row r="2425" spans="2:11" ht="24.9" customHeight="1" x14ac:dyDescent="0.2">
      <c r="B2425" s="672"/>
      <c r="C2425" s="108" t="str">
        <f>+'LISTA DE INSUMOS'!A321</f>
        <v>MAT298</v>
      </c>
      <c r="D2425" s="139" t="str">
        <f>+'LISTA DE INSUMOS'!B321</f>
        <v>Platina tropicalizada x 2 unidades</v>
      </c>
      <c r="E2425" s="108" t="str">
        <f>+'LISTA DE INSUMOS'!C321</f>
        <v>Jg</v>
      </c>
      <c r="F2425" s="140">
        <v>1</v>
      </c>
      <c r="G2425" s="141">
        <f>'LISTA DE INSUMOS'!E321</f>
        <v>5763.8971169999995</v>
      </c>
      <c r="H2425" s="108">
        <v>0</v>
      </c>
      <c r="I2425" s="141">
        <f>ROUND((F2425*G2425),0)</f>
        <v>5764</v>
      </c>
      <c r="J2425" s="47"/>
      <c r="K2425" s="143"/>
    </row>
    <row r="2426" spans="2:11" ht="24.9" customHeight="1" x14ac:dyDescent="0.2">
      <c r="B2426" s="672"/>
      <c r="C2426" s="108" t="str">
        <f>+'LISTA DE INSUMOS'!A80</f>
        <v>MAT043</v>
      </c>
      <c r="D2426" s="139" t="str">
        <f>+'LISTA DE INSUMOS'!B80</f>
        <v>Amarras con tapa plástica para teja</v>
      </c>
      <c r="E2426" s="108" t="str">
        <f>+'LISTA DE INSUMOS'!C80</f>
        <v>Un</v>
      </c>
      <c r="F2426" s="140">
        <v>2</v>
      </c>
      <c r="G2426" s="141">
        <f>'LISTA DE INSUMOS'!E80</f>
        <v>662.41499999999996</v>
      </c>
      <c r="H2426" s="108">
        <v>0</v>
      </c>
      <c r="I2426" s="141">
        <f>ROUND((F2426*G2426),0)</f>
        <v>1325</v>
      </c>
      <c r="J2426" s="47"/>
      <c r="K2426" s="143"/>
    </row>
    <row r="2427" spans="2:11" ht="24.9" customHeight="1" x14ac:dyDescent="0.2">
      <c r="B2427" s="672"/>
      <c r="C2427" s="108" t="str">
        <f>+'LISTA DE INSUMOS'!A391</f>
        <v>MAT387</v>
      </c>
      <c r="D2427" s="139" t="str">
        <f>+'LISTA DE INSUMOS'!B391</f>
        <v>Impermeabilizante bituminoso para cubiertas</v>
      </c>
      <c r="E2427" s="108" t="str">
        <f>+'LISTA DE INSUMOS'!C391</f>
        <v>Kg</v>
      </c>
      <c r="F2427" s="140">
        <v>1.4999999999999999E-2</v>
      </c>
      <c r="G2427" s="141">
        <f>'LISTA DE INSUMOS'!E391</f>
        <v>19510.502441994297</v>
      </c>
      <c r="H2427" s="108">
        <v>1.03</v>
      </c>
      <c r="I2427" s="141">
        <f>ROUND((F2427*G2427*H2427),0)</f>
        <v>301</v>
      </c>
      <c r="J2427" s="47"/>
      <c r="K2427" s="143"/>
    </row>
    <row r="2428" spans="2:11" ht="24.9" customHeight="1" thickBot="1" x14ac:dyDescent="0.25">
      <c r="B2428" s="673"/>
      <c r="C2428" s="108" t="str">
        <f>+'LISTA DE INSUMOS'!A120</f>
        <v>MAT078</v>
      </c>
      <c r="D2428" s="139" t="str">
        <f>+'LISTA DE INSUMOS'!B120</f>
        <v>Vidrio de 4 mm templado</v>
      </c>
      <c r="E2428" s="108" t="str">
        <f>+'LISTA DE INSUMOS'!C120</f>
        <v>M2</v>
      </c>
      <c r="F2428" s="140">
        <f>0.7*0.62</f>
        <v>0.434</v>
      </c>
      <c r="G2428" s="141">
        <f>'LISTA DE INSUMOS'!E120</f>
        <v>68842.243199999997</v>
      </c>
      <c r="H2428" s="108">
        <v>0</v>
      </c>
      <c r="I2428" s="141">
        <f>ROUND((F2428*G2428),0)</f>
        <v>29878</v>
      </c>
      <c r="J2428" s="47"/>
      <c r="K2428" s="143"/>
    </row>
    <row r="2429" spans="2:11" ht="24.9" customHeight="1" thickTop="1" thickBot="1" x14ac:dyDescent="0.25">
      <c r="B2429" s="153" t="s">
        <v>1034</v>
      </c>
      <c r="C2429" s="108" t="str">
        <f>+'LISTA DE INSUMOS'!A18</f>
        <v>MOB015</v>
      </c>
      <c r="D2429" s="139" t="str">
        <f>+'LISTA DE INSUMOS'!B18</f>
        <v>Cuadrilla E 1 Of + 1 Ay (jornal + prestaciones)</v>
      </c>
      <c r="E2429" s="108" t="str">
        <f>+'LISTA DE INSUMOS'!C18</f>
        <v>Día</v>
      </c>
      <c r="F2429" s="140">
        <v>1</v>
      </c>
      <c r="G2429" s="141">
        <f>'LISTA DE INSUMOS'!E18</f>
        <v>245584</v>
      </c>
      <c r="H2429" s="142">
        <f>1/15</f>
        <v>6.6666666666666666E-2</v>
      </c>
      <c r="I2429" s="141">
        <f>ROUND((F2429*G2429*H2429),0)</f>
        <v>16372</v>
      </c>
      <c r="J2429" s="47"/>
      <c r="K2429" s="143"/>
    </row>
    <row r="2430" spans="2:11" ht="24.9" customHeight="1" thickTop="1" thickBot="1" x14ac:dyDescent="0.25">
      <c r="B2430" s="150" t="s">
        <v>1033</v>
      </c>
      <c r="C2430" s="151" t="str">
        <f>+'LISTA DE INSUMOS'!A758</f>
        <v>EQU002</v>
      </c>
      <c r="D2430" s="146" t="str">
        <f>+'LISTA DE INSUMOS'!B758</f>
        <v>Herramienta menor (% mano obra)</v>
      </c>
      <c r="E2430" s="145" t="str">
        <f>+'LISTA DE INSUMOS'!C758</f>
        <v>%MO</v>
      </c>
      <c r="F2430" s="147">
        <v>0.1</v>
      </c>
      <c r="G2430" s="148">
        <f>I2429</f>
        <v>16372</v>
      </c>
      <c r="H2430" s="145">
        <v>0</v>
      </c>
      <c r="I2430" s="148">
        <f>ROUND((F2430*G2430),0)</f>
        <v>1637</v>
      </c>
      <c r="J2430" s="47"/>
      <c r="K2430" s="143"/>
    </row>
    <row r="2431" spans="2:11" ht="24.9" customHeight="1" x14ac:dyDescent="0.2">
      <c r="B2431" s="117" t="s">
        <v>1707</v>
      </c>
      <c r="C2431" s="117"/>
      <c r="D2431" s="112" t="s">
        <v>449</v>
      </c>
      <c r="E2431" s="117" t="s">
        <v>2585</v>
      </c>
      <c r="F2431" s="149"/>
      <c r="G2431" s="119">
        <f>ROUND(SUM(I2431:I2439),0)</f>
        <v>106496</v>
      </c>
      <c r="H2431" s="120"/>
      <c r="I2431" s="119"/>
      <c r="J2431" s="47"/>
      <c r="K2431" s="143"/>
    </row>
    <row r="2432" spans="2:11" ht="24.9" customHeight="1" x14ac:dyDescent="0.2">
      <c r="B2432" s="672" t="s">
        <v>1035</v>
      </c>
      <c r="C2432" s="108" t="str">
        <f>+'LISTA DE INSUMOS'!A200</f>
        <v>MAT160</v>
      </c>
      <c r="D2432" s="139" t="str">
        <f>+'LISTA DE INSUMOS'!B200</f>
        <v>Teja española de fibrocemento 1,34</v>
      </c>
      <c r="E2432" s="108" t="str">
        <f>+'LISTA DE INSUMOS'!C200</f>
        <v>M2</v>
      </c>
      <c r="F2432" s="176">
        <v>1.27</v>
      </c>
      <c r="G2432" s="141">
        <f>'LISTA DE INSUMOS'!E200</f>
        <v>62580.892799999994</v>
      </c>
      <c r="H2432" s="108">
        <v>1.03</v>
      </c>
      <c r="I2432" s="141">
        <f>ROUND((F2432*G2432*H2432),0)</f>
        <v>81862</v>
      </c>
      <c r="J2432" s="47"/>
      <c r="K2432" s="143"/>
    </row>
    <row r="2433" spans="2:11" ht="24.9" customHeight="1" x14ac:dyDescent="0.2">
      <c r="B2433" s="672"/>
      <c r="C2433" s="108" t="str">
        <f>+'LISTA DE INSUMOS'!A78</f>
        <v>MAT042</v>
      </c>
      <c r="D2433" s="139" t="str">
        <f>+'LISTA DE INSUMOS'!B78</f>
        <v>Ganchos para teja ondulada de fibrocemento</v>
      </c>
      <c r="E2433" s="108" t="str">
        <f>+'LISTA DE INSUMOS'!C78</f>
        <v>Un</v>
      </c>
      <c r="F2433" s="176">
        <v>2</v>
      </c>
      <c r="G2433" s="141">
        <f>'LISTA DE INSUMOS'!E78</f>
        <v>832.87476149999986</v>
      </c>
      <c r="H2433" s="108">
        <v>0</v>
      </c>
      <c r="I2433" s="141">
        <f>ROUND((F2433*G2433),0)</f>
        <v>1666</v>
      </c>
      <c r="J2433" s="47"/>
      <c r="K2433" s="143"/>
    </row>
    <row r="2434" spans="2:11" ht="24.9" customHeight="1" x14ac:dyDescent="0.2">
      <c r="B2434" s="672"/>
      <c r="C2434" s="108" t="str">
        <f>+'LISTA DE INSUMOS'!A80</f>
        <v>MAT043</v>
      </c>
      <c r="D2434" s="139" t="str">
        <f>+'LISTA DE INSUMOS'!B80</f>
        <v>Amarras con tapa plástica para teja</v>
      </c>
      <c r="E2434" s="108" t="str">
        <f>+'LISTA DE INSUMOS'!C80</f>
        <v>Un</v>
      </c>
      <c r="F2434" s="176">
        <v>1</v>
      </c>
      <c r="G2434" s="141">
        <f>'LISTA DE INSUMOS'!E80</f>
        <v>662.41499999999996</v>
      </c>
      <c r="H2434" s="108">
        <v>0</v>
      </c>
      <c r="I2434" s="141">
        <f>ROUND((F2434*G2434),0)</f>
        <v>662</v>
      </c>
      <c r="J2434" s="47"/>
      <c r="K2434" s="143"/>
    </row>
    <row r="2435" spans="2:11" ht="24.9" customHeight="1" thickBot="1" x14ac:dyDescent="0.25">
      <c r="B2435" s="673"/>
      <c r="C2435" s="108" t="str">
        <f>+'LISTA DE INSUMOS'!A391</f>
        <v>MAT387</v>
      </c>
      <c r="D2435" s="139" t="str">
        <f>+'LISTA DE INSUMOS'!B391</f>
        <v>Impermeabilizante bituminoso para cubiertas</v>
      </c>
      <c r="E2435" s="108" t="str">
        <f>+'LISTA DE INSUMOS'!C391</f>
        <v>Kg</v>
      </c>
      <c r="F2435" s="176">
        <v>0.01</v>
      </c>
      <c r="G2435" s="141">
        <f>'LISTA DE INSUMOS'!E391</f>
        <v>19510.502441994297</v>
      </c>
      <c r="H2435" s="108">
        <v>0</v>
      </c>
      <c r="I2435" s="141">
        <f>ROUND((F2435*G2435),0)</f>
        <v>195</v>
      </c>
      <c r="J2435" s="47"/>
      <c r="K2435" s="143"/>
    </row>
    <row r="2436" spans="2:11" ht="24.9" customHeight="1" thickTop="1" thickBot="1" x14ac:dyDescent="0.25">
      <c r="B2436" s="153" t="s">
        <v>1034</v>
      </c>
      <c r="C2436" s="108" t="str">
        <f>+'LISTA DE INSUMOS'!A18</f>
        <v>MOB015</v>
      </c>
      <c r="D2436" s="139" t="str">
        <f>+'LISTA DE INSUMOS'!B18</f>
        <v>Cuadrilla E 1 Of + 1 Ay (jornal + prestaciones)</v>
      </c>
      <c r="E2436" s="108" t="str">
        <f>+'LISTA DE INSUMOS'!C18</f>
        <v>Día</v>
      </c>
      <c r="F2436" s="176">
        <v>1</v>
      </c>
      <c r="G2436" s="141">
        <f>'LISTA DE INSUMOS'!E18</f>
        <v>245584</v>
      </c>
      <c r="H2436" s="142">
        <v>7.0000000000000007E-2</v>
      </c>
      <c r="I2436" s="141">
        <f>ROUND((F2436*G2436*H2436),0)</f>
        <v>17191</v>
      </c>
      <c r="J2436" s="47"/>
      <c r="K2436" s="143"/>
    </row>
    <row r="2437" spans="2:11" ht="19.5" customHeight="1" thickTop="1" x14ac:dyDescent="0.2">
      <c r="B2437" s="647" t="s">
        <v>1033</v>
      </c>
      <c r="C2437" s="108" t="str">
        <f>+'LISTA DE INSUMOS'!A758</f>
        <v>EQU002</v>
      </c>
      <c r="D2437" s="139" t="str">
        <f>+'LISTA DE INSUMOS'!B758</f>
        <v>Herramienta menor (% mano obra)</v>
      </c>
      <c r="E2437" s="108" t="str">
        <f>+'LISTA DE INSUMOS'!C758</f>
        <v>%MO</v>
      </c>
      <c r="F2437" s="176">
        <v>0.1</v>
      </c>
      <c r="G2437" s="141">
        <f>I2436</f>
        <v>17191</v>
      </c>
      <c r="H2437" s="108">
        <v>0</v>
      </c>
      <c r="I2437" s="141">
        <f>ROUND((F2437*G2437),0)</f>
        <v>1719</v>
      </c>
      <c r="J2437" s="47"/>
      <c r="K2437" s="143"/>
    </row>
    <row r="2438" spans="2:11" ht="20.25" customHeight="1" x14ac:dyDescent="0.2">
      <c r="B2438" s="648"/>
      <c r="C2438" s="108" t="s">
        <v>3145</v>
      </c>
      <c r="D2438" s="139" t="s">
        <v>3150</v>
      </c>
      <c r="E2438" s="108" t="s">
        <v>1074</v>
      </c>
      <c r="F2438" s="176">
        <v>1</v>
      </c>
      <c r="G2438" s="141">
        <v>14822.4</v>
      </c>
      <c r="H2438" s="108">
        <f>1/10</f>
        <v>0.1</v>
      </c>
      <c r="I2438" s="141">
        <f>H2438*G2438*F2438</f>
        <v>1482.24</v>
      </c>
      <c r="J2438" s="47"/>
      <c r="K2438" s="143"/>
    </row>
    <row r="2439" spans="2:11" ht="30" customHeight="1" thickBot="1" x14ac:dyDescent="0.25">
      <c r="B2439" s="704"/>
      <c r="C2439" s="145" t="str">
        <f>+'LISTA DE INSUMOS'!A762</f>
        <v>EQU006</v>
      </c>
      <c r="D2439" s="146" t="str">
        <f>+'LISTA DE INSUMOS'!B762</f>
        <v>Andamio (% mano obra)</v>
      </c>
      <c r="E2439" s="145" t="str">
        <f>+'LISTA DE INSUMOS'!C762</f>
        <v>%MO</v>
      </c>
      <c r="F2439" s="229">
        <v>0.1</v>
      </c>
      <c r="G2439" s="148">
        <f>I2436</f>
        <v>17191</v>
      </c>
      <c r="H2439" s="145">
        <v>0</v>
      </c>
      <c r="I2439" s="148">
        <f>ROUND((F2439*G2439),0)</f>
        <v>1719</v>
      </c>
      <c r="J2439" s="47"/>
      <c r="K2439" s="143"/>
    </row>
    <row r="2440" spans="2:11" s="317" customFormat="1" ht="30" hidden="1" customHeight="1" x14ac:dyDescent="0.2">
      <c r="B2440" s="353" t="s">
        <v>1714</v>
      </c>
      <c r="C2440" s="319"/>
      <c r="D2440" s="320" t="s">
        <v>1423</v>
      </c>
      <c r="E2440" s="319" t="s">
        <v>1435</v>
      </c>
      <c r="F2440" s="332"/>
      <c r="G2440" s="312">
        <f>ROUND(SUM(I2440:I2443),0)</f>
        <v>79920</v>
      </c>
      <c r="H2440" s="322"/>
      <c r="I2440" s="312"/>
      <c r="J2440" s="313"/>
      <c r="K2440" s="323"/>
    </row>
    <row r="2441" spans="2:11" s="317" customFormat="1" ht="24.9" hidden="1" customHeight="1" thickBot="1" x14ac:dyDescent="0.25">
      <c r="B2441" s="347" t="s">
        <v>1325</v>
      </c>
      <c r="C2441" s="322" t="str">
        <f>+'LISTA DE INSUMOS'!A218</f>
        <v>MAT185</v>
      </c>
      <c r="D2441" s="324" t="str">
        <f>+'LISTA DE INSUMOS'!B218</f>
        <v>Acrílico lámpara fluorescente de 0.60 x 1.20 m</v>
      </c>
      <c r="E2441" s="322" t="str">
        <f>+'LISTA DE INSUMOS'!C218</f>
        <v>Un</v>
      </c>
      <c r="F2441" s="325">
        <v>1</v>
      </c>
      <c r="G2441" s="312">
        <f>'LISTA DE INSUMOS'!E218</f>
        <v>74292.39</v>
      </c>
      <c r="H2441" s="322">
        <v>0</v>
      </c>
      <c r="I2441" s="312">
        <f>ROUND((F2441*G2441),0)</f>
        <v>74292</v>
      </c>
      <c r="J2441" s="313"/>
      <c r="K2441" s="323"/>
    </row>
    <row r="2442" spans="2:11" s="317" customFormat="1" ht="24.9" hidden="1" customHeight="1" thickTop="1" thickBot="1" x14ac:dyDescent="0.25">
      <c r="B2442" s="363" t="s">
        <v>1034</v>
      </c>
      <c r="C2442" s="322" t="str">
        <f>+'LISTA DE INSUMOS'!A7</f>
        <v>MOB004</v>
      </c>
      <c r="D2442" s="324" t="str">
        <f>+'LISTA DE INSUMOS'!B7</f>
        <v>Ayudante (jornal + prestaciones)</v>
      </c>
      <c r="E2442" s="322" t="str">
        <f>+'LISTA DE INSUMOS'!C7</f>
        <v>Dia</v>
      </c>
      <c r="F2442" s="325">
        <v>1</v>
      </c>
      <c r="G2442" s="312">
        <f>+'LISTA DE INSUMOS'!E7</f>
        <v>81861</v>
      </c>
      <c r="H2442" s="326">
        <f>1/16</f>
        <v>6.25E-2</v>
      </c>
      <c r="I2442" s="312">
        <f>ROUND((F2442*G2442*H2442),0)</f>
        <v>5116</v>
      </c>
      <c r="J2442" s="313"/>
      <c r="K2442" s="323"/>
    </row>
    <row r="2443" spans="2:11" s="317" customFormat="1" ht="24.9" hidden="1" customHeight="1" thickTop="1" thickBot="1" x14ac:dyDescent="0.25">
      <c r="B2443" s="255" t="s">
        <v>1033</v>
      </c>
      <c r="C2443" s="327" t="str">
        <f>+'LISTA DE INSUMOS'!A762</f>
        <v>EQU006</v>
      </c>
      <c r="D2443" s="328" t="str">
        <f>+'LISTA DE INSUMOS'!B762</f>
        <v>Andamio (% mano obra)</v>
      </c>
      <c r="E2443" s="329" t="str">
        <f>+'LISTA DE INSUMOS'!C762</f>
        <v>%MO</v>
      </c>
      <c r="F2443" s="330">
        <v>0.1</v>
      </c>
      <c r="G2443" s="331">
        <f>I2442</f>
        <v>5116</v>
      </c>
      <c r="H2443" s="329">
        <v>0</v>
      </c>
      <c r="I2443" s="331">
        <f>ROUND((F2443*G2443),0)</f>
        <v>512</v>
      </c>
      <c r="J2443" s="313"/>
      <c r="K2443" s="323"/>
    </row>
    <row r="2444" spans="2:11" s="317" customFormat="1" ht="24.9" hidden="1" customHeight="1" thickBot="1" x14ac:dyDescent="0.25">
      <c r="B2444" s="353" t="s">
        <v>1503</v>
      </c>
      <c r="C2444" s="319"/>
      <c r="D2444" s="320" t="s">
        <v>477</v>
      </c>
      <c r="E2444" s="319" t="s">
        <v>1435</v>
      </c>
      <c r="F2444" s="332"/>
      <c r="G2444" s="312">
        <f>ROUND(SUM(I2444:I2445),0)</f>
        <v>9235395</v>
      </c>
      <c r="H2444" s="322"/>
      <c r="I2444" s="312"/>
      <c r="J2444" s="313"/>
      <c r="K2444" s="323"/>
    </row>
    <row r="2445" spans="2:11" s="317" customFormat="1" ht="24.9" hidden="1" customHeight="1" thickTop="1" thickBot="1" x14ac:dyDescent="0.25">
      <c r="B2445" s="363" t="s">
        <v>1034</v>
      </c>
      <c r="C2445" s="329" t="str">
        <f>+'LISTA DE INSUMOS'!A15</f>
        <v>MOB012</v>
      </c>
      <c r="D2445" s="328" t="str">
        <f>+'LISTA DE INSUMOS'!B15</f>
        <v>Profesional en salud ocupacional</v>
      </c>
      <c r="E2445" s="329" t="str">
        <f>+'LISTA DE INSUMOS'!C15</f>
        <v>Día</v>
      </c>
      <c r="F2445" s="330">
        <v>45</v>
      </c>
      <c r="G2445" s="331">
        <f>'LISTA DE INSUMOS'!E15</f>
        <v>205231</v>
      </c>
      <c r="H2445" s="329">
        <v>0</v>
      </c>
      <c r="I2445" s="331">
        <f>ROUND((F2445*G2445),0)</f>
        <v>9235395</v>
      </c>
      <c r="J2445" s="313"/>
      <c r="K2445" s="323"/>
    </row>
    <row r="2446" spans="2:11" ht="24.9" customHeight="1" x14ac:dyDescent="0.2">
      <c r="B2446" s="117" t="s">
        <v>1750</v>
      </c>
      <c r="C2446" s="117"/>
      <c r="D2446" s="112" t="s">
        <v>2276</v>
      </c>
      <c r="E2446" s="117" t="s">
        <v>1435</v>
      </c>
      <c r="F2446" s="118"/>
      <c r="G2446" s="119">
        <f>ROUND(SUM(I2446:I2449),0)</f>
        <v>66859</v>
      </c>
      <c r="H2446" s="120"/>
      <c r="I2446" s="119"/>
      <c r="J2446" s="47"/>
      <c r="K2446" s="143"/>
    </row>
    <row r="2447" spans="2:11" ht="30" customHeight="1" thickBot="1" x14ac:dyDescent="0.25">
      <c r="B2447" s="175" t="s">
        <v>1325</v>
      </c>
      <c r="C2447" s="108" t="str">
        <f>+'LISTA DE INSUMOS'!A256</f>
        <v>MAT225</v>
      </c>
      <c r="D2447" s="139" t="str">
        <f>+'LISTA DE INSUMOS'!B256</f>
        <v>Regadera corriente + llave   (tipo Grival)</v>
      </c>
      <c r="E2447" s="108" t="str">
        <f>+'LISTA DE INSUMOS'!C256</f>
        <v>Un</v>
      </c>
      <c r="F2447" s="140">
        <v>1</v>
      </c>
      <c r="G2447" s="141">
        <f>'LISTA DE INSUMOS'!E256</f>
        <v>48850.229430571795</v>
      </c>
      <c r="H2447" s="108">
        <v>0</v>
      </c>
      <c r="I2447" s="141">
        <f>ROUND((F2447*G2447),0)</f>
        <v>48850</v>
      </c>
      <c r="J2447" s="47"/>
      <c r="K2447" s="143"/>
    </row>
    <row r="2448" spans="2:11" ht="24.9" customHeight="1" thickTop="1" thickBot="1" x14ac:dyDescent="0.25">
      <c r="B2448" s="153" t="s">
        <v>1034</v>
      </c>
      <c r="C2448" s="108" t="str">
        <f>+'LISTA DE INSUMOS'!A5</f>
        <v>MOB002</v>
      </c>
      <c r="D2448" s="139" t="str">
        <f>+'LISTA DE INSUMOS'!B5</f>
        <v>Oficial (jornal + prestaciones)</v>
      </c>
      <c r="E2448" s="108" t="str">
        <f>+'LISTA DE INSUMOS'!C5</f>
        <v>Día</v>
      </c>
      <c r="F2448" s="140">
        <v>1</v>
      </c>
      <c r="G2448" s="141">
        <f>'LISTA DE INSUMOS'!E5</f>
        <v>163723</v>
      </c>
      <c r="H2448" s="108">
        <f>1/10</f>
        <v>0.1</v>
      </c>
      <c r="I2448" s="141">
        <f>ROUND((F2448*G2448*H2448),0)</f>
        <v>16372</v>
      </c>
      <c r="J2448" s="47"/>
      <c r="K2448" s="143"/>
    </row>
    <row r="2449" spans="2:11" ht="24.9" customHeight="1" thickTop="1" thickBot="1" x14ac:dyDescent="0.25">
      <c r="B2449" s="150" t="s">
        <v>1033</v>
      </c>
      <c r="C2449" s="151" t="str">
        <f>+'LISTA DE INSUMOS'!A758</f>
        <v>EQU002</v>
      </c>
      <c r="D2449" s="146" t="str">
        <f>+'LISTA DE INSUMOS'!B758</f>
        <v>Herramienta menor (% mano obra)</v>
      </c>
      <c r="E2449" s="145" t="str">
        <f>+'LISTA DE INSUMOS'!C758</f>
        <v>%MO</v>
      </c>
      <c r="F2449" s="147">
        <v>0.1</v>
      </c>
      <c r="G2449" s="148">
        <f>I2448</f>
        <v>16372</v>
      </c>
      <c r="H2449" s="145">
        <v>0</v>
      </c>
      <c r="I2449" s="148">
        <f>ROUND((F2449*G2449),0)</f>
        <v>1637</v>
      </c>
      <c r="J2449" s="47"/>
      <c r="K2449" s="143"/>
    </row>
    <row r="2450" spans="2:11" s="317" customFormat="1" ht="24.9" hidden="1" customHeight="1" x14ac:dyDescent="0.2">
      <c r="B2450" s="319" t="s">
        <v>1496</v>
      </c>
      <c r="C2450" s="319"/>
      <c r="D2450" s="320" t="s">
        <v>324</v>
      </c>
      <c r="E2450" s="319" t="s">
        <v>1435</v>
      </c>
      <c r="F2450" s="321"/>
      <c r="G2450" s="312">
        <f>ROUND(SUM(I2450:I2455),0)</f>
        <v>355779</v>
      </c>
      <c r="H2450" s="322"/>
      <c r="I2450" s="312"/>
      <c r="J2450" s="313"/>
      <c r="K2450" s="323"/>
    </row>
    <row r="2451" spans="2:11" s="317" customFormat="1" ht="24.9" hidden="1" customHeight="1" x14ac:dyDescent="0.2">
      <c r="B2451" s="691" t="s">
        <v>1035</v>
      </c>
      <c r="C2451" s="322" t="str">
        <f>+'LISTA DE INSUMOS'!A264</f>
        <v>MAT234</v>
      </c>
      <c r="D2451" s="324" t="str">
        <f>+'LISTA DE INSUMOS'!B264</f>
        <v>Lavamanos tipo Avanti de colgar</v>
      </c>
      <c r="E2451" s="322" t="str">
        <f>+'LISTA DE INSUMOS'!C264</f>
        <v>Un</v>
      </c>
      <c r="F2451" s="325">
        <v>1</v>
      </c>
      <c r="G2451" s="312">
        <f>'LISTA DE INSUMOS'!E264</f>
        <v>131361.99</v>
      </c>
      <c r="H2451" s="322">
        <v>0</v>
      </c>
      <c r="I2451" s="312">
        <f>ROUND((F2451*G2451),0)</f>
        <v>131362</v>
      </c>
      <c r="J2451" s="313"/>
      <c r="K2451" s="323"/>
    </row>
    <row r="2452" spans="2:11" s="317" customFormat="1" ht="24.9" hidden="1" customHeight="1" x14ac:dyDescent="0.2">
      <c r="B2452" s="691"/>
      <c r="C2452" s="338" t="str">
        <f>+'LISTA DE INSUMOS'!A276</f>
        <v>MAT247</v>
      </c>
      <c r="D2452" s="339" t="str">
        <f>+'LISTA DE INSUMOS'!B276</f>
        <v>Acople flexible</v>
      </c>
      <c r="E2452" s="322" t="str">
        <f>+'LISTA DE INSUMOS'!C276</f>
        <v>Un</v>
      </c>
      <c r="F2452" s="325">
        <v>2</v>
      </c>
      <c r="G2452" s="312">
        <f>'LISTA DE INSUMOS'!E276</f>
        <v>23093.113425782398</v>
      </c>
      <c r="H2452" s="322">
        <v>0</v>
      </c>
      <c r="I2452" s="312">
        <f>ROUND((F2452*G2452),0)</f>
        <v>46186</v>
      </c>
      <c r="J2452" s="313"/>
      <c r="K2452" s="323"/>
    </row>
    <row r="2453" spans="2:11" s="317" customFormat="1" ht="24.9" hidden="1" customHeight="1" thickBot="1" x14ac:dyDescent="0.25">
      <c r="B2453" s="692"/>
      <c r="C2453" s="338" t="str">
        <f>+'LISTA DE INSUMOS'!A623</f>
        <v>MAT639</v>
      </c>
      <c r="D2453" s="339" t="str">
        <f>+'LISTA DE INSUMOS'!B623</f>
        <v>Grifería para lavamanos Dalia grival</v>
      </c>
      <c r="E2453" s="322" t="str">
        <f>+'LISTA DE INSUMOS'!C623</f>
        <v>Un</v>
      </c>
      <c r="F2453" s="325">
        <v>1</v>
      </c>
      <c r="G2453" s="312">
        <f>'LISTA DE INSUMOS'!E623</f>
        <v>88183.209110699987</v>
      </c>
      <c r="H2453" s="322">
        <v>0</v>
      </c>
      <c r="I2453" s="312">
        <f>ROUND((F2453*G2453),0)</f>
        <v>88183</v>
      </c>
      <c r="J2453" s="313"/>
      <c r="K2453" s="323"/>
    </row>
    <row r="2454" spans="2:11" s="317" customFormat="1" ht="24.9" hidden="1" customHeight="1" thickTop="1" thickBot="1" x14ac:dyDescent="0.25">
      <c r="B2454" s="363" t="s">
        <v>1034</v>
      </c>
      <c r="C2454" s="322" t="str">
        <f>+'LISTA DE INSUMOS'!A5</f>
        <v>MOB002</v>
      </c>
      <c r="D2454" s="324" t="str">
        <f>+'LISTA DE INSUMOS'!B5</f>
        <v>Oficial (jornal + prestaciones)</v>
      </c>
      <c r="E2454" s="322" t="str">
        <f>+'LISTA DE INSUMOS'!C5</f>
        <v>Día</v>
      </c>
      <c r="F2454" s="325">
        <v>1</v>
      </c>
      <c r="G2454" s="312">
        <f>'LISTA DE INSUMOS'!E5</f>
        <v>163723</v>
      </c>
      <c r="H2454" s="322">
        <f>1/2</f>
        <v>0.5</v>
      </c>
      <c r="I2454" s="312">
        <f>ROUND((F2454*G2454*H2454),0)</f>
        <v>81862</v>
      </c>
      <c r="J2454" s="313"/>
      <c r="K2454" s="323"/>
    </row>
    <row r="2455" spans="2:11" s="317" customFormat="1" ht="24.9" hidden="1" customHeight="1" thickTop="1" thickBot="1" x14ac:dyDescent="0.25">
      <c r="B2455" s="255" t="s">
        <v>1033</v>
      </c>
      <c r="C2455" s="327" t="str">
        <f>+'LISTA DE INSUMOS'!A758</f>
        <v>EQU002</v>
      </c>
      <c r="D2455" s="328" t="str">
        <f>+'LISTA DE INSUMOS'!B758</f>
        <v>Herramienta menor (% mano obra)</v>
      </c>
      <c r="E2455" s="329" t="str">
        <f>+'LISTA DE INSUMOS'!C758</f>
        <v>%MO</v>
      </c>
      <c r="F2455" s="330">
        <v>0.1</v>
      </c>
      <c r="G2455" s="331">
        <f>I2454</f>
        <v>81862</v>
      </c>
      <c r="H2455" s="329">
        <v>0</v>
      </c>
      <c r="I2455" s="331">
        <f>ROUND((F2455*G2455),0)</f>
        <v>8186</v>
      </c>
      <c r="J2455" s="313"/>
      <c r="K2455" s="323"/>
    </row>
    <row r="2456" spans="2:11" ht="24.9" customHeight="1" x14ac:dyDescent="0.2">
      <c r="B2456" s="117" t="s">
        <v>1859</v>
      </c>
      <c r="C2456" s="117"/>
      <c r="D2456" s="112" t="s">
        <v>2494</v>
      </c>
      <c r="E2456" s="120" t="s">
        <v>1424</v>
      </c>
      <c r="F2456" s="118"/>
      <c r="G2456" s="119">
        <f>ROUND(SUM(I2456:I2460),0)</f>
        <v>9913</v>
      </c>
      <c r="H2456" s="120"/>
      <c r="I2456" s="119"/>
      <c r="J2456" s="47"/>
      <c r="K2456" s="143"/>
    </row>
    <row r="2457" spans="2:11" ht="24.9" customHeight="1" x14ac:dyDescent="0.2">
      <c r="B2457" s="657" t="s">
        <v>1325</v>
      </c>
      <c r="C2457" s="108" t="str">
        <f>+'LISTA DE INSUMOS'!A361</f>
        <v>MAT354</v>
      </c>
      <c r="D2457" s="155" t="str">
        <f>+'LISTA DE INSUMOS'!B361</f>
        <v>Malla Electr 4x4mm 15x15cm 2.35x6m Diaco</v>
      </c>
      <c r="E2457" s="108" t="str">
        <f>+'LISTA DE INSUMOS'!C361</f>
        <v>kg</v>
      </c>
      <c r="F2457" s="140">
        <v>1</v>
      </c>
      <c r="G2457" s="141">
        <f>+'LISTA DE INSUMOS'!E361</f>
        <v>8348.5787547624004</v>
      </c>
      <c r="H2457" s="108">
        <v>1.05</v>
      </c>
      <c r="I2457" s="141">
        <f>ROUND((F2457*G2457*H2457),0)</f>
        <v>8766</v>
      </c>
      <c r="J2457" s="47"/>
      <c r="K2457" s="143"/>
    </row>
    <row r="2458" spans="2:11" ht="30" customHeight="1" thickBot="1" x14ac:dyDescent="0.25">
      <c r="B2458" s="659"/>
      <c r="C2458" s="108" t="str">
        <f>+'LISTA DE INSUMOS'!A53</f>
        <v>MAT022</v>
      </c>
      <c r="D2458" s="139" t="str">
        <f>+'LISTA DE INSUMOS'!B53</f>
        <v>Alambre negro calibre 17</v>
      </c>
      <c r="E2458" s="108" t="str">
        <f>+'LISTA DE INSUMOS'!C53</f>
        <v>Kg</v>
      </c>
      <c r="F2458" s="140">
        <v>0.03</v>
      </c>
      <c r="G2458" s="141">
        <f>'LISTA DE INSUMOS'!E53</f>
        <v>7948.98</v>
      </c>
      <c r="H2458" s="108">
        <v>1.03</v>
      </c>
      <c r="I2458" s="141">
        <f>ROUND((F2458*G2458*H2458),0)</f>
        <v>246</v>
      </c>
      <c r="J2458" s="47"/>
      <c r="K2458" s="143"/>
    </row>
    <row r="2459" spans="2:11" ht="30" customHeight="1" thickTop="1" thickBot="1" x14ac:dyDescent="0.25">
      <c r="B2459" s="153" t="s">
        <v>1034</v>
      </c>
      <c r="C2459" s="108" t="str">
        <f>+'LISTA DE INSUMOS'!A18</f>
        <v>MOB015</v>
      </c>
      <c r="D2459" s="139" t="str">
        <f>+'LISTA DE INSUMOS'!B18</f>
        <v>Cuadrilla E 1 Of + 1 Ay (jornal + prestaciones)</v>
      </c>
      <c r="E2459" s="108" t="str">
        <f>+'LISTA DE INSUMOS'!C18</f>
        <v>Día</v>
      </c>
      <c r="F2459" s="140">
        <v>1</v>
      </c>
      <c r="G2459" s="141">
        <f>'LISTA DE INSUMOS'!E18</f>
        <v>245584</v>
      </c>
      <c r="H2459" s="142">
        <f>1/300</f>
        <v>3.3333333333333335E-3</v>
      </c>
      <c r="I2459" s="141">
        <f>ROUND((F2459*G2459*H2459),0)</f>
        <v>819</v>
      </c>
      <c r="J2459" s="47"/>
      <c r="K2459" s="143"/>
    </row>
    <row r="2460" spans="2:11" ht="30" customHeight="1" thickTop="1" thickBot="1" x14ac:dyDescent="0.25">
      <c r="B2460" s="150" t="s">
        <v>1033</v>
      </c>
      <c r="C2460" s="151" t="str">
        <f>+'LISTA DE INSUMOS'!A758</f>
        <v>EQU002</v>
      </c>
      <c r="D2460" s="146" t="str">
        <f>+'LISTA DE INSUMOS'!B758</f>
        <v>Herramienta menor (% mano obra)</v>
      </c>
      <c r="E2460" s="145" t="str">
        <f>+'LISTA DE INSUMOS'!C758</f>
        <v>%MO</v>
      </c>
      <c r="F2460" s="147">
        <v>0.1</v>
      </c>
      <c r="G2460" s="148">
        <f>I2459</f>
        <v>819</v>
      </c>
      <c r="H2460" s="145">
        <v>0</v>
      </c>
      <c r="I2460" s="148">
        <f>ROUND((F2460*G2460),0)</f>
        <v>82</v>
      </c>
      <c r="J2460" s="47"/>
      <c r="K2460" s="143"/>
    </row>
    <row r="2461" spans="2:11" s="317" customFormat="1" ht="24.9" hidden="1" customHeight="1" x14ac:dyDescent="0.2">
      <c r="B2461" s="319" t="s">
        <v>1497</v>
      </c>
      <c r="C2461" s="319"/>
      <c r="D2461" s="320" t="s">
        <v>1713</v>
      </c>
      <c r="E2461" s="319" t="s">
        <v>1435</v>
      </c>
      <c r="F2461" s="321"/>
      <c r="G2461" s="312">
        <f>ROUND(SUM(I2461:I2466),0)</f>
        <v>307881</v>
      </c>
      <c r="H2461" s="322"/>
      <c r="I2461" s="312"/>
      <c r="J2461" s="313"/>
      <c r="K2461" s="323"/>
    </row>
    <row r="2462" spans="2:11" s="317" customFormat="1" ht="24.9" hidden="1" customHeight="1" x14ac:dyDescent="0.2">
      <c r="B2462" s="691" t="s">
        <v>1035</v>
      </c>
      <c r="C2462" s="322" t="str">
        <f>+'LISTA DE INSUMOS'!A167</f>
        <v>MAT122</v>
      </c>
      <c r="D2462" s="324" t="str">
        <f>+'LISTA DE INSUMOS'!B167</f>
        <v>Lavamanos tipo Miláno blanco de colgar</v>
      </c>
      <c r="E2462" s="322" t="str">
        <f>+'LISTA DE INSUMOS'!C167</f>
        <v>Un</v>
      </c>
      <c r="F2462" s="325">
        <v>1</v>
      </c>
      <c r="G2462" s="312">
        <f>'LISTA DE INSUMOS'!E167</f>
        <v>83464.289999999994</v>
      </c>
      <c r="H2462" s="322">
        <v>0</v>
      </c>
      <c r="I2462" s="312">
        <f>ROUND((F2462*G2462),0)</f>
        <v>83464</v>
      </c>
      <c r="J2462" s="313"/>
      <c r="K2462" s="323"/>
    </row>
    <row r="2463" spans="2:11" s="317" customFormat="1" ht="24.9" hidden="1" customHeight="1" x14ac:dyDescent="0.2">
      <c r="B2463" s="691"/>
      <c r="C2463" s="338" t="str">
        <f>+'LISTA DE INSUMOS'!A276</f>
        <v>MAT247</v>
      </c>
      <c r="D2463" s="339" t="str">
        <f>+'LISTA DE INSUMOS'!B276</f>
        <v>Acople flexible</v>
      </c>
      <c r="E2463" s="322" t="str">
        <f>+'LISTA DE INSUMOS'!C276</f>
        <v>Un</v>
      </c>
      <c r="F2463" s="325">
        <v>2</v>
      </c>
      <c r="G2463" s="312">
        <f>'LISTA DE INSUMOS'!E276</f>
        <v>23093.113425782398</v>
      </c>
      <c r="H2463" s="322">
        <v>0</v>
      </c>
      <c r="I2463" s="312">
        <f>ROUND((F2463*G2463),0)</f>
        <v>46186</v>
      </c>
      <c r="J2463" s="313"/>
      <c r="K2463" s="323"/>
    </row>
    <row r="2464" spans="2:11" s="317" customFormat="1" ht="24.9" hidden="1" customHeight="1" thickBot="1" x14ac:dyDescent="0.25">
      <c r="B2464" s="692"/>
      <c r="C2464" s="338" t="str">
        <f>+'LISTA DE INSUMOS'!A623</f>
        <v>MAT639</v>
      </c>
      <c r="D2464" s="339" t="str">
        <f>+'LISTA DE INSUMOS'!B623</f>
        <v>Grifería para lavamanos Dalia grival</v>
      </c>
      <c r="E2464" s="322" t="str">
        <f>+'LISTA DE INSUMOS'!C623</f>
        <v>Un</v>
      </c>
      <c r="F2464" s="325">
        <v>1</v>
      </c>
      <c r="G2464" s="312">
        <f>'LISTA DE INSUMOS'!E623</f>
        <v>88183.209110699987</v>
      </c>
      <c r="H2464" s="322">
        <v>0</v>
      </c>
      <c r="I2464" s="312">
        <f>ROUND((F2464*G2464),0)</f>
        <v>88183</v>
      </c>
      <c r="J2464" s="313"/>
      <c r="K2464" s="323"/>
    </row>
    <row r="2465" spans="2:11" s="317" customFormat="1" ht="24.9" hidden="1" customHeight="1" thickTop="1" thickBot="1" x14ac:dyDescent="0.25">
      <c r="B2465" s="363" t="s">
        <v>1034</v>
      </c>
      <c r="C2465" s="322" t="str">
        <f>+'LISTA DE INSUMOS'!A5</f>
        <v>MOB002</v>
      </c>
      <c r="D2465" s="324" t="str">
        <f>+'LISTA DE INSUMOS'!B5</f>
        <v>Oficial (jornal + prestaciones)</v>
      </c>
      <c r="E2465" s="322" t="str">
        <f>+'LISTA DE INSUMOS'!C5</f>
        <v>Día</v>
      </c>
      <c r="F2465" s="325">
        <v>1</v>
      </c>
      <c r="G2465" s="312">
        <f>'LISTA DE INSUMOS'!E5</f>
        <v>163723</v>
      </c>
      <c r="H2465" s="322">
        <f>1/2</f>
        <v>0.5</v>
      </c>
      <c r="I2465" s="312">
        <f>ROUND((F2465*G2465*H2465),0)</f>
        <v>81862</v>
      </c>
      <c r="J2465" s="313"/>
      <c r="K2465" s="323"/>
    </row>
    <row r="2466" spans="2:11" s="317" customFormat="1" ht="24.9" hidden="1" customHeight="1" thickTop="1" thickBot="1" x14ac:dyDescent="0.25">
      <c r="B2466" s="255" t="s">
        <v>1033</v>
      </c>
      <c r="C2466" s="327" t="str">
        <f>+'LISTA DE INSUMOS'!A758</f>
        <v>EQU002</v>
      </c>
      <c r="D2466" s="328" t="str">
        <f>+'LISTA DE INSUMOS'!B758</f>
        <v>Herramienta menor (% mano obra)</v>
      </c>
      <c r="E2466" s="329" t="str">
        <f>+'LISTA DE INSUMOS'!C758</f>
        <v>%MO</v>
      </c>
      <c r="F2466" s="330">
        <v>0.1</v>
      </c>
      <c r="G2466" s="331">
        <f>I2465</f>
        <v>81862</v>
      </c>
      <c r="H2466" s="329">
        <v>0</v>
      </c>
      <c r="I2466" s="331">
        <f>ROUND((F2466*G2466),0)</f>
        <v>8186</v>
      </c>
      <c r="J2466" s="313"/>
      <c r="K2466" s="323"/>
    </row>
    <row r="2467" spans="2:11" s="317" customFormat="1" ht="24.9" hidden="1" customHeight="1" x14ac:dyDescent="0.2">
      <c r="B2467" s="319" t="s">
        <v>1500</v>
      </c>
      <c r="C2467" s="319"/>
      <c r="D2467" s="320" t="s">
        <v>323</v>
      </c>
      <c r="E2467" s="319" t="s">
        <v>1435</v>
      </c>
      <c r="F2467" s="332"/>
      <c r="G2467" s="312">
        <f>ROUND(SUM(I2467:I2472),0)</f>
        <v>1398986</v>
      </c>
      <c r="H2467" s="322"/>
      <c r="I2467" s="312"/>
      <c r="J2467" s="313"/>
      <c r="K2467" s="323"/>
    </row>
    <row r="2468" spans="2:11" s="317" customFormat="1" ht="24.9" hidden="1" customHeight="1" x14ac:dyDescent="0.2">
      <c r="B2468" s="691" t="s">
        <v>1035</v>
      </c>
      <c r="C2468" s="322" t="str">
        <f>+'LISTA DE INSUMOS'!A31</f>
        <v>MAT002</v>
      </c>
      <c r="D2468" s="324" t="str">
        <f>+'LISTA DE INSUMOS'!B31</f>
        <v>Cemento blanco</v>
      </c>
      <c r="E2468" s="322" t="str">
        <f>+'LISTA DE INSUMOS'!C31</f>
        <v>Kg</v>
      </c>
      <c r="F2468" s="325">
        <v>0.5</v>
      </c>
      <c r="G2468" s="312">
        <f>'LISTA DE INSUMOS'!E31</f>
        <v>2900</v>
      </c>
      <c r="H2468" s="322">
        <v>1.05</v>
      </c>
      <c r="I2468" s="312">
        <f>ROUND((F2468*G2468*H2468),0)</f>
        <v>1523</v>
      </c>
      <c r="J2468" s="313"/>
      <c r="K2468" s="323"/>
    </row>
    <row r="2469" spans="2:11" s="317" customFormat="1" ht="24.9" hidden="1" customHeight="1" x14ac:dyDescent="0.2">
      <c r="B2469" s="691"/>
      <c r="C2469" s="338" t="str">
        <f>+'LISTA DE INSUMOS'!A619</f>
        <v>MAT635</v>
      </c>
      <c r="D2469" s="339" t="str">
        <f>+'LISTA DE INSUMOS'!B619</f>
        <v>Fluxómetro flujo ajustable, incluye accesorios</v>
      </c>
      <c r="E2469" s="322" t="str">
        <f>+'LISTA DE INSUMOS'!C619</f>
        <v>Un</v>
      </c>
      <c r="F2469" s="325">
        <v>1</v>
      </c>
      <c r="G2469" s="312">
        <f>'LISTA DE INSUMOS'!E619</f>
        <v>953709.21318980982</v>
      </c>
      <c r="H2469" s="322">
        <v>0</v>
      </c>
      <c r="I2469" s="312">
        <f>ROUND((F2469*G2469),0)</f>
        <v>953709</v>
      </c>
      <c r="J2469" s="313"/>
      <c r="K2469" s="323"/>
    </row>
    <row r="2470" spans="2:11" s="317" customFormat="1" ht="24.9" hidden="1" customHeight="1" thickBot="1" x14ac:dyDescent="0.25">
      <c r="B2470" s="692"/>
      <c r="C2470" s="322" t="str">
        <f>+'LISTA DE INSUMOS'!A305</f>
        <v>MAT278</v>
      </c>
      <c r="D2470" s="324" t="str">
        <f>+'LISTA DE INSUMOS'!B305</f>
        <v xml:space="preserve">Sanitario tipo punta sal </v>
      </c>
      <c r="E2470" s="322" t="str">
        <f>+'LISTA DE INSUMOS'!C305</f>
        <v>Un</v>
      </c>
      <c r="F2470" s="325">
        <v>1</v>
      </c>
      <c r="G2470" s="312">
        <f>'LISTA DE INSUMOS'!E305</f>
        <v>353705.96336410491</v>
      </c>
      <c r="H2470" s="322">
        <v>0</v>
      </c>
      <c r="I2470" s="312">
        <f>ROUND((F2470*G2470),0)</f>
        <v>353706</v>
      </c>
      <c r="J2470" s="313"/>
      <c r="K2470" s="323"/>
    </row>
    <row r="2471" spans="2:11" s="317" customFormat="1" ht="24.9" hidden="1" customHeight="1" thickTop="1" thickBot="1" x14ac:dyDescent="0.25">
      <c r="B2471" s="363" t="s">
        <v>1034</v>
      </c>
      <c r="C2471" s="322" t="str">
        <f>+'LISTA DE INSUMOS'!A5</f>
        <v>MOB002</v>
      </c>
      <c r="D2471" s="324" t="str">
        <f>+'LISTA DE INSUMOS'!B5</f>
        <v>Oficial (jornal + prestaciones)</v>
      </c>
      <c r="E2471" s="322" t="str">
        <f>+'LISTA DE INSUMOS'!C5</f>
        <v>Día</v>
      </c>
      <c r="F2471" s="325">
        <v>1</v>
      </c>
      <c r="G2471" s="312">
        <f>'LISTA DE INSUMOS'!E5</f>
        <v>163723</v>
      </c>
      <c r="H2471" s="322">
        <f>1/2</f>
        <v>0.5</v>
      </c>
      <c r="I2471" s="312">
        <f>ROUND((F2471*G2471*H2471),0)</f>
        <v>81862</v>
      </c>
      <c r="J2471" s="313"/>
      <c r="K2471" s="323"/>
    </row>
    <row r="2472" spans="2:11" s="317" customFormat="1" ht="24.9" hidden="1" customHeight="1" thickTop="1" thickBot="1" x14ac:dyDescent="0.25">
      <c r="B2472" s="255" t="s">
        <v>1033</v>
      </c>
      <c r="C2472" s="327" t="str">
        <f>+'LISTA DE INSUMOS'!A758</f>
        <v>EQU002</v>
      </c>
      <c r="D2472" s="328" t="str">
        <f>+'LISTA DE INSUMOS'!B758</f>
        <v>Herramienta menor (% mano obra)</v>
      </c>
      <c r="E2472" s="329" t="str">
        <f>+'LISTA DE INSUMOS'!C758</f>
        <v>%MO</v>
      </c>
      <c r="F2472" s="330">
        <v>0.1</v>
      </c>
      <c r="G2472" s="331">
        <f>I2471</f>
        <v>81862</v>
      </c>
      <c r="H2472" s="329">
        <v>0</v>
      </c>
      <c r="I2472" s="331">
        <f>ROUND((F2472*G2472),0)</f>
        <v>8186</v>
      </c>
      <c r="J2472" s="313"/>
      <c r="K2472" s="323"/>
    </row>
    <row r="2473" spans="2:11" ht="24.9" customHeight="1" x14ac:dyDescent="0.2">
      <c r="B2473" s="117" t="s">
        <v>1789</v>
      </c>
      <c r="C2473" s="117"/>
      <c r="D2473" s="112" t="s">
        <v>1720</v>
      </c>
      <c r="E2473" s="117" t="s">
        <v>1412</v>
      </c>
      <c r="F2473" s="149"/>
      <c r="G2473" s="119">
        <f>ROUND(SUM(I2474:I2478),0)</f>
        <v>8721</v>
      </c>
      <c r="H2473" s="120"/>
      <c r="I2473" s="119"/>
      <c r="J2473" s="47"/>
      <c r="K2473" s="143"/>
    </row>
    <row r="2474" spans="2:11" ht="24.9" customHeight="1" x14ac:dyDescent="0.2">
      <c r="B2474" s="657" t="s">
        <v>1325</v>
      </c>
      <c r="C2474" s="108" t="str">
        <f>+'LISTA DE INSUMOS'!A315</f>
        <v>MAT290</v>
      </c>
      <c r="D2474" s="139" t="str">
        <f>+'LISTA DE INSUMOS'!B315</f>
        <v>Microesferas reflectivas 25 kg</v>
      </c>
      <c r="E2474" s="108" t="str">
        <f>+'LISTA DE INSUMOS'!C315</f>
        <v>Kg</v>
      </c>
      <c r="F2474" s="140">
        <v>1</v>
      </c>
      <c r="G2474" s="141">
        <f>'LISTA DE INSUMOS'!E315</f>
        <v>9114.3953013695991</v>
      </c>
      <c r="H2474" s="108">
        <f>1/5</f>
        <v>0.2</v>
      </c>
      <c r="I2474" s="141">
        <f>ROUND((F2474*G2474*H2474),0)</f>
        <v>1823</v>
      </c>
      <c r="J2474" s="47"/>
      <c r="K2474" s="143"/>
    </row>
    <row r="2475" spans="2:11" ht="24.9" customHeight="1" thickBot="1" x14ac:dyDescent="0.25">
      <c r="B2475" s="659"/>
      <c r="C2475" s="108" t="str">
        <f>+'LISTA DE INSUMOS'!A161</f>
        <v>MAT116</v>
      </c>
      <c r="D2475" s="139" t="str">
        <f>+'LISTA DE INSUMOS'!B161</f>
        <v>Pintura tipo ministerio (trafico)</v>
      </c>
      <c r="E2475" s="108" t="str">
        <f>+'LISTA DE INSUMOS'!C161</f>
        <v>Gl</v>
      </c>
      <c r="F2475" s="140">
        <v>1</v>
      </c>
      <c r="G2475" s="141">
        <f>'LISTA DE INSUMOS'!E161</f>
        <v>107375.66401613812</v>
      </c>
      <c r="H2475" s="108">
        <v>0.02</v>
      </c>
      <c r="I2475" s="141">
        <f>ROUND((F2475*G2475*H2475),0)</f>
        <v>2148</v>
      </c>
      <c r="J2475" s="47"/>
      <c r="K2475" s="143"/>
    </row>
    <row r="2476" spans="2:11" ht="24.9" customHeight="1" thickTop="1" thickBot="1" x14ac:dyDescent="0.25">
      <c r="B2476" s="153" t="s">
        <v>1034</v>
      </c>
      <c r="C2476" s="108" t="str">
        <f>+'LISTA DE INSUMOS'!A21</f>
        <v>MOB018</v>
      </c>
      <c r="D2476" s="139" t="str">
        <f>+'LISTA DE INSUMOS'!B21</f>
        <v>Cuadrilla H 4 Ay (jornal + prestaciones)</v>
      </c>
      <c r="E2476" s="108" t="str">
        <f>+'LISTA DE INSUMOS'!C21</f>
        <v>Día</v>
      </c>
      <c r="F2476" s="140">
        <v>1</v>
      </c>
      <c r="G2476" s="141">
        <f>'LISTA DE INSUMOS'!E21</f>
        <v>327444</v>
      </c>
      <c r="H2476" s="142">
        <v>8.0000000000000002E-3</v>
      </c>
      <c r="I2476" s="141">
        <f>ROUND((F2476*G2476*H2476),0)</f>
        <v>2620</v>
      </c>
      <c r="J2476" s="47"/>
      <c r="K2476" s="143"/>
    </row>
    <row r="2477" spans="2:11" ht="24.9" customHeight="1" thickTop="1" x14ac:dyDescent="0.2">
      <c r="B2477" s="647" t="s">
        <v>1033</v>
      </c>
      <c r="C2477" s="125" t="str">
        <f>+'LISTA DE INSUMOS'!A789</f>
        <v>EQU032</v>
      </c>
      <c r="D2477" s="155" t="str">
        <f>+'LISTA DE INSUMOS'!B789</f>
        <v>Equipo móvil pintura línea vías</v>
      </c>
      <c r="E2477" s="125" t="str">
        <f>+'LISTA DE INSUMOS'!C789</f>
        <v>Hr</v>
      </c>
      <c r="F2477" s="159">
        <v>1</v>
      </c>
      <c r="G2477" s="190">
        <f>+'LISTA DE INSUMOS'!E789</f>
        <v>142781.642551119</v>
      </c>
      <c r="H2477" s="108">
        <v>1.4E-2</v>
      </c>
      <c r="I2477" s="141">
        <f>ROUND((F2477*G2477*H2477),0)</f>
        <v>1999</v>
      </c>
      <c r="J2477" s="47"/>
      <c r="K2477" s="143"/>
    </row>
    <row r="2478" spans="2:11" ht="24.9" customHeight="1" thickBot="1" x14ac:dyDescent="0.25">
      <c r="B2478" s="704"/>
      <c r="C2478" s="145" t="str">
        <f>+'LISTA DE INSUMOS'!A758</f>
        <v>EQU002</v>
      </c>
      <c r="D2478" s="146" t="str">
        <f>+'LISTA DE INSUMOS'!B758</f>
        <v>Herramienta menor (% mano obra)</v>
      </c>
      <c r="E2478" s="145" t="str">
        <f>+'LISTA DE INSUMOS'!C758</f>
        <v>%MO</v>
      </c>
      <c r="F2478" s="147">
        <v>0.05</v>
      </c>
      <c r="G2478" s="148">
        <f>I2476</f>
        <v>2620</v>
      </c>
      <c r="H2478" s="145">
        <v>0</v>
      </c>
      <c r="I2478" s="148">
        <f>ROUND((F2478*G2478),0)</f>
        <v>131</v>
      </c>
      <c r="J2478" s="47"/>
      <c r="K2478" s="143"/>
    </row>
    <row r="2479" spans="2:11" s="317" customFormat="1" ht="24.9" hidden="1" customHeight="1" x14ac:dyDescent="0.2">
      <c r="B2479" s="319" t="s">
        <v>1502</v>
      </c>
      <c r="C2479" s="319"/>
      <c r="D2479" s="320" t="s">
        <v>450</v>
      </c>
      <c r="E2479" s="319" t="s">
        <v>1412</v>
      </c>
      <c r="F2479" s="332"/>
      <c r="G2479" s="312">
        <f>ROUND(SUM(I2480:I2484),0)</f>
        <v>42021</v>
      </c>
      <c r="H2479" s="322"/>
      <c r="I2479" s="312"/>
      <c r="J2479" s="313"/>
      <c r="K2479" s="323"/>
    </row>
    <row r="2480" spans="2:11" s="317" customFormat="1" ht="24.9" hidden="1" customHeight="1" x14ac:dyDescent="0.2">
      <c r="B2480" s="691" t="s">
        <v>1035</v>
      </c>
      <c r="C2480" s="322" t="str">
        <f>+'LISTA DE INSUMOS'!A143</f>
        <v>MAT102</v>
      </c>
      <c r="D2480" s="324" t="str">
        <f>+'LISTA DE INSUMOS'!B143</f>
        <v>Caballete teja ondulada fibrocemento tipo español articulado ambos</v>
      </c>
      <c r="E2480" s="322" t="str">
        <f>+'LISTA DE INSUMOS'!C143</f>
        <v>M</v>
      </c>
      <c r="F2480" s="325">
        <v>1</v>
      </c>
      <c r="G2480" s="312">
        <f>'LISTA DE INSUMOS'!E143</f>
        <v>31490.189999999995</v>
      </c>
      <c r="H2480" s="322">
        <v>0</v>
      </c>
      <c r="I2480" s="312">
        <f>ROUND((F2480*G2480),0)</f>
        <v>31490</v>
      </c>
      <c r="J2480" s="313"/>
      <c r="K2480" s="323"/>
    </row>
    <row r="2481" spans="2:11" s="317" customFormat="1" ht="24.9" hidden="1" customHeight="1" x14ac:dyDescent="0.2">
      <c r="B2481" s="691"/>
      <c r="C2481" s="322" t="str">
        <f>+'LISTA DE INSUMOS'!A80</f>
        <v>MAT043</v>
      </c>
      <c r="D2481" s="324" t="str">
        <f>+'LISTA DE INSUMOS'!B80</f>
        <v>Amarras con tapa plástica para teja</v>
      </c>
      <c r="E2481" s="322" t="str">
        <f>+'LISTA DE INSUMOS'!C80</f>
        <v>Un</v>
      </c>
      <c r="F2481" s="325">
        <v>2</v>
      </c>
      <c r="G2481" s="312">
        <f>'LISTA DE INSUMOS'!E80</f>
        <v>662.41499999999996</v>
      </c>
      <c r="H2481" s="322">
        <v>0</v>
      </c>
      <c r="I2481" s="312">
        <f>ROUND((F2481*G2481),0)</f>
        <v>1325</v>
      </c>
      <c r="J2481" s="313"/>
      <c r="K2481" s="323"/>
    </row>
    <row r="2482" spans="2:11" s="317" customFormat="1" ht="24.9" hidden="1" customHeight="1" thickBot="1" x14ac:dyDescent="0.25">
      <c r="B2482" s="692"/>
      <c r="C2482" s="322" t="str">
        <f>+'LISTA DE INSUMOS'!A391</f>
        <v>MAT387</v>
      </c>
      <c r="D2482" s="324" t="str">
        <f>+'LISTA DE INSUMOS'!B391</f>
        <v>Impermeabilizante bituminoso para cubiertas</v>
      </c>
      <c r="E2482" s="322" t="str">
        <f>+'LISTA DE INSUMOS'!C391</f>
        <v>Kg</v>
      </c>
      <c r="F2482" s="325">
        <v>0.01</v>
      </c>
      <c r="G2482" s="312">
        <f>'LISTA DE INSUMOS'!E391</f>
        <v>19510.502441994297</v>
      </c>
      <c r="H2482" s="322">
        <v>1.03</v>
      </c>
      <c r="I2482" s="312">
        <f>ROUND((F2482*G2482*H2482),0)</f>
        <v>201</v>
      </c>
      <c r="J2482" s="313"/>
      <c r="K2482" s="323"/>
    </row>
    <row r="2483" spans="2:11" s="317" customFormat="1" ht="24.9" hidden="1" customHeight="1" thickTop="1" thickBot="1" x14ac:dyDescent="0.25">
      <c r="B2483" s="363" t="s">
        <v>1034</v>
      </c>
      <c r="C2483" s="322" t="str">
        <f>+'LISTA DE INSUMOS'!A18</f>
        <v>MOB015</v>
      </c>
      <c r="D2483" s="324" t="str">
        <f>+'LISTA DE INSUMOS'!B18</f>
        <v>Cuadrilla E 1 Of + 1 Ay (jornal + prestaciones)</v>
      </c>
      <c r="E2483" s="322" t="str">
        <f>+'LISTA DE INSUMOS'!C18</f>
        <v>Día</v>
      </c>
      <c r="F2483" s="325">
        <v>1</v>
      </c>
      <c r="G2483" s="312">
        <f>'LISTA DE INSUMOS'!E18</f>
        <v>245584</v>
      </c>
      <c r="H2483" s="322">
        <f>1/30</f>
        <v>3.3333333333333333E-2</v>
      </c>
      <c r="I2483" s="312">
        <f>ROUND((F2483*G2483*H2483),0)</f>
        <v>8186</v>
      </c>
      <c r="J2483" s="313"/>
      <c r="K2483" s="323"/>
    </row>
    <row r="2484" spans="2:11" s="317" customFormat="1" ht="24.9" hidden="1" customHeight="1" thickTop="1" thickBot="1" x14ac:dyDescent="0.25">
      <c r="B2484" s="255" t="s">
        <v>1033</v>
      </c>
      <c r="C2484" s="327" t="str">
        <f>+'LISTA DE INSUMOS'!A758</f>
        <v>EQU002</v>
      </c>
      <c r="D2484" s="328" t="str">
        <f>+'LISTA DE INSUMOS'!B758</f>
        <v>Herramienta menor (% mano obra)</v>
      </c>
      <c r="E2484" s="329" t="str">
        <f>+'LISTA DE INSUMOS'!C758</f>
        <v>%MO</v>
      </c>
      <c r="F2484" s="330">
        <v>0.1</v>
      </c>
      <c r="G2484" s="331">
        <f>I2483</f>
        <v>8186</v>
      </c>
      <c r="H2484" s="329">
        <v>0</v>
      </c>
      <c r="I2484" s="331">
        <f>ROUND((F2484*G2484),0)</f>
        <v>819</v>
      </c>
      <c r="J2484" s="313"/>
      <c r="K2484" s="323"/>
    </row>
    <row r="2485" spans="2:11" s="317" customFormat="1" ht="24.9" hidden="1" customHeight="1" x14ac:dyDescent="0.2">
      <c r="B2485" s="319" t="s">
        <v>2326</v>
      </c>
      <c r="C2485" s="319"/>
      <c r="D2485" s="320" t="s">
        <v>62</v>
      </c>
      <c r="E2485" s="319" t="s">
        <v>2585</v>
      </c>
      <c r="F2485" s="321"/>
      <c r="G2485" s="312">
        <f>ROUND(SUM(I2485:I2493),0)</f>
        <v>72253</v>
      </c>
      <c r="H2485" s="322"/>
      <c r="I2485" s="312"/>
      <c r="J2485" s="313"/>
      <c r="K2485" s="323"/>
    </row>
    <row r="2486" spans="2:11" s="317" customFormat="1" ht="24.9" hidden="1" customHeight="1" x14ac:dyDescent="0.2">
      <c r="B2486" s="691" t="s">
        <v>1035</v>
      </c>
      <c r="C2486" s="322" t="str">
        <f>+'LISTA DE INSUMOS'!A31</f>
        <v>MAT002</v>
      </c>
      <c r="D2486" s="324" t="str">
        <f>+'LISTA DE INSUMOS'!B31</f>
        <v>Cemento blanco</v>
      </c>
      <c r="E2486" s="322" t="str">
        <f>+'LISTA DE INSUMOS'!C31</f>
        <v>Kg</v>
      </c>
      <c r="F2486" s="325">
        <v>2</v>
      </c>
      <c r="G2486" s="312">
        <f>'LISTA DE INSUMOS'!E31</f>
        <v>2900</v>
      </c>
      <c r="H2486" s="322">
        <v>1.05</v>
      </c>
      <c r="I2486" s="312">
        <f>ROUND((F2486*G2486*H2486),0)</f>
        <v>6090</v>
      </c>
      <c r="J2486" s="313"/>
      <c r="K2486" s="323"/>
    </row>
    <row r="2487" spans="2:11" s="317" customFormat="1" ht="24.9" hidden="1" customHeight="1" x14ac:dyDescent="0.2">
      <c r="B2487" s="691"/>
      <c r="C2487" s="322" t="str">
        <f>+'LISTA DE INSUMOS'!A227</f>
        <v>MAT195</v>
      </c>
      <c r="D2487" s="324" t="str">
        <f>+'LISTA DE INSUMOS'!B227</f>
        <v>Cera</v>
      </c>
      <c r="E2487" s="322" t="str">
        <f>+'LISTA DE INSUMOS'!C227</f>
        <v>Lb</v>
      </c>
      <c r="F2487" s="325">
        <v>0.04</v>
      </c>
      <c r="G2487" s="312">
        <f>'LISTA DE INSUMOS'!E227</f>
        <v>8043.979980220799</v>
      </c>
      <c r="H2487" s="322">
        <v>0</v>
      </c>
      <c r="I2487" s="312">
        <f>ROUND((F2487*G2487),0)</f>
        <v>322</v>
      </c>
      <c r="J2487" s="313"/>
      <c r="K2487" s="323"/>
    </row>
    <row r="2488" spans="2:11" s="317" customFormat="1" ht="24.9" hidden="1" customHeight="1" x14ac:dyDescent="0.2">
      <c r="B2488" s="691"/>
      <c r="C2488" s="322" t="str">
        <f>+'LISTA DE INSUMOS'!A636</f>
        <v>MAT652</v>
      </c>
      <c r="D2488" s="324" t="str">
        <f>+'LISTA DE INSUMOS'!B636</f>
        <v>Cerámica piso Antique 30.5 x 30.5 cm.Tipo Alfa o Similar. Color Blanco o Beige</v>
      </c>
      <c r="E2488" s="322" t="str">
        <f>+'LISTA DE INSUMOS'!C636</f>
        <v>M2</v>
      </c>
      <c r="F2488" s="325">
        <v>1</v>
      </c>
      <c r="G2488" s="312">
        <f>'LISTA DE INSUMOS'!E636</f>
        <v>31007.631712750001</v>
      </c>
      <c r="H2488" s="322">
        <v>1.1000000000000001</v>
      </c>
      <c r="I2488" s="312">
        <f>ROUND((F2488*G2488*H2488),0)</f>
        <v>34108</v>
      </c>
      <c r="J2488" s="313"/>
      <c r="K2488" s="323"/>
    </row>
    <row r="2489" spans="2:11" s="317" customFormat="1" ht="24.9" hidden="1" customHeight="1" x14ac:dyDescent="0.2">
      <c r="B2489" s="691"/>
      <c r="C2489" s="338" t="str">
        <f>+'LISTA DE INSUMOS'!A618</f>
        <v>MAT634</v>
      </c>
      <c r="D2489" s="339" t="str">
        <f>+'LISTA DE INSUMOS'!B618</f>
        <v>Boquilla para enchape</v>
      </c>
      <c r="E2489" s="322" t="str">
        <f>+'LISTA DE INSUMOS'!C618</f>
        <v>Kg</v>
      </c>
      <c r="F2489" s="325">
        <v>0.3</v>
      </c>
      <c r="G2489" s="312">
        <f>'LISTA DE INSUMOS'!E618</f>
        <v>6158.7571953599981</v>
      </c>
      <c r="H2489" s="322">
        <v>1.05</v>
      </c>
      <c r="I2489" s="312">
        <f>ROUND((F2489*G2489*H2489),0)</f>
        <v>1940</v>
      </c>
      <c r="J2489" s="313"/>
      <c r="K2489" s="323"/>
    </row>
    <row r="2490" spans="2:11" s="317" customFormat="1" ht="24.9" hidden="1" customHeight="1" x14ac:dyDescent="0.2">
      <c r="B2490" s="691"/>
      <c r="C2490" s="338" t="str">
        <f>+'LISTA DE INSUMOS'!A631</f>
        <v>MAT647</v>
      </c>
      <c r="D2490" s="339" t="str">
        <f>+'LISTA DE INSUMOS'!B631</f>
        <v>Estopa</v>
      </c>
      <c r="E2490" s="322" t="str">
        <f>+'LISTA DE INSUMOS'!C631</f>
        <v>Kg</v>
      </c>
      <c r="F2490" s="325">
        <v>0.1</v>
      </c>
      <c r="G2490" s="312">
        <f>'LISTA DE INSUMOS'!E631</f>
        <v>11587.144707187499</v>
      </c>
      <c r="H2490" s="322">
        <v>0</v>
      </c>
      <c r="I2490" s="312">
        <f>ROUND((F2490*G2490),0)</f>
        <v>1159</v>
      </c>
      <c r="J2490" s="313"/>
      <c r="K2490" s="323"/>
    </row>
    <row r="2491" spans="2:11" s="317" customFormat="1" ht="24.9" hidden="1" customHeight="1" thickBot="1" x14ac:dyDescent="0.25">
      <c r="B2491" s="692"/>
      <c r="C2491" s="322" t="str">
        <f>+'LISTA DE INSUMOS'!A515</f>
        <v>MAT532</v>
      </c>
      <c r="D2491" s="324" t="str">
        <f>+'LISTA DE INSUMOS'!B515</f>
        <v>Fijador de cerámica tipo pegacor o similar</v>
      </c>
      <c r="E2491" s="322" t="str">
        <f>+'LISTA DE INSUMOS'!C515</f>
        <v>Kg</v>
      </c>
      <c r="F2491" s="325">
        <v>4</v>
      </c>
      <c r="G2491" s="312">
        <f>'LISTA DE INSUMOS'!E515</f>
        <v>1457.6318472728572</v>
      </c>
      <c r="H2491" s="322">
        <v>1.05</v>
      </c>
      <c r="I2491" s="312">
        <f>ROUND((F2491*G2491*H2491),0)</f>
        <v>6122</v>
      </c>
      <c r="J2491" s="313"/>
      <c r="K2491" s="323"/>
    </row>
    <row r="2492" spans="2:11" s="317" customFormat="1" ht="24.9" hidden="1" customHeight="1" thickTop="1" thickBot="1" x14ac:dyDescent="0.25">
      <c r="B2492" s="363" t="s">
        <v>1034</v>
      </c>
      <c r="C2492" s="322" t="str">
        <f>+'LISTA DE INSUMOS'!A18</f>
        <v>MOB015</v>
      </c>
      <c r="D2492" s="324" t="str">
        <f>+'LISTA DE INSUMOS'!B18</f>
        <v>Cuadrilla E 1 Of + 1 Ay (jornal + prestaciones)</v>
      </c>
      <c r="E2492" s="322" t="str">
        <f>+'LISTA DE INSUMOS'!C18</f>
        <v>Día</v>
      </c>
      <c r="F2492" s="325">
        <v>1</v>
      </c>
      <c r="G2492" s="312">
        <f>'LISTA DE INSUMOS'!E18</f>
        <v>245584</v>
      </c>
      <c r="H2492" s="322">
        <f>1/12</f>
        <v>8.3333333333333329E-2</v>
      </c>
      <c r="I2492" s="312">
        <f>ROUND((F2492*G2492*H2492),0)</f>
        <v>20465</v>
      </c>
      <c r="J2492" s="313"/>
      <c r="K2492" s="323"/>
    </row>
    <row r="2493" spans="2:11" s="317" customFormat="1" ht="24.9" hidden="1" customHeight="1" thickTop="1" thickBot="1" x14ac:dyDescent="0.25">
      <c r="B2493" s="343" t="s">
        <v>1033</v>
      </c>
      <c r="C2493" s="329" t="str">
        <f>+'LISTA DE INSUMOS'!A758</f>
        <v>EQU002</v>
      </c>
      <c r="D2493" s="328" t="str">
        <f>+'LISTA DE INSUMOS'!B758</f>
        <v>Herramienta menor (% mano obra)</v>
      </c>
      <c r="E2493" s="329" t="str">
        <f>+'LISTA DE INSUMOS'!C758</f>
        <v>%MO</v>
      </c>
      <c r="F2493" s="330">
        <v>0.1</v>
      </c>
      <c r="G2493" s="331">
        <f>I2492</f>
        <v>20465</v>
      </c>
      <c r="H2493" s="329">
        <v>0</v>
      </c>
      <c r="I2493" s="331">
        <f>ROUND((F2493*G2493),0)</f>
        <v>2047</v>
      </c>
      <c r="J2493" s="313"/>
      <c r="K2493" s="323"/>
    </row>
    <row r="2494" spans="2:11" s="317" customFormat="1" ht="24.9" hidden="1" customHeight="1" x14ac:dyDescent="0.2">
      <c r="B2494" s="319" t="s">
        <v>2327</v>
      </c>
      <c r="C2494" s="319"/>
      <c r="D2494" s="320" t="s">
        <v>84</v>
      </c>
      <c r="E2494" s="319" t="s">
        <v>2585</v>
      </c>
      <c r="F2494" s="332"/>
      <c r="G2494" s="312">
        <f>ROUND(SUM(I2494:I2503),0)</f>
        <v>88094</v>
      </c>
      <c r="H2494" s="322"/>
      <c r="I2494" s="312"/>
      <c r="J2494" s="313"/>
      <c r="K2494" s="323"/>
    </row>
    <row r="2495" spans="2:11" s="317" customFormat="1" ht="24.9" hidden="1" customHeight="1" x14ac:dyDescent="0.2">
      <c r="B2495" s="691" t="s">
        <v>1035</v>
      </c>
      <c r="C2495" s="338" t="str">
        <f>+'LISTA DE INSUMOS'!A667</f>
        <v>MAT683</v>
      </c>
      <c r="D2495" s="339" t="str">
        <f>+'LISTA DE INSUMOS'!B667</f>
        <v>Perfil aluminio blanco T L = 6 m</v>
      </c>
      <c r="E2495" s="338" t="str">
        <f>+'LISTA DE INSUMOS'!C667</f>
        <v>Un</v>
      </c>
      <c r="F2495" s="332">
        <v>0.45</v>
      </c>
      <c r="G2495" s="312">
        <f>'LISTA DE INSUMOS'!E667</f>
        <v>25148.258547719994</v>
      </c>
      <c r="H2495" s="322">
        <v>1.03</v>
      </c>
      <c r="I2495" s="312">
        <f>ROUND((F2495*G2495*H2495),0)</f>
        <v>11656</v>
      </c>
      <c r="J2495" s="313"/>
      <c r="K2495" s="323"/>
    </row>
    <row r="2496" spans="2:11" s="317" customFormat="1" ht="24.9" hidden="1" customHeight="1" x14ac:dyDescent="0.2">
      <c r="B2496" s="691"/>
      <c r="C2496" s="338" t="str">
        <f>+'LISTA DE INSUMOS'!A666</f>
        <v>MAT682</v>
      </c>
      <c r="D2496" s="339" t="str">
        <f>+'LISTA DE INSUMOS'!B666</f>
        <v>Perfil aluminio blanco ángulo L = 6 m</v>
      </c>
      <c r="E2496" s="332" t="str">
        <f>+'LISTA DE INSUMOS'!C666</f>
        <v>Un</v>
      </c>
      <c r="F2496" s="332">
        <v>0.22</v>
      </c>
      <c r="G2496" s="312">
        <f>'LISTA DE INSUMOS'!E666</f>
        <v>26431.332963419994</v>
      </c>
      <c r="H2496" s="322">
        <v>1.03</v>
      </c>
      <c r="I2496" s="312">
        <f>ROUND((F2496*G2496*H2496),0)</f>
        <v>5989</v>
      </c>
      <c r="J2496" s="313"/>
      <c r="K2496" s="323"/>
    </row>
    <row r="2497" spans="2:11" s="317" customFormat="1" ht="30" hidden="1" customHeight="1" x14ac:dyDescent="0.2">
      <c r="B2497" s="691"/>
      <c r="C2497" s="338" t="str">
        <f>+'LISTA DE INSUMOS'!A668</f>
        <v>MAT684</v>
      </c>
      <c r="D2497" s="339" t="str">
        <f>+'LISTA DE INSUMOS'!B668</f>
        <v>Lámina duracustic 1,2 * 0,6 m</v>
      </c>
      <c r="E2497" s="338" t="str">
        <f>+'LISTA DE INSUMOS'!C668</f>
        <v>Un</v>
      </c>
      <c r="F2497" s="332">
        <v>1.4</v>
      </c>
      <c r="G2497" s="312">
        <f>'LISTA DE INSUMOS'!E668</f>
        <v>36881.309353996803</v>
      </c>
      <c r="H2497" s="322">
        <v>1.03</v>
      </c>
      <c r="I2497" s="312">
        <f>ROUND((F2497*G2497*H2497),0)</f>
        <v>53183</v>
      </c>
      <c r="J2497" s="313"/>
      <c r="K2497" s="323"/>
    </row>
    <row r="2498" spans="2:11" s="317" customFormat="1" ht="30" hidden="1" customHeight="1" x14ac:dyDescent="0.2">
      <c r="B2498" s="691"/>
      <c r="C2498" s="322" t="str">
        <f>+'LISTA DE INSUMOS'!A52</f>
        <v>MAT021</v>
      </c>
      <c r="D2498" s="324" t="str">
        <f>+'LISTA DE INSUMOS'!B52</f>
        <v>Puntilla (promedio)</v>
      </c>
      <c r="E2498" s="322" t="str">
        <f>+'LISTA DE INSUMOS'!C52</f>
        <v>Lb</v>
      </c>
      <c r="F2498" s="325">
        <v>0.08</v>
      </c>
      <c r="G2498" s="312">
        <f>'LISTA DE INSUMOS'!E52</f>
        <v>6690.6972299999998</v>
      </c>
      <c r="H2498" s="322">
        <v>0</v>
      </c>
      <c r="I2498" s="312">
        <f>ROUND((F2498*G2498),0)</f>
        <v>535</v>
      </c>
      <c r="J2498" s="313"/>
      <c r="K2498" s="323"/>
    </row>
    <row r="2499" spans="2:11" s="317" customFormat="1" ht="30" hidden="1" customHeight="1" x14ac:dyDescent="0.2">
      <c r="B2499" s="691"/>
      <c r="C2499" s="322" t="str">
        <f>+'LISTA DE INSUMOS'!A665</f>
        <v>MAT681</v>
      </c>
      <c r="D2499" s="324" t="str">
        <f>+'LISTA DE INSUMOS'!B665</f>
        <v>Remache de aluminio</v>
      </c>
      <c r="E2499" s="322" t="str">
        <f>+'LISTA DE INSUMOS'!C665</f>
        <v>Un</v>
      </c>
      <c r="F2499" s="332">
        <v>8</v>
      </c>
      <c r="G2499" s="312">
        <f>'LISTA DE INSUMOS'!E665</f>
        <v>223.25494833179997</v>
      </c>
      <c r="H2499" s="322">
        <v>0</v>
      </c>
      <c r="I2499" s="312">
        <f>ROUND((F2499*G2499),0)</f>
        <v>1786</v>
      </c>
      <c r="J2499" s="313"/>
      <c r="K2499" s="323"/>
    </row>
    <row r="2500" spans="2:11" s="317" customFormat="1" ht="24.9" hidden="1" customHeight="1" thickBot="1" x14ac:dyDescent="0.25">
      <c r="B2500" s="691"/>
      <c r="C2500" s="322" t="str">
        <f>+'LISTA DE INSUMOS'!A190</f>
        <v>MAT148</v>
      </c>
      <c r="D2500" s="324" t="str">
        <f>+'LISTA DE INSUMOS'!B190</f>
        <v xml:space="preserve">Alambre galvanizado C 12 </v>
      </c>
      <c r="E2500" s="322" t="str">
        <f>+'LISTA DE INSUMOS'!C190</f>
        <v>Kg</v>
      </c>
      <c r="F2500" s="332">
        <v>0.02</v>
      </c>
      <c r="G2500" s="312">
        <f>'LISTA DE INSUMOS'!E190</f>
        <v>10174.934703779998</v>
      </c>
      <c r="H2500" s="322">
        <v>1.03</v>
      </c>
      <c r="I2500" s="312">
        <f>ROUND((F2500*G2500*H2500),0)</f>
        <v>210</v>
      </c>
      <c r="J2500" s="313"/>
      <c r="K2500" s="323"/>
    </row>
    <row r="2501" spans="2:11" s="317" customFormat="1" ht="24.9" hidden="1" customHeight="1" thickTop="1" thickBot="1" x14ac:dyDescent="0.25">
      <c r="B2501" s="363" t="s">
        <v>1034</v>
      </c>
      <c r="C2501" s="322" t="str">
        <f>+'LISTA DE INSUMOS'!A18</f>
        <v>MOB015</v>
      </c>
      <c r="D2501" s="324" t="str">
        <f>+'LISTA DE INSUMOS'!B18</f>
        <v>Cuadrilla E 1 Of + 1 Ay (jornal + prestaciones)</v>
      </c>
      <c r="E2501" s="322" t="str">
        <f>+'LISTA DE INSUMOS'!C18</f>
        <v>Día</v>
      </c>
      <c r="F2501" s="325">
        <v>1</v>
      </c>
      <c r="G2501" s="312">
        <f>'LISTA DE INSUMOS'!E18</f>
        <v>245584</v>
      </c>
      <c r="H2501" s="322">
        <f>1/20</f>
        <v>0.05</v>
      </c>
      <c r="I2501" s="312">
        <f>ROUND((F2501*G2501*H2501),0)</f>
        <v>12279</v>
      </c>
      <c r="J2501" s="313"/>
      <c r="K2501" s="323"/>
    </row>
    <row r="2502" spans="2:11" s="317" customFormat="1" ht="43.5" hidden="1" customHeight="1" thickTop="1" x14ac:dyDescent="0.2">
      <c r="B2502" s="652" t="s">
        <v>1033</v>
      </c>
      <c r="C2502" s="322" t="str">
        <f>+'LISTA DE INSUMOS'!A758</f>
        <v>EQU002</v>
      </c>
      <c r="D2502" s="324" t="str">
        <f>+'LISTA DE INSUMOS'!B758</f>
        <v>Herramienta menor (% mano obra)</v>
      </c>
      <c r="E2502" s="322" t="str">
        <f>+'LISTA DE INSUMOS'!C758</f>
        <v>%MO</v>
      </c>
      <c r="F2502" s="325">
        <v>0.1</v>
      </c>
      <c r="G2502" s="312">
        <f>I2501</f>
        <v>12279</v>
      </c>
      <c r="H2502" s="322">
        <v>0</v>
      </c>
      <c r="I2502" s="312">
        <f>ROUND((F2502*G2502),0)</f>
        <v>1228</v>
      </c>
      <c r="J2502" s="313"/>
      <c r="K2502" s="323"/>
    </row>
    <row r="2503" spans="2:11" s="317" customFormat="1" ht="24.9" hidden="1" customHeight="1" thickBot="1" x14ac:dyDescent="0.25">
      <c r="B2503" s="653"/>
      <c r="C2503" s="329" t="str">
        <f>+'LISTA DE INSUMOS'!A762</f>
        <v>EQU006</v>
      </c>
      <c r="D2503" s="328" t="str">
        <f>+'LISTA DE INSUMOS'!B762</f>
        <v>Andamio (% mano obra)</v>
      </c>
      <c r="E2503" s="329" t="str">
        <f>+'LISTA DE INSUMOS'!C762</f>
        <v>%MO</v>
      </c>
      <c r="F2503" s="330">
        <v>0.1</v>
      </c>
      <c r="G2503" s="331">
        <f>I2501</f>
        <v>12279</v>
      </c>
      <c r="H2503" s="329">
        <v>0</v>
      </c>
      <c r="I2503" s="331">
        <f>ROUND((F2503*G2503),0)</f>
        <v>1228</v>
      </c>
      <c r="J2503" s="313"/>
      <c r="K2503" s="323"/>
    </row>
    <row r="2504" spans="2:11" s="317" customFormat="1" ht="24.9" hidden="1" customHeight="1" x14ac:dyDescent="0.2">
      <c r="B2504" s="353" t="s">
        <v>1654</v>
      </c>
      <c r="C2504" s="319"/>
      <c r="D2504" s="320" t="s">
        <v>85</v>
      </c>
      <c r="E2504" s="319" t="s">
        <v>2585</v>
      </c>
      <c r="F2504" s="332"/>
      <c r="G2504" s="312">
        <f>ROUND(SUM(I2504:I2513),0)</f>
        <v>85420</v>
      </c>
      <c r="H2504" s="322"/>
      <c r="I2504" s="312"/>
      <c r="J2504" s="313"/>
      <c r="K2504" s="323"/>
    </row>
    <row r="2505" spans="2:11" s="317" customFormat="1" ht="24.9" hidden="1" customHeight="1" x14ac:dyDescent="0.2">
      <c r="B2505" s="691" t="s">
        <v>1035</v>
      </c>
      <c r="C2505" s="338" t="str">
        <f>+'LISTA DE INSUMOS'!A661</f>
        <v>MAT677</v>
      </c>
      <c r="D2505" s="339" t="str">
        <f>+'LISTA DE INSUMOS'!B661</f>
        <v>Perfil aluminio anoloc T L = 6 m</v>
      </c>
      <c r="E2505" s="338" t="str">
        <f>+'LISTA DE INSUMOS'!C661</f>
        <v>Un</v>
      </c>
      <c r="F2505" s="332">
        <v>0.45</v>
      </c>
      <c r="G2505" s="312">
        <f>'LISTA DE INSUMOS'!E661</f>
        <v>21260.543068148996</v>
      </c>
      <c r="H2505" s="322">
        <v>1.03</v>
      </c>
      <c r="I2505" s="312">
        <f>ROUND((F2505*G2505*H2505),0)</f>
        <v>9854</v>
      </c>
      <c r="J2505" s="313"/>
      <c r="K2505" s="323"/>
    </row>
    <row r="2506" spans="2:11" s="317" customFormat="1" ht="24.9" hidden="1" customHeight="1" x14ac:dyDescent="0.2">
      <c r="B2506" s="691"/>
      <c r="C2506" s="338" t="str">
        <f>+'LISTA DE INSUMOS'!A660</f>
        <v>MAT676</v>
      </c>
      <c r="D2506" s="339" t="str">
        <f>+'LISTA DE INSUMOS'!B660</f>
        <v>Perfil alumino anoloc ángulo L = 6 m</v>
      </c>
      <c r="E2506" s="332" t="str">
        <f>+'LISTA DE INSUMOS'!C660</f>
        <v>Un</v>
      </c>
      <c r="F2506" s="332">
        <v>0.22</v>
      </c>
      <c r="G2506" s="312">
        <f>'LISTA DE INSUMOS'!E660</f>
        <v>22582.109716319992</v>
      </c>
      <c r="H2506" s="322">
        <v>1.03</v>
      </c>
      <c r="I2506" s="312">
        <f>ROUND((F2506*G2506*H2506),0)</f>
        <v>5117</v>
      </c>
      <c r="J2506" s="313"/>
      <c r="K2506" s="323"/>
    </row>
    <row r="2507" spans="2:11" s="317" customFormat="1" ht="24.9" hidden="1" customHeight="1" x14ac:dyDescent="0.2">
      <c r="B2507" s="691"/>
      <c r="C2507" s="338" t="str">
        <f>+'LISTA DE INSUMOS'!A668</f>
        <v>MAT684</v>
      </c>
      <c r="D2507" s="339" t="str">
        <f>+'LISTA DE INSUMOS'!B668</f>
        <v>Lámina duracustic 1,2 * 0,6 m</v>
      </c>
      <c r="E2507" s="338" t="str">
        <f>+'LISTA DE INSUMOS'!C668</f>
        <v>Un</v>
      </c>
      <c r="F2507" s="332">
        <v>1.4</v>
      </c>
      <c r="G2507" s="312">
        <f>'LISTA DE INSUMOS'!E668</f>
        <v>36881.309353996803</v>
      </c>
      <c r="H2507" s="322">
        <v>1.03</v>
      </c>
      <c r="I2507" s="312">
        <f>ROUND((F2507*G2507*H2507),0)</f>
        <v>53183</v>
      </c>
      <c r="J2507" s="313"/>
      <c r="K2507" s="323"/>
    </row>
    <row r="2508" spans="2:11" s="317" customFormat="1" ht="24.9" hidden="1" customHeight="1" x14ac:dyDescent="0.2">
      <c r="B2508" s="691"/>
      <c r="C2508" s="322" t="str">
        <f>+'LISTA DE INSUMOS'!A52</f>
        <v>MAT021</v>
      </c>
      <c r="D2508" s="324" t="str">
        <f>+'LISTA DE INSUMOS'!B52</f>
        <v>Puntilla (promedio)</v>
      </c>
      <c r="E2508" s="322" t="str">
        <f>+'LISTA DE INSUMOS'!C52</f>
        <v>Lb</v>
      </c>
      <c r="F2508" s="325">
        <v>0.08</v>
      </c>
      <c r="G2508" s="312">
        <f>'LISTA DE INSUMOS'!E52</f>
        <v>6690.6972299999998</v>
      </c>
      <c r="H2508" s="322">
        <v>0</v>
      </c>
      <c r="I2508" s="312">
        <f>ROUND((F2508*G2508),0)</f>
        <v>535</v>
      </c>
      <c r="J2508" s="313"/>
      <c r="K2508" s="323"/>
    </row>
    <row r="2509" spans="2:11" s="317" customFormat="1" ht="24.9" hidden="1" customHeight="1" x14ac:dyDescent="0.2">
      <c r="B2509" s="691"/>
      <c r="C2509" s="322" t="str">
        <f>+'LISTA DE INSUMOS'!A665</f>
        <v>MAT681</v>
      </c>
      <c r="D2509" s="324" t="str">
        <f>+'LISTA DE INSUMOS'!B665</f>
        <v>Remache de aluminio</v>
      </c>
      <c r="E2509" s="322" t="str">
        <f>+'LISTA DE INSUMOS'!C665</f>
        <v>Un</v>
      </c>
      <c r="F2509" s="332">
        <v>8</v>
      </c>
      <c r="G2509" s="312">
        <f>'LISTA DE INSUMOS'!E665</f>
        <v>223.25494833179997</v>
      </c>
      <c r="H2509" s="322">
        <v>0</v>
      </c>
      <c r="I2509" s="312">
        <f>ROUND((F2509*G2509),0)</f>
        <v>1786</v>
      </c>
      <c r="J2509" s="313"/>
      <c r="K2509" s="323"/>
    </row>
    <row r="2510" spans="2:11" s="317" customFormat="1" ht="24.9" hidden="1" customHeight="1" thickBot="1" x14ac:dyDescent="0.25">
      <c r="B2510" s="691"/>
      <c r="C2510" s="322" t="str">
        <f>+'LISTA DE INSUMOS'!A190</f>
        <v>MAT148</v>
      </c>
      <c r="D2510" s="324" t="str">
        <f>+'LISTA DE INSUMOS'!B190</f>
        <v xml:space="preserve">Alambre galvanizado C 12 </v>
      </c>
      <c r="E2510" s="322" t="str">
        <f>+'LISTA DE INSUMOS'!C190</f>
        <v>Kg</v>
      </c>
      <c r="F2510" s="332">
        <v>0.02</v>
      </c>
      <c r="G2510" s="312">
        <f>'LISTA DE INSUMOS'!E190</f>
        <v>10174.934703779998</v>
      </c>
      <c r="H2510" s="322">
        <v>1.03</v>
      </c>
      <c r="I2510" s="312">
        <f>ROUND((F2510*G2510*H2510),0)</f>
        <v>210</v>
      </c>
      <c r="J2510" s="313"/>
      <c r="K2510" s="323"/>
    </row>
    <row r="2511" spans="2:11" s="317" customFormat="1" ht="24.9" hidden="1" customHeight="1" thickTop="1" thickBot="1" x14ac:dyDescent="0.25">
      <c r="B2511" s="363" t="s">
        <v>1034</v>
      </c>
      <c r="C2511" s="322" t="str">
        <f>+'LISTA DE INSUMOS'!A18</f>
        <v>MOB015</v>
      </c>
      <c r="D2511" s="324" t="str">
        <f>+'LISTA DE INSUMOS'!B18</f>
        <v>Cuadrilla E 1 Of + 1 Ay (jornal + prestaciones)</v>
      </c>
      <c r="E2511" s="322" t="str">
        <f>+'LISTA DE INSUMOS'!C18</f>
        <v>Día</v>
      </c>
      <c r="F2511" s="325">
        <v>1</v>
      </c>
      <c r="G2511" s="312">
        <f>'LISTA DE INSUMOS'!E18</f>
        <v>245584</v>
      </c>
      <c r="H2511" s="322">
        <f>1/20</f>
        <v>0.05</v>
      </c>
      <c r="I2511" s="312">
        <f>ROUND((F2511*G2511*H2511),0)</f>
        <v>12279</v>
      </c>
      <c r="J2511" s="313"/>
      <c r="K2511" s="323"/>
    </row>
    <row r="2512" spans="2:11" s="317" customFormat="1" ht="30" hidden="1" customHeight="1" thickTop="1" x14ac:dyDescent="0.2">
      <c r="B2512" s="652" t="s">
        <v>1033</v>
      </c>
      <c r="C2512" s="322" t="str">
        <f>+'LISTA DE INSUMOS'!A758</f>
        <v>EQU002</v>
      </c>
      <c r="D2512" s="324" t="str">
        <f>+'LISTA DE INSUMOS'!B758</f>
        <v>Herramienta menor (% mano obra)</v>
      </c>
      <c r="E2512" s="322" t="str">
        <f>+'LISTA DE INSUMOS'!C758</f>
        <v>%MO</v>
      </c>
      <c r="F2512" s="325">
        <v>0.1</v>
      </c>
      <c r="G2512" s="312">
        <f>I2511</f>
        <v>12279</v>
      </c>
      <c r="H2512" s="322">
        <v>0</v>
      </c>
      <c r="I2512" s="312">
        <f>ROUND((F2512*G2512),0)</f>
        <v>1228</v>
      </c>
      <c r="J2512" s="313"/>
      <c r="K2512" s="323"/>
    </row>
    <row r="2513" spans="2:11" s="317" customFormat="1" ht="30" hidden="1" customHeight="1" thickBot="1" x14ac:dyDescent="0.25">
      <c r="B2513" s="653"/>
      <c r="C2513" s="329" t="str">
        <f>+'LISTA DE INSUMOS'!A762</f>
        <v>EQU006</v>
      </c>
      <c r="D2513" s="328" t="str">
        <f>+'LISTA DE INSUMOS'!B762</f>
        <v>Andamio (% mano obra)</v>
      </c>
      <c r="E2513" s="329" t="str">
        <f>+'LISTA DE INSUMOS'!C762</f>
        <v>%MO</v>
      </c>
      <c r="F2513" s="330">
        <v>0.1</v>
      </c>
      <c r="G2513" s="331">
        <f>I2511</f>
        <v>12279</v>
      </c>
      <c r="H2513" s="329">
        <v>0</v>
      </c>
      <c r="I2513" s="331">
        <f>ROUND((F2513*G2513),0)</f>
        <v>1228</v>
      </c>
      <c r="J2513" s="313"/>
      <c r="K2513" s="323"/>
    </row>
    <row r="2514" spans="2:11" s="317" customFormat="1" ht="30" hidden="1" customHeight="1" x14ac:dyDescent="0.2">
      <c r="B2514" s="353" t="s">
        <v>2328</v>
      </c>
      <c r="C2514" s="319"/>
      <c r="D2514" s="320" t="s">
        <v>86</v>
      </c>
      <c r="E2514" s="319" t="s">
        <v>2585</v>
      </c>
      <c r="F2514" s="332"/>
      <c r="G2514" s="312">
        <f>ROUND(SUM(I2514:I2523),0)</f>
        <v>88851</v>
      </c>
      <c r="H2514" s="322"/>
      <c r="I2514" s="312"/>
      <c r="J2514" s="313"/>
      <c r="K2514" s="323"/>
    </row>
    <row r="2515" spans="2:11" s="317" customFormat="1" ht="24.9" hidden="1" customHeight="1" x14ac:dyDescent="0.2">
      <c r="B2515" s="691" t="s">
        <v>1035</v>
      </c>
      <c r="C2515" s="338" t="str">
        <f>+'LISTA DE INSUMOS'!A659</f>
        <v>MAT675</v>
      </c>
      <c r="D2515" s="339" t="str">
        <f>+'LISTA DE INSUMOS'!B659</f>
        <v>Perfil T-20 Cenizo Cepillado 2.5 Metros</v>
      </c>
      <c r="E2515" s="338" t="str">
        <f>+'LISTA DE INSUMOS'!C659</f>
        <v>Un</v>
      </c>
      <c r="F2515" s="332">
        <v>0.45</v>
      </c>
      <c r="G2515" s="312">
        <f>'LISTA DE INSUMOS'!E659</f>
        <v>29353.032536519997</v>
      </c>
      <c r="H2515" s="322">
        <v>1.03</v>
      </c>
      <c r="I2515" s="312">
        <f>ROUND((F2515*G2515*H2515),0)</f>
        <v>13605</v>
      </c>
      <c r="J2515" s="313"/>
      <c r="K2515" s="323"/>
    </row>
    <row r="2516" spans="2:11" s="317" customFormat="1" ht="24.9" hidden="1" customHeight="1" x14ac:dyDescent="0.2">
      <c r="B2516" s="691"/>
      <c r="C2516" s="338" t="str">
        <f>+'LISTA DE INSUMOS'!A658</f>
        <v>MAT674</v>
      </c>
      <c r="D2516" s="339" t="str">
        <f>+'LISTA DE INSUMOS'!B658</f>
        <v xml:space="preserve">Perfil aluminio natural Tipo U :2,5 </v>
      </c>
      <c r="E2516" s="332" t="str">
        <f>+'LISTA DE INSUMOS'!C658</f>
        <v>m</v>
      </c>
      <c r="F2516" s="332">
        <v>0.22</v>
      </c>
      <c r="G2516" s="312">
        <f>'LISTA DE INSUMOS'!E658</f>
        <v>21170.727859049999</v>
      </c>
      <c r="H2516" s="322">
        <v>1.03</v>
      </c>
      <c r="I2516" s="312">
        <f>ROUND((F2516*G2516*H2516),0)</f>
        <v>4797</v>
      </c>
      <c r="J2516" s="313"/>
      <c r="K2516" s="323"/>
    </row>
    <row r="2517" spans="2:11" s="317" customFormat="1" ht="24.9" hidden="1" customHeight="1" x14ac:dyDescent="0.2">
      <c r="B2517" s="691"/>
      <c r="C2517" s="338" t="str">
        <f>+'LISTA DE INSUMOS'!A668</f>
        <v>MAT684</v>
      </c>
      <c r="D2517" s="339" t="str">
        <f>+'LISTA DE INSUMOS'!B668</f>
        <v>Lámina duracustic 1,2 * 0,6 m</v>
      </c>
      <c r="E2517" s="338" t="str">
        <f>+'LISTA DE INSUMOS'!C668</f>
        <v>Un</v>
      </c>
      <c r="F2517" s="332">
        <v>1.4</v>
      </c>
      <c r="G2517" s="312">
        <f>+'LISTA DE INSUMOS'!E668</f>
        <v>36881.309353996803</v>
      </c>
      <c r="H2517" s="322">
        <v>1.03</v>
      </c>
      <c r="I2517" s="312">
        <f>ROUND((F2517*G2517*H2517),0)</f>
        <v>53183</v>
      </c>
      <c r="J2517" s="313"/>
      <c r="K2517" s="323"/>
    </row>
    <row r="2518" spans="2:11" s="317" customFormat="1" ht="30" hidden="1" customHeight="1" x14ac:dyDescent="0.2">
      <c r="B2518" s="691"/>
      <c r="C2518" s="322" t="str">
        <f>+'LISTA DE INSUMOS'!A52</f>
        <v>MAT021</v>
      </c>
      <c r="D2518" s="324" t="str">
        <f>+'LISTA DE INSUMOS'!B52</f>
        <v>Puntilla (promedio)</v>
      </c>
      <c r="E2518" s="322" t="str">
        <f>+'LISTA DE INSUMOS'!C52</f>
        <v>Lb</v>
      </c>
      <c r="F2518" s="325">
        <v>0.08</v>
      </c>
      <c r="G2518" s="312">
        <f>+'LISTA DE INSUMOS'!E52</f>
        <v>6690.6972299999998</v>
      </c>
      <c r="H2518" s="322">
        <v>0</v>
      </c>
      <c r="I2518" s="312">
        <f>ROUND((F2518*G2518),0)</f>
        <v>535</v>
      </c>
      <c r="J2518" s="313"/>
      <c r="K2518" s="323"/>
    </row>
    <row r="2519" spans="2:11" s="317" customFormat="1" ht="30" hidden="1" customHeight="1" x14ac:dyDescent="0.2">
      <c r="B2519" s="691"/>
      <c r="C2519" s="322" t="str">
        <f>+'LISTA DE INSUMOS'!A665</f>
        <v>MAT681</v>
      </c>
      <c r="D2519" s="324" t="str">
        <f>+'LISTA DE INSUMOS'!B665</f>
        <v>Remache de aluminio</v>
      </c>
      <c r="E2519" s="322" t="str">
        <f>+'LISTA DE INSUMOS'!C665</f>
        <v>Un</v>
      </c>
      <c r="F2519" s="332">
        <v>8</v>
      </c>
      <c r="G2519" s="312">
        <f>+'LISTA DE INSUMOS'!E665</f>
        <v>223.25494833179997</v>
      </c>
      <c r="H2519" s="322">
        <v>0</v>
      </c>
      <c r="I2519" s="312">
        <f>ROUND((F2519*G2519),0)</f>
        <v>1786</v>
      </c>
      <c r="J2519" s="313"/>
      <c r="K2519" s="323"/>
    </row>
    <row r="2520" spans="2:11" s="317" customFormat="1" ht="30" hidden="1" customHeight="1" thickBot="1" x14ac:dyDescent="0.25">
      <c r="B2520" s="691"/>
      <c r="C2520" s="322" t="str">
        <f>+'LISTA DE INSUMOS'!A190</f>
        <v>MAT148</v>
      </c>
      <c r="D2520" s="324" t="str">
        <f>+'LISTA DE INSUMOS'!B190</f>
        <v xml:space="preserve">Alambre galvanizado C 12 </v>
      </c>
      <c r="E2520" s="322" t="str">
        <f>+'LISTA DE INSUMOS'!C190</f>
        <v>Kg</v>
      </c>
      <c r="F2520" s="332">
        <v>0.02</v>
      </c>
      <c r="G2520" s="312">
        <f>+'LISTA DE INSUMOS'!E190</f>
        <v>10174.934703779998</v>
      </c>
      <c r="H2520" s="322">
        <v>1.03</v>
      </c>
      <c r="I2520" s="312">
        <f>ROUND((F2520*G2520*H2520),0)</f>
        <v>210</v>
      </c>
      <c r="J2520" s="313"/>
      <c r="K2520" s="323"/>
    </row>
    <row r="2521" spans="2:11" s="317" customFormat="1" ht="24.9" hidden="1" customHeight="1" thickTop="1" thickBot="1" x14ac:dyDescent="0.25">
      <c r="B2521" s="363" t="s">
        <v>1034</v>
      </c>
      <c r="C2521" s="322" t="str">
        <f>+'LISTA DE INSUMOS'!A18</f>
        <v>MOB015</v>
      </c>
      <c r="D2521" s="324" t="str">
        <f>+'LISTA DE INSUMOS'!B18</f>
        <v>Cuadrilla E 1 Of + 1 Ay (jornal + prestaciones)</v>
      </c>
      <c r="E2521" s="322" t="str">
        <f>+'LISTA DE INSUMOS'!C18</f>
        <v>Día</v>
      </c>
      <c r="F2521" s="325">
        <v>1</v>
      </c>
      <c r="G2521" s="312">
        <f>+'LISTA DE INSUMOS'!E18</f>
        <v>245584</v>
      </c>
      <c r="H2521" s="322">
        <f>1/20</f>
        <v>0.05</v>
      </c>
      <c r="I2521" s="312">
        <f>ROUND((F2521*G2521*H2521),0)</f>
        <v>12279</v>
      </c>
      <c r="J2521" s="313"/>
      <c r="K2521" s="323"/>
    </row>
    <row r="2522" spans="2:11" s="317" customFormat="1" ht="24.9" hidden="1" customHeight="1" thickTop="1" x14ac:dyDescent="0.2">
      <c r="B2522" s="652" t="s">
        <v>1033</v>
      </c>
      <c r="C2522" s="322" t="str">
        <f>+'LISTA DE INSUMOS'!A758</f>
        <v>EQU002</v>
      </c>
      <c r="D2522" s="324" t="str">
        <f>+'LISTA DE INSUMOS'!B758</f>
        <v>Herramienta menor (% mano obra)</v>
      </c>
      <c r="E2522" s="322" t="str">
        <f>+'LISTA DE INSUMOS'!C758</f>
        <v>%MO</v>
      </c>
      <c r="F2522" s="325">
        <v>0.1</v>
      </c>
      <c r="G2522" s="312">
        <f>I2521</f>
        <v>12279</v>
      </c>
      <c r="H2522" s="322">
        <v>0</v>
      </c>
      <c r="I2522" s="312">
        <f>ROUND((F2522*G2522),0)</f>
        <v>1228</v>
      </c>
      <c r="J2522" s="313"/>
      <c r="K2522" s="323"/>
    </row>
    <row r="2523" spans="2:11" s="317" customFormat="1" ht="24.9" hidden="1" customHeight="1" thickBot="1" x14ac:dyDescent="0.25">
      <c r="B2523" s="653"/>
      <c r="C2523" s="329" t="str">
        <f>+'LISTA DE INSUMOS'!A762</f>
        <v>EQU006</v>
      </c>
      <c r="D2523" s="328" t="str">
        <f>+'LISTA DE INSUMOS'!B762</f>
        <v>Andamio (% mano obra)</v>
      </c>
      <c r="E2523" s="329" t="str">
        <f>+'LISTA DE INSUMOS'!C762</f>
        <v>%MO</v>
      </c>
      <c r="F2523" s="330">
        <v>0.1</v>
      </c>
      <c r="G2523" s="331">
        <f>I2521</f>
        <v>12279</v>
      </c>
      <c r="H2523" s="329">
        <v>0</v>
      </c>
      <c r="I2523" s="331">
        <f>ROUND((F2523*G2523),0)</f>
        <v>1228</v>
      </c>
      <c r="J2523" s="313"/>
      <c r="K2523" s="323"/>
    </row>
    <row r="2524" spans="2:11" s="317" customFormat="1" ht="54.75" hidden="1" customHeight="1" x14ac:dyDescent="0.2">
      <c r="B2524" s="353" t="s">
        <v>1950</v>
      </c>
      <c r="C2524" s="319"/>
      <c r="D2524" s="320" t="s">
        <v>472</v>
      </c>
      <c r="E2524" s="319" t="s">
        <v>1424</v>
      </c>
      <c r="F2524" s="332"/>
      <c r="G2524" s="312">
        <f>ROUND(SUM(I2524:I2533),0)</f>
        <v>69328</v>
      </c>
      <c r="H2524" s="322"/>
      <c r="I2524" s="312"/>
      <c r="J2524" s="313"/>
      <c r="K2524" s="323"/>
    </row>
    <row r="2525" spans="2:11" s="317" customFormat="1" ht="30" hidden="1" customHeight="1" x14ac:dyDescent="0.2">
      <c r="B2525" s="691" t="s">
        <v>1035</v>
      </c>
      <c r="C2525" s="322" t="str">
        <f>+'LISTA DE INSUMOS'!A31</f>
        <v>MAT002</v>
      </c>
      <c r="D2525" s="324" t="str">
        <f>+'LISTA DE INSUMOS'!B31</f>
        <v>Cemento blanco</v>
      </c>
      <c r="E2525" s="322" t="str">
        <f>+'LISTA DE INSUMOS'!C31</f>
        <v>Kg</v>
      </c>
      <c r="F2525" s="325">
        <v>2</v>
      </c>
      <c r="G2525" s="312">
        <f>'LISTA DE INSUMOS'!E31</f>
        <v>2900</v>
      </c>
      <c r="H2525" s="322">
        <v>1.05</v>
      </c>
      <c r="I2525" s="312">
        <f>ROUND((F2525*G2525*H2525),0)</f>
        <v>6090</v>
      </c>
      <c r="J2525" s="313"/>
      <c r="K2525" s="323"/>
    </row>
    <row r="2526" spans="2:11" s="317" customFormat="1" ht="30" hidden="1" customHeight="1" x14ac:dyDescent="0.2">
      <c r="B2526" s="691"/>
      <c r="C2526" s="322" t="str">
        <f>+'LISTA DE INSUMOS'!A227</f>
        <v>MAT195</v>
      </c>
      <c r="D2526" s="324" t="str">
        <f>+'LISTA DE INSUMOS'!B227</f>
        <v>Cera</v>
      </c>
      <c r="E2526" s="322" t="str">
        <f>+'LISTA DE INSUMOS'!C227</f>
        <v>Lb</v>
      </c>
      <c r="F2526" s="325">
        <v>0.04</v>
      </c>
      <c r="G2526" s="312">
        <f>'LISTA DE INSUMOS'!E227</f>
        <v>8043.979980220799</v>
      </c>
      <c r="H2526" s="322">
        <v>0</v>
      </c>
      <c r="I2526" s="312">
        <f>ROUND((F2526*G2526),0)</f>
        <v>322</v>
      </c>
      <c r="J2526" s="313"/>
      <c r="K2526" s="323"/>
    </row>
    <row r="2527" spans="2:11" s="317" customFormat="1" ht="24.9" hidden="1" customHeight="1" x14ac:dyDescent="0.2">
      <c r="B2527" s="691"/>
      <c r="C2527" s="322" t="str">
        <f>+'LISTA DE INSUMOS'!A633</f>
        <v>MAT649</v>
      </c>
      <c r="D2527" s="324" t="str">
        <f>+'LISTA DE INSUMOS'!B633</f>
        <v>Baldosa Grano Tradicional Blanco Huila BH5 de 30 x 30 cm. Tipo Alfa o Similar. Fondo Blanco</v>
      </c>
      <c r="E2527" s="322" t="str">
        <f>+'LISTA DE INSUMOS'!C633</f>
        <v>M2</v>
      </c>
      <c r="F2527" s="325">
        <v>1</v>
      </c>
      <c r="G2527" s="312">
        <f>'LISTA DE INSUMOS'!E633</f>
        <v>26091.167336629995</v>
      </c>
      <c r="H2527" s="322">
        <v>1.1000000000000001</v>
      </c>
      <c r="I2527" s="312">
        <f>ROUND((F2527*G2527*H2527),0)</f>
        <v>28700</v>
      </c>
      <c r="J2527" s="313"/>
      <c r="K2527" s="323"/>
    </row>
    <row r="2528" spans="2:11" s="317" customFormat="1" ht="24.9" hidden="1" customHeight="1" x14ac:dyDescent="0.2">
      <c r="B2528" s="691"/>
      <c r="C2528" s="338" t="str">
        <f>+'LISTA DE INSUMOS'!A618</f>
        <v>MAT634</v>
      </c>
      <c r="D2528" s="339" t="str">
        <f>+'LISTA DE INSUMOS'!B618</f>
        <v>Boquilla para enchape</v>
      </c>
      <c r="E2528" s="322" t="str">
        <f>+'LISTA DE INSUMOS'!C618</f>
        <v>Kg</v>
      </c>
      <c r="F2528" s="325">
        <v>0.35</v>
      </c>
      <c r="G2528" s="312">
        <f>'LISTA DE INSUMOS'!E618</f>
        <v>6158.7571953599981</v>
      </c>
      <c r="H2528" s="322">
        <v>1.05</v>
      </c>
      <c r="I2528" s="312">
        <f>ROUND((F2528*G2528*H2528),0)</f>
        <v>2263</v>
      </c>
      <c r="J2528" s="313"/>
      <c r="K2528" s="323"/>
    </row>
    <row r="2529" spans="2:11" s="317" customFormat="1" ht="24.9" hidden="1" customHeight="1" x14ac:dyDescent="0.2">
      <c r="B2529" s="691"/>
      <c r="C2529" s="338" t="str">
        <f>+'LISTA DE INSUMOS'!A631</f>
        <v>MAT647</v>
      </c>
      <c r="D2529" s="339" t="str">
        <f>+'LISTA DE INSUMOS'!B631</f>
        <v>Estopa</v>
      </c>
      <c r="E2529" s="322" t="str">
        <f>+'LISTA DE INSUMOS'!C631</f>
        <v>Kg</v>
      </c>
      <c r="F2529" s="325">
        <v>0.1</v>
      </c>
      <c r="G2529" s="312">
        <f>'LISTA DE INSUMOS'!E631</f>
        <v>11587.144707187499</v>
      </c>
      <c r="H2529" s="322">
        <v>0</v>
      </c>
      <c r="I2529" s="312">
        <f>ROUND((F2529*G2529),0)</f>
        <v>1159</v>
      </c>
      <c r="J2529" s="313"/>
      <c r="K2529" s="323"/>
    </row>
    <row r="2530" spans="2:11" s="317" customFormat="1" ht="24.9" hidden="1" customHeight="1" thickBot="1" x14ac:dyDescent="0.25">
      <c r="B2530" s="692"/>
      <c r="C2530" s="322" t="str">
        <f>+'LISTA DE INSUMOS'!A515</f>
        <v>MAT532</v>
      </c>
      <c r="D2530" s="324" t="str">
        <f>+'LISTA DE INSUMOS'!B515</f>
        <v>Fijador de cerámica tipo pegacor o similar</v>
      </c>
      <c r="E2530" s="322" t="str">
        <f>+'LISTA DE INSUMOS'!C515</f>
        <v>Kg</v>
      </c>
      <c r="F2530" s="325">
        <v>4</v>
      </c>
      <c r="G2530" s="312">
        <f>'LISTA DE INSUMOS'!E515</f>
        <v>1457.6318472728572</v>
      </c>
      <c r="H2530" s="322">
        <v>1.05</v>
      </c>
      <c r="I2530" s="312">
        <f>ROUND((F2530*G2530*H2530),0)</f>
        <v>6122</v>
      </c>
      <c r="J2530" s="313"/>
      <c r="K2530" s="323"/>
    </row>
    <row r="2531" spans="2:11" s="317" customFormat="1" ht="24.9" hidden="1" customHeight="1" thickTop="1" thickBot="1" x14ac:dyDescent="0.25">
      <c r="B2531" s="363" t="s">
        <v>1034</v>
      </c>
      <c r="C2531" s="322" t="str">
        <f>+'LISTA DE INSUMOS'!A18</f>
        <v>MOB015</v>
      </c>
      <c r="D2531" s="324" t="str">
        <f>+'LISTA DE INSUMOS'!B18</f>
        <v>Cuadrilla E 1 Of + 1 Ay (jornal + prestaciones)</v>
      </c>
      <c r="E2531" s="322" t="str">
        <f>+'LISTA DE INSUMOS'!C18</f>
        <v>Día</v>
      </c>
      <c r="F2531" s="325">
        <v>1</v>
      </c>
      <c r="G2531" s="312">
        <f>'LISTA DE INSUMOS'!E18</f>
        <v>245584</v>
      </c>
      <c r="H2531" s="322">
        <f>1/12</f>
        <v>8.3333333333333329E-2</v>
      </c>
      <c r="I2531" s="312">
        <f>ROUND((F2531*G2531*H2531),0)</f>
        <v>20465</v>
      </c>
      <c r="J2531" s="313"/>
      <c r="K2531" s="323"/>
    </row>
    <row r="2532" spans="2:11" s="317" customFormat="1" ht="24.9" hidden="1" customHeight="1" thickTop="1" x14ac:dyDescent="0.2">
      <c r="B2532" s="693" t="s">
        <v>1033</v>
      </c>
      <c r="C2532" s="322" t="str">
        <f>+'LISTA DE INSUMOS'!A758</f>
        <v>EQU002</v>
      </c>
      <c r="D2532" s="324" t="str">
        <f>+'LISTA DE INSUMOS'!B758</f>
        <v>Herramienta menor (% mano obra)</v>
      </c>
      <c r="E2532" s="322" t="str">
        <f>+'LISTA DE INSUMOS'!C758</f>
        <v>%MO</v>
      </c>
      <c r="F2532" s="325">
        <v>0.1</v>
      </c>
      <c r="G2532" s="312">
        <f>I2531</f>
        <v>20465</v>
      </c>
      <c r="H2532" s="322">
        <v>0</v>
      </c>
      <c r="I2532" s="312">
        <f>ROUND((F2532*G2532),0)</f>
        <v>2047</v>
      </c>
      <c r="J2532" s="313"/>
      <c r="K2532" s="323"/>
    </row>
    <row r="2533" spans="2:11" s="317" customFormat="1" ht="24.9" hidden="1" customHeight="1" thickBot="1" x14ac:dyDescent="0.25">
      <c r="B2533" s="694"/>
      <c r="C2533" s="329" t="str">
        <f>+'LISTA DE INSUMOS'!A772</f>
        <v>EQU015</v>
      </c>
      <c r="D2533" s="328" t="str">
        <f>+'LISTA DE INSUMOS'!B772</f>
        <v>Pulidora sin operario</v>
      </c>
      <c r="E2533" s="329" t="str">
        <f>+'LISTA DE INSUMOS'!C772</f>
        <v>Día</v>
      </c>
      <c r="F2533" s="330">
        <v>1</v>
      </c>
      <c r="G2533" s="331">
        <f>'LISTA DE INSUMOS'!E772</f>
        <v>21598.9856859348</v>
      </c>
      <c r="H2533" s="329">
        <f>1/10</f>
        <v>0.1</v>
      </c>
      <c r="I2533" s="331">
        <f>ROUND((F2533*G2533*H2533),0)</f>
        <v>2160</v>
      </c>
      <c r="J2533" s="313"/>
      <c r="K2533" s="323"/>
    </row>
    <row r="2534" spans="2:11" s="317" customFormat="1" ht="24.9" hidden="1" customHeight="1" x14ac:dyDescent="0.2">
      <c r="B2534" s="319" t="s">
        <v>1886</v>
      </c>
      <c r="C2534" s="319"/>
      <c r="D2534" s="320" t="s">
        <v>63</v>
      </c>
      <c r="E2534" s="319" t="s">
        <v>2585</v>
      </c>
      <c r="F2534" s="332"/>
      <c r="G2534" s="312">
        <f>ROUND(SUM(I2534:I2538),0)</f>
        <v>88579</v>
      </c>
      <c r="H2534" s="322"/>
      <c r="I2534" s="312"/>
      <c r="J2534" s="313"/>
      <c r="K2534" s="323"/>
    </row>
    <row r="2535" spans="2:11" s="317" customFormat="1" ht="24.9" hidden="1" customHeight="1" x14ac:dyDescent="0.2">
      <c r="B2535" s="658" t="s">
        <v>1325</v>
      </c>
      <c r="C2535" s="322" t="str">
        <f>+'LISTA DE INSUMOS'!A637</f>
        <v>MAT653</v>
      </c>
      <c r="D2535" s="324" t="str">
        <f>+'LISTA DE INSUMOS'!B637</f>
        <v>Piso vinilico antideslizante, tráfico 5 e = 2 mm</v>
      </c>
      <c r="E2535" s="322" t="str">
        <f>+'LISTA DE INSUMOS'!C637</f>
        <v>M2</v>
      </c>
      <c r="F2535" s="325">
        <v>1</v>
      </c>
      <c r="G2535" s="312">
        <f>'LISTA DE INSUMOS'!E637</f>
        <v>44443.842712499994</v>
      </c>
      <c r="H2535" s="322">
        <v>1.1000000000000001</v>
      </c>
      <c r="I2535" s="312">
        <f>ROUND((F2535*G2535*H2535),0)</f>
        <v>48888</v>
      </c>
      <c r="J2535" s="313"/>
      <c r="K2535" s="323"/>
    </row>
    <row r="2536" spans="2:11" s="317" customFormat="1" ht="30" hidden="1" customHeight="1" thickBot="1" x14ac:dyDescent="0.25">
      <c r="B2536" s="668"/>
      <c r="C2536" s="338" t="str">
        <f>+'LISTA DE INSUMOS'!A680</f>
        <v>MAT694</v>
      </c>
      <c r="D2536" s="324" t="str">
        <f>+'LISTA DE INSUMOS'!B680</f>
        <v>Adhesivo para piso de vinilo</v>
      </c>
      <c r="E2536" s="322" t="str">
        <f>+'LISTA DE INSUMOS'!C680</f>
        <v>Gl</v>
      </c>
      <c r="F2536" s="325">
        <v>1</v>
      </c>
      <c r="G2536" s="312">
        <f>'LISTA DE INSUMOS'!E680</f>
        <v>89497.006643906396</v>
      </c>
      <c r="H2536" s="322">
        <f>1/12</f>
        <v>8.3333333333333329E-2</v>
      </c>
      <c r="I2536" s="312">
        <f>ROUND((F2536*G2536*H2536),0)</f>
        <v>7458</v>
      </c>
      <c r="J2536" s="313"/>
      <c r="K2536" s="323"/>
    </row>
    <row r="2537" spans="2:11" s="317" customFormat="1" ht="30" hidden="1" customHeight="1" thickTop="1" thickBot="1" x14ac:dyDescent="0.25">
      <c r="B2537" s="363" t="s">
        <v>1034</v>
      </c>
      <c r="C2537" s="322" t="str">
        <f>+'LISTA DE INSUMOS'!A18</f>
        <v>MOB015</v>
      </c>
      <c r="D2537" s="324" t="str">
        <f>+'LISTA DE INSUMOS'!B18</f>
        <v>Cuadrilla E 1 Of + 1 Ay (jornal + prestaciones)</v>
      </c>
      <c r="E2537" s="322" t="str">
        <f>+'LISTA DE INSUMOS'!C18</f>
        <v>Día</v>
      </c>
      <c r="F2537" s="325">
        <v>1</v>
      </c>
      <c r="G2537" s="312">
        <f>'LISTA DE INSUMOS'!E18</f>
        <v>245584</v>
      </c>
      <c r="H2537" s="322">
        <f>1/8</f>
        <v>0.125</v>
      </c>
      <c r="I2537" s="312">
        <f>ROUND((F2537*G2537*H2537),0)</f>
        <v>30698</v>
      </c>
      <c r="J2537" s="313"/>
      <c r="K2537" s="323"/>
    </row>
    <row r="2538" spans="2:11" s="317" customFormat="1" ht="30" hidden="1" customHeight="1" thickTop="1" thickBot="1" x14ac:dyDescent="0.25">
      <c r="B2538" s="343" t="s">
        <v>1033</v>
      </c>
      <c r="C2538" s="329" t="str">
        <f>+'LISTA DE INSUMOS'!A758</f>
        <v>EQU002</v>
      </c>
      <c r="D2538" s="328" t="str">
        <f>+'LISTA DE INSUMOS'!B758</f>
        <v>Herramienta menor (% mano obra)</v>
      </c>
      <c r="E2538" s="329" t="str">
        <f>+'LISTA DE INSUMOS'!C758</f>
        <v>%MO</v>
      </c>
      <c r="F2538" s="330">
        <v>0.05</v>
      </c>
      <c r="G2538" s="331">
        <f>I2537</f>
        <v>30698</v>
      </c>
      <c r="H2538" s="329">
        <v>0</v>
      </c>
      <c r="I2538" s="331">
        <f>ROUND((F2538*G2538),0)</f>
        <v>1535</v>
      </c>
      <c r="J2538" s="313"/>
      <c r="K2538" s="323"/>
    </row>
    <row r="2539" spans="2:11" ht="24.9" customHeight="1" x14ac:dyDescent="0.2">
      <c r="B2539" s="117" t="s">
        <v>1949</v>
      </c>
      <c r="C2539" s="117"/>
      <c r="D2539" s="112" t="s">
        <v>1819</v>
      </c>
      <c r="E2539" s="117" t="s">
        <v>2585</v>
      </c>
      <c r="F2539" s="118"/>
      <c r="G2539" s="119">
        <f>ROUND(SUM(I2540:I2544),0)</f>
        <v>40697</v>
      </c>
      <c r="H2539" s="120"/>
      <c r="I2539" s="119"/>
      <c r="J2539" s="47"/>
      <c r="K2539" s="143"/>
    </row>
    <row r="2540" spans="2:11" ht="24.9" customHeight="1" x14ac:dyDescent="0.2">
      <c r="B2540" s="657" t="s">
        <v>1325</v>
      </c>
      <c r="C2540" s="161" t="str">
        <f>+'LISTA DE INSUMOS'!A155</f>
        <v>MAT113</v>
      </c>
      <c r="D2540" s="162" t="str">
        <f>+'LISTA DE INSUMOS'!B155</f>
        <v xml:space="preserve">Pintura vinilo </v>
      </c>
      <c r="E2540" s="161" t="str">
        <f>+'LISTA DE INSUMOS'!C155</f>
        <v>Gl</v>
      </c>
      <c r="F2540" s="244">
        <f>1/10</f>
        <v>0.1</v>
      </c>
      <c r="G2540" s="164">
        <f>'LISTA DE INSUMOS'!E155</f>
        <v>82704.194264999984</v>
      </c>
      <c r="H2540" s="245">
        <v>1.03</v>
      </c>
      <c r="I2540" s="164">
        <f>ROUND((F2540*G2540*H2540),0)</f>
        <v>8519</v>
      </c>
      <c r="J2540" s="51"/>
      <c r="K2540" s="143"/>
    </row>
    <row r="2541" spans="2:11" ht="24.9" customHeight="1" thickBot="1" x14ac:dyDescent="0.25">
      <c r="B2541" s="659"/>
      <c r="C2541" s="161" t="str">
        <f>+'LISTA DE INSUMOS'!A188</f>
        <v>MAT144</v>
      </c>
      <c r="D2541" s="162" t="str">
        <f>+'LISTA DE INSUMOS'!B188</f>
        <v>Yeso</v>
      </c>
      <c r="E2541" s="161" t="str">
        <f>+'LISTA DE INSUMOS'!C188</f>
        <v>Kg</v>
      </c>
      <c r="F2541" s="244">
        <v>0.1</v>
      </c>
      <c r="G2541" s="164">
        <f>'LISTA DE INSUMOS'!E188</f>
        <v>2398.3774658909997</v>
      </c>
      <c r="H2541" s="245">
        <v>1.05</v>
      </c>
      <c r="I2541" s="164">
        <f>ROUND((F2541*G2541*H2541),0)</f>
        <v>252</v>
      </c>
      <c r="J2541" s="51"/>
      <c r="K2541" s="143"/>
    </row>
    <row r="2542" spans="2:11" ht="24.9" customHeight="1" thickTop="1" thickBot="1" x14ac:dyDescent="0.25">
      <c r="B2542" s="153" t="s">
        <v>1034</v>
      </c>
      <c r="C2542" s="108" t="str">
        <f>+'LISTA DE INSUMOS'!A18</f>
        <v>MOB015</v>
      </c>
      <c r="D2542" s="139" t="str">
        <f>+'LISTA DE INSUMOS'!B18</f>
        <v>Cuadrilla E 1 Of + 1 Ay (jornal + prestaciones)</v>
      </c>
      <c r="E2542" s="108" t="str">
        <f>+'LISTA DE INSUMOS'!C18</f>
        <v>Día</v>
      </c>
      <c r="F2542" s="176">
        <v>1</v>
      </c>
      <c r="G2542" s="141">
        <f>'LISTA DE INSUMOS'!E18</f>
        <v>245584</v>
      </c>
      <c r="H2542" s="205">
        <f>1/10</f>
        <v>0.1</v>
      </c>
      <c r="I2542" s="141">
        <f>ROUND((F2542*G2542*H2542),0)</f>
        <v>24558</v>
      </c>
      <c r="J2542" s="47"/>
      <c r="K2542" s="143"/>
    </row>
    <row r="2543" spans="2:11" ht="24.9" customHeight="1" thickTop="1" x14ac:dyDescent="0.2">
      <c r="B2543" s="647" t="s">
        <v>1033</v>
      </c>
      <c r="C2543" s="108" t="str">
        <f>+'LISTA DE INSUMOS'!A758</f>
        <v>EQU002</v>
      </c>
      <c r="D2543" s="139" t="str">
        <f>+'LISTA DE INSUMOS'!B758</f>
        <v>Herramienta menor (% mano obra)</v>
      </c>
      <c r="E2543" s="108" t="str">
        <f>+'LISTA DE INSUMOS'!C758</f>
        <v>%MO</v>
      </c>
      <c r="F2543" s="176">
        <v>0.1</v>
      </c>
      <c r="G2543" s="141">
        <f>I2542</f>
        <v>24558</v>
      </c>
      <c r="H2543" s="205">
        <v>0</v>
      </c>
      <c r="I2543" s="141">
        <f>ROUND((F2543*G2543),0)</f>
        <v>2456</v>
      </c>
      <c r="J2543" s="47"/>
      <c r="K2543" s="143"/>
    </row>
    <row r="2544" spans="2:11" ht="24.9" customHeight="1" thickBot="1" x14ac:dyDescent="0.25">
      <c r="B2544" s="704"/>
      <c r="C2544" s="145" t="str">
        <f>+'LISTA DE INSUMOS'!A762</f>
        <v>EQU006</v>
      </c>
      <c r="D2544" s="146" t="str">
        <f>+'LISTA DE INSUMOS'!B762</f>
        <v>Andamio (% mano obra)</v>
      </c>
      <c r="E2544" s="145" t="str">
        <f>+'LISTA DE INSUMOS'!C762</f>
        <v>%MO</v>
      </c>
      <c r="F2544" s="229">
        <v>0.2</v>
      </c>
      <c r="G2544" s="148">
        <f>I2542</f>
        <v>24558</v>
      </c>
      <c r="H2544" s="206">
        <v>0</v>
      </c>
      <c r="I2544" s="148">
        <f>ROUND((F2544*G2544),0)</f>
        <v>4912</v>
      </c>
      <c r="J2544" s="47"/>
      <c r="K2544" s="143"/>
    </row>
    <row r="2545" spans="2:11" ht="24.9" customHeight="1" x14ac:dyDescent="0.2">
      <c r="B2545" s="193" t="s">
        <v>1479</v>
      </c>
      <c r="C2545" s="117"/>
      <c r="D2545" s="112" t="s">
        <v>1817</v>
      </c>
      <c r="E2545" s="117" t="s">
        <v>2585</v>
      </c>
      <c r="F2545" s="118"/>
      <c r="G2545" s="119">
        <f>ROUND(SUM(I2546:I2549),0)</f>
        <v>30761</v>
      </c>
      <c r="H2545" s="120"/>
      <c r="I2545" s="119"/>
      <c r="J2545" s="47"/>
      <c r="K2545" s="143"/>
    </row>
    <row r="2546" spans="2:11" ht="24.9" customHeight="1" thickBot="1" x14ac:dyDescent="0.25">
      <c r="B2546" s="175" t="s">
        <v>1325</v>
      </c>
      <c r="C2546" s="108" t="str">
        <f>+'LISTA DE INSUMOS'!A687</f>
        <v>MAT700</v>
      </c>
      <c r="D2546" s="139" t="str">
        <f>+'LISTA DE INSUMOS'!B687</f>
        <v xml:space="preserve">Pintura vinilo </v>
      </c>
      <c r="E2546" s="108" t="str">
        <f>+'LISTA DE INSUMOS'!C687</f>
        <v>Gl</v>
      </c>
      <c r="F2546" s="176">
        <f>1/12</f>
        <v>8.3333333333333329E-2</v>
      </c>
      <c r="G2546" s="141">
        <f>'LISTA DE INSUMOS'!E687</f>
        <v>96102.273735929979</v>
      </c>
      <c r="H2546" s="205">
        <v>1.03</v>
      </c>
      <c r="I2546" s="141">
        <f>ROUND((F2546*G2546*H2546),0)</f>
        <v>8249</v>
      </c>
      <c r="J2546" s="47"/>
      <c r="K2546" s="143"/>
    </row>
    <row r="2547" spans="2:11" ht="24.9" customHeight="1" thickTop="1" thickBot="1" x14ac:dyDescent="0.25">
      <c r="B2547" s="153" t="s">
        <v>1034</v>
      </c>
      <c r="C2547" s="108" t="str">
        <f>+'LISTA DE INSUMOS'!A18</f>
        <v>MOB015</v>
      </c>
      <c r="D2547" s="139" t="str">
        <f>+'LISTA DE INSUMOS'!B18</f>
        <v>Cuadrilla E 1 Of + 1 Ay (jornal + prestaciones)</v>
      </c>
      <c r="E2547" s="108" t="str">
        <f>+'LISTA DE INSUMOS'!C18</f>
        <v>Día</v>
      </c>
      <c r="F2547" s="176">
        <v>1</v>
      </c>
      <c r="G2547" s="141">
        <f>'LISTA DE INSUMOS'!E18</f>
        <v>245584</v>
      </c>
      <c r="H2547" s="205">
        <f>1/12</f>
        <v>8.3333333333333329E-2</v>
      </c>
      <c r="I2547" s="141">
        <f>ROUND((F2547*G2547*H2547),0)</f>
        <v>20465</v>
      </c>
      <c r="J2547" s="47"/>
      <c r="K2547" s="143"/>
    </row>
    <row r="2548" spans="2:11" ht="24.9" customHeight="1" thickTop="1" x14ac:dyDescent="0.2">
      <c r="B2548" s="647" t="s">
        <v>1033</v>
      </c>
      <c r="C2548" s="108" t="str">
        <f>+'LISTA DE INSUMOS'!A758</f>
        <v>EQU002</v>
      </c>
      <c r="D2548" s="139" t="str">
        <f>+'LISTA DE INSUMOS'!B758</f>
        <v>Herramienta menor (% mano obra)</v>
      </c>
      <c r="E2548" s="108" t="str">
        <f>+'LISTA DE INSUMOS'!C758</f>
        <v>%MO</v>
      </c>
      <c r="F2548" s="176">
        <v>0.05</v>
      </c>
      <c r="G2548" s="141">
        <f>I2547</f>
        <v>20465</v>
      </c>
      <c r="H2548" s="205">
        <v>0</v>
      </c>
      <c r="I2548" s="141">
        <f>IF(H2548&gt;=0,(F2548*G2548*(1+H2548/100)),ABS(F2548*G2548/H2548))</f>
        <v>1023.25</v>
      </c>
      <c r="J2548" s="47"/>
      <c r="K2548" s="143"/>
    </row>
    <row r="2549" spans="2:11" ht="24.9" customHeight="1" thickBot="1" x14ac:dyDescent="0.25">
      <c r="B2549" s="704"/>
      <c r="C2549" s="145" t="str">
        <f>+'LISTA DE INSUMOS'!A762</f>
        <v>EQU006</v>
      </c>
      <c r="D2549" s="146" t="str">
        <f>+'LISTA DE INSUMOS'!B762</f>
        <v>Andamio (% mano obra)</v>
      </c>
      <c r="E2549" s="145" t="str">
        <f>+'LISTA DE INSUMOS'!C762</f>
        <v>%MO</v>
      </c>
      <c r="F2549" s="229">
        <v>0.05</v>
      </c>
      <c r="G2549" s="148">
        <f>I2547</f>
        <v>20465</v>
      </c>
      <c r="H2549" s="206">
        <v>0</v>
      </c>
      <c r="I2549" s="148">
        <f>IF(H2549&gt;=0,(F2549*G2549*(1+H2549/100)),ABS(F2549*G2549/H2549))</f>
        <v>1023.25</v>
      </c>
      <c r="J2549" s="47"/>
      <c r="K2549" s="143"/>
    </row>
    <row r="2550" spans="2:11" ht="24.9" customHeight="1" x14ac:dyDescent="0.2">
      <c r="B2550" s="193" t="s">
        <v>1480</v>
      </c>
      <c r="C2550" s="117"/>
      <c r="D2550" s="112" t="s">
        <v>79</v>
      </c>
      <c r="E2550" s="117" t="s">
        <v>2585</v>
      </c>
      <c r="F2550" s="118"/>
      <c r="G2550" s="119">
        <f>ROUND(SUM(I2551:I2554),0)</f>
        <v>35533</v>
      </c>
      <c r="H2550" s="120"/>
      <c r="I2550" s="119"/>
      <c r="J2550" s="47"/>
      <c r="K2550" s="143"/>
    </row>
    <row r="2551" spans="2:11" ht="24.9" customHeight="1" thickBot="1" x14ac:dyDescent="0.25">
      <c r="B2551" s="175" t="s">
        <v>1325</v>
      </c>
      <c r="C2551" s="161" t="str">
        <f>+'LISTA DE INSUMOS'!A155</f>
        <v>MAT113</v>
      </c>
      <c r="D2551" s="162" t="str">
        <f>+'LISTA DE INSUMOS'!B155</f>
        <v xml:space="preserve">Pintura vinilo </v>
      </c>
      <c r="E2551" s="161" t="str">
        <f>+'LISTA DE INSUMOS'!C155</f>
        <v>Gl</v>
      </c>
      <c r="F2551" s="244">
        <f>1/10</f>
        <v>0.1</v>
      </c>
      <c r="G2551" s="164">
        <f>'LISTA DE INSUMOS'!E155</f>
        <v>82704.194264999984</v>
      </c>
      <c r="H2551" s="245">
        <v>1.03</v>
      </c>
      <c r="I2551" s="164">
        <f>ROUND((F2551*G2551*H2551),0)</f>
        <v>8519</v>
      </c>
      <c r="J2551" s="47"/>
      <c r="K2551" s="143"/>
    </row>
    <row r="2552" spans="2:11" ht="24.9" customHeight="1" thickTop="1" thickBot="1" x14ac:dyDescent="0.25">
      <c r="B2552" s="153" t="s">
        <v>1034</v>
      </c>
      <c r="C2552" s="108" t="str">
        <f>+'LISTA DE INSUMOS'!A18</f>
        <v>MOB015</v>
      </c>
      <c r="D2552" s="139" t="str">
        <f>+'LISTA DE INSUMOS'!B18</f>
        <v>Cuadrilla E 1 Of + 1 Ay (jornal + prestaciones)</v>
      </c>
      <c r="E2552" s="108" t="str">
        <f>+'LISTA DE INSUMOS'!C18</f>
        <v>Día</v>
      </c>
      <c r="F2552" s="176">
        <v>1</v>
      </c>
      <c r="G2552" s="141">
        <f>'LISTA DE INSUMOS'!E18</f>
        <v>245584</v>
      </c>
      <c r="H2552" s="205">
        <f>1/10</f>
        <v>0.1</v>
      </c>
      <c r="I2552" s="141">
        <f>ROUND((F2552*G2552*H2552),0)</f>
        <v>24558</v>
      </c>
      <c r="J2552" s="47"/>
      <c r="K2552" s="143"/>
    </row>
    <row r="2553" spans="2:11" ht="24.9" customHeight="1" thickTop="1" x14ac:dyDescent="0.2">
      <c r="B2553" s="647" t="s">
        <v>1033</v>
      </c>
      <c r="C2553" s="108" t="str">
        <f>+'LISTA DE INSUMOS'!A758</f>
        <v>EQU002</v>
      </c>
      <c r="D2553" s="139" t="str">
        <f>+'LISTA DE INSUMOS'!B758</f>
        <v>Herramienta menor (% mano obra)</v>
      </c>
      <c r="E2553" s="108" t="str">
        <f>+'LISTA DE INSUMOS'!C758</f>
        <v>%MO</v>
      </c>
      <c r="F2553" s="176">
        <v>0.05</v>
      </c>
      <c r="G2553" s="141">
        <f>I2552</f>
        <v>24558</v>
      </c>
      <c r="H2553" s="205">
        <v>0</v>
      </c>
      <c r="I2553" s="141">
        <f>ROUND((F2553*G2553),0)</f>
        <v>1228</v>
      </c>
      <c r="J2553" s="47"/>
      <c r="K2553" s="143"/>
    </row>
    <row r="2554" spans="2:11" ht="24.9" customHeight="1" thickBot="1" x14ac:dyDescent="0.25">
      <c r="B2554" s="704"/>
      <c r="C2554" s="145" t="str">
        <f>+'LISTA DE INSUMOS'!A762</f>
        <v>EQU006</v>
      </c>
      <c r="D2554" s="146" t="str">
        <f>+'LISTA DE INSUMOS'!B762</f>
        <v>Andamio (% mano obra)</v>
      </c>
      <c r="E2554" s="145" t="str">
        <f>+'LISTA DE INSUMOS'!C762</f>
        <v>%MO</v>
      </c>
      <c r="F2554" s="229">
        <v>0.05</v>
      </c>
      <c r="G2554" s="148">
        <f>I2552</f>
        <v>24558</v>
      </c>
      <c r="H2554" s="206">
        <v>0</v>
      </c>
      <c r="I2554" s="148">
        <f>ROUND((F2554*G2554),0)</f>
        <v>1228</v>
      </c>
      <c r="J2554" s="47"/>
      <c r="K2554" s="143"/>
    </row>
    <row r="2555" spans="2:11" s="317" customFormat="1" ht="24.9" hidden="1" customHeight="1" x14ac:dyDescent="0.2">
      <c r="B2555" s="319" t="s">
        <v>1708</v>
      </c>
      <c r="C2555" s="319"/>
      <c r="D2555" s="320" t="s">
        <v>1958</v>
      </c>
      <c r="E2555" s="319" t="s">
        <v>2585</v>
      </c>
      <c r="F2555" s="332"/>
      <c r="G2555" s="312">
        <f>ROUND(SUM(I2556:I2565),0)</f>
        <v>192255</v>
      </c>
      <c r="H2555" s="322"/>
      <c r="I2555" s="312"/>
      <c r="J2555" s="313"/>
      <c r="K2555" s="323"/>
    </row>
    <row r="2556" spans="2:11" s="317" customFormat="1" ht="24.9" hidden="1" customHeight="1" x14ac:dyDescent="0.2">
      <c r="B2556" s="691" t="s">
        <v>1035</v>
      </c>
      <c r="C2556" s="322" t="str">
        <f>+'LISTA DE INSUMOS'!A354</f>
        <v>MAT347</v>
      </c>
      <c r="D2556" s="324" t="str">
        <f>+'LISTA DE INSUMOS'!B354</f>
        <v>Teja S l = 0,40 m a = 0,17 m</v>
      </c>
      <c r="E2556" s="322" t="str">
        <f>+'LISTA DE INSUMOS'!C354</f>
        <v>Un</v>
      </c>
      <c r="F2556" s="325">
        <v>30</v>
      </c>
      <c r="G2556" s="312">
        <f>'LISTA DE INSUMOS'!E354</f>
        <v>3022.7378186543997</v>
      </c>
      <c r="H2556" s="322">
        <v>1.05</v>
      </c>
      <c r="I2556" s="312">
        <f>ROUND((F2556*G2556*H2556),0)</f>
        <v>95216</v>
      </c>
      <c r="J2556" s="313"/>
      <c r="K2556" s="323"/>
    </row>
    <row r="2557" spans="2:11" s="317" customFormat="1" ht="24.9" hidden="1" customHeight="1" x14ac:dyDescent="0.2">
      <c r="B2557" s="691"/>
      <c r="C2557" s="322" t="str">
        <f>+'LISTA DE INSUMOS'!A49</f>
        <v>MAT018</v>
      </c>
      <c r="D2557" s="324" t="str">
        <f>+'LISTA DE INSUMOS'!B49</f>
        <v>Cuartón de sajo 2" x 4" x 2,9 m</v>
      </c>
      <c r="E2557" s="322" t="str">
        <f>+'LISTA DE INSUMOS'!C49</f>
        <v>M</v>
      </c>
      <c r="F2557" s="325">
        <v>2</v>
      </c>
      <c r="G2557" s="312">
        <f>'LISTA DE INSUMOS'!E49</f>
        <v>11944.810644542158</v>
      </c>
      <c r="H2557" s="322">
        <v>1.03</v>
      </c>
      <c r="I2557" s="312">
        <f>ROUND((F2557*G2557*H2557),0)</f>
        <v>24606</v>
      </c>
      <c r="J2557" s="313"/>
      <c r="K2557" s="323"/>
    </row>
    <row r="2558" spans="2:11" s="317" customFormat="1" ht="24.9" hidden="1" customHeight="1" x14ac:dyDescent="0.2">
      <c r="B2558" s="691"/>
      <c r="C2558" s="322" t="str">
        <f>+'LISTA DE INSUMOS'!A52</f>
        <v>MAT021</v>
      </c>
      <c r="D2558" s="324" t="str">
        <f>+'LISTA DE INSUMOS'!B52</f>
        <v>Puntilla (promedio)</v>
      </c>
      <c r="E2558" s="322" t="str">
        <f>+'LISTA DE INSUMOS'!C52</f>
        <v>Lb</v>
      </c>
      <c r="F2558" s="325">
        <v>0.15</v>
      </c>
      <c r="G2558" s="312">
        <f>'LISTA DE INSUMOS'!E52</f>
        <v>6690.6972299999998</v>
      </c>
      <c r="H2558" s="322">
        <v>0</v>
      </c>
      <c r="I2558" s="312">
        <f>ROUND((F2558*G2558),0)</f>
        <v>1004</v>
      </c>
      <c r="J2558" s="313"/>
      <c r="K2558" s="323"/>
    </row>
    <row r="2559" spans="2:11" s="317" customFormat="1" ht="24.9" hidden="1" customHeight="1" x14ac:dyDescent="0.2">
      <c r="B2559" s="691"/>
      <c r="C2559" s="322" t="str">
        <f>+'LISTA DE INSUMOS'!A326</f>
        <v>MAT303</v>
      </c>
      <c r="D2559" s="324" t="str">
        <f>+'LISTA DE INSUMOS'!B326</f>
        <v>Esterilla longitud promedio = 4 m</v>
      </c>
      <c r="E2559" s="322" t="str">
        <f>+'LISTA DE INSUMOS'!C326</f>
        <v>Un</v>
      </c>
      <c r="F2559" s="325">
        <v>1</v>
      </c>
      <c r="G2559" s="312">
        <f>'LISTA DE INSUMOS'!E326</f>
        <v>9180.6293252519972</v>
      </c>
      <c r="H2559" s="322">
        <v>1.03</v>
      </c>
      <c r="I2559" s="312">
        <f>ROUND((F2559*G2559*H2559),0)</f>
        <v>9456</v>
      </c>
      <c r="J2559" s="313"/>
      <c r="K2559" s="323"/>
    </row>
    <row r="2560" spans="2:11" s="317" customFormat="1" ht="24.9" hidden="1" customHeight="1" x14ac:dyDescent="0.2">
      <c r="B2560" s="691"/>
      <c r="C2560" s="322" t="str">
        <f>+'LISTA DE INSUMOS'!A69</f>
        <v>MAT036</v>
      </c>
      <c r="D2560" s="324" t="str">
        <f>+'LISTA DE INSUMOS'!B69</f>
        <v>Malla de gallinero 3/4 hexagonal</v>
      </c>
      <c r="E2560" s="322" t="str">
        <f>+'LISTA DE INSUMOS'!C69</f>
        <v>M2</v>
      </c>
      <c r="F2560" s="325">
        <v>1</v>
      </c>
      <c r="G2560" s="312">
        <f>'LISTA DE INSUMOS'!E69</f>
        <v>2533.4825999999998</v>
      </c>
      <c r="H2560" s="322">
        <v>1.03</v>
      </c>
      <c r="I2560" s="312">
        <f>ROUND((F2560*G2560*H2560),0)</f>
        <v>2609</v>
      </c>
      <c r="J2560" s="313"/>
      <c r="K2560" s="323"/>
    </row>
    <row r="2561" spans="2:11" s="317" customFormat="1" ht="24.9" hidden="1" customHeight="1" thickBot="1" x14ac:dyDescent="0.25">
      <c r="B2561" s="692"/>
      <c r="C2561" s="322" t="str">
        <f>+'LISTA DE INSUMOS'!A366</f>
        <v>MAT359</v>
      </c>
      <c r="D2561" s="324" t="str">
        <f>+'LISTA DE INSUMOS'!B366</f>
        <v>Manto Asfáltico Metal FL-100 BS 10m2 3mm FV-AL</v>
      </c>
      <c r="E2561" s="322" t="str">
        <f>+'LISTA DE INSUMOS'!C366</f>
        <v>M2</v>
      </c>
      <c r="F2561" s="325">
        <v>1</v>
      </c>
      <c r="G2561" s="312">
        <f>'LISTA DE INSUMOS'!E366</f>
        <v>19298.090687089498</v>
      </c>
      <c r="H2561" s="322">
        <v>1.03</v>
      </c>
      <c r="I2561" s="312">
        <f>ROUND((F2561*G2561*H2561),0)</f>
        <v>19877</v>
      </c>
      <c r="J2561" s="313"/>
      <c r="K2561" s="323"/>
    </row>
    <row r="2562" spans="2:11" s="317" customFormat="1" ht="24.9" hidden="1" customHeight="1" thickTop="1" thickBot="1" x14ac:dyDescent="0.25">
      <c r="B2562" s="347" t="s">
        <v>1310</v>
      </c>
      <c r="C2562" s="322" t="str">
        <f>+B1465</f>
        <v>ITE163</v>
      </c>
      <c r="D2562" s="324" t="str">
        <f>+D1465</f>
        <v>Mortero 1:3 impermeabilizado (producción)</v>
      </c>
      <c r="E2562" s="322" t="str">
        <f>+E1465</f>
        <v>M3</v>
      </c>
      <c r="F2562" s="351">
        <f>12*0.03*0.24*0.05</f>
        <v>4.3200000000000001E-3</v>
      </c>
      <c r="G2562" s="312">
        <f>G1465</f>
        <v>583886</v>
      </c>
      <c r="H2562" s="322">
        <v>1.05</v>
      </c>
      <c r="I2562" s="312">
        <f>ROUND((F2562*G2562*H2562),0)</f>
        <v>2649</v>
      </c>
      <c r="J2562" s="313"/>
      <c r="K2562" s="323"/>
    </row>
    <row r="2563" spans="2:11" s="317" customFormat="1" ht="24.9" hidden="1" customHeight="1" thickTop="1" thickBot="1" x14ac:dyDescent="0.25">
      <c r="B2563" s="363" t="s">
        <v>1034</v>
      </c>
      <c r="C2563" s="322" t="str">
        <f>+'LISTA DE INSUMOS'!A18</f>
        <v>MOB015</v>
      </c>
      <c r="D2563" s="324" t="str">
        <f>+'LISTA DE INSUMOS'!B18</f>
        <v>Cuadrilla E 1 Of + 1 Ay (jornal + prestaciones)</v>
      </c>
      <c r="E2563" s="322" t="str">
        <f>+'LISTA DE INSUMOS'!C18</f>
        <v>Día</v>
      </c>
      <c r="F2563" s="325">
        <v>1</v>
      </c>
      <c r="G2563" s="312">
        <f>'LISTA DE INSUMOS'!E18</f>
        <v>245584</v>
      </c>
      <c r="H2563" s="322">
        <f>1/8</f>
        <v>0.125</v>
      </c>
      <c r="I2563" s="312">
        <f>ROUND((F2563*G2563*H2563),0)</f>
        <v>30698</v>
      </c>
      <c r="J2563" s="313"/>
      <c r="K2563" s="323"/>
    </row>
    <row r="2564" spans="2:11" s="317" customFormat="1" ht="24.9" hidden="1" customHeight="1" thickTop="1" x14ac:dyDescent="0.2">
      <c r="B2564" s="652" t="s">
        <v>1033</v>
      </c>
      <c r="C2564" s="322" t="str">
        <f>+'LISTA DE INSUMOS'!A758</f>
        <v>EQU002</v>
      </c>
      <c r="D2564" s="324" t="str">
        <f>+'LISTA DE INSUMOS'!B758</f>
        <v>Herramienta menor (% mano obra)</v>
      </c>
      <c r="E2564" s="322" t="str">
        <f>+'LISTA DE INSUMOS'!C758</f>
        <v>%MO</v>
      </c>
      <c r="F2564" s="325">
        <v>0.1</v>
      </c>
      <c r="G2564" s="312">
        <f>I2563</f>
        <v>30698</v>
      </c>
      <c r="H2564" s="322">
        <v>0</v>
      </c>
      <c r="I2564" s="312">
        <f>ROUND((F2564*G2564),0)</f>
        <v>3070</v>
      </c>
      <c r="J2564" s="313"/>
      <c r="K2564" s="323"/>
    </row>
    <row r="2565" spans="2:11" s="317" customFormat="1" ht="24.9" hidden="1" customHeight="1" thickBot="1" x14ac:dyDescent="0.25">
      <c r="B2565" s="653"/>
      <c r="C2565" s="329" t="str">
        <f>+'LISTA DE INSUMOS'!A762</f>
        <v>EQU006</v>
      </c>
      <c r="D2565" s="328" t="str">
        <f>+'LISTA DE INSUMOS'!B762</f>
        <v>Andamio (% mano obra)</v>
      </c>
      <c r="E2565" s="329" t="str">
        <f>+'LISTA DE INSUMOS'!C762</f>
        <v>%MO</v>
      </c>
      <c r="F2565" s="330">
        <v>0.1</v>
      </c>
      <c r="G2565" s="331">
        <f>I2563</f>
        <v>30698</v>
      </c>
      <c r="H2565" s="329">
        <v>0</v>
      </c>
      <c r="I2565" s="331">
        <f>ROUND((F2565*G2565),0)</f>
        <v>3070</v>
      </c>
      <c r="J2565" s="313"/>
      <c r="K2565" s="323"/>
    </row>
    <row r="2566" spans="2:11" s="317" customFormat="1" ht="24.9" hidden="1" customHeight="1" x14ac:dyDescent="0.2">
      <c r="B2566" s="353" t="s">
        <v>1693</v>
      </c>
      <c r="C2566" s="319"/>
      <c r="D2566" s="320" t="s">
        <v>1843</v>
      </c>
      <c r="E2566" s="319" t="s">
        <v>2585</v>
      </c>
      <c r="F2566" s="332"/>
      <c r="G2566" s="312">
        <f>ROUND(SUM(I2567:I2574),0)</f>
        <v>141371</v>
      </c>
      <c r="H2566" s="322"/>
      <c r="I2566" s="312"/>
      <c r="J2566" s="313"/>
      <c r="K2566" s="323"/>
    </row>
    <row r="2567" spans="2:11" s="317" customFormat="1" ht="24.9" hidden="1" customHeight="1" x14ac:dyDescent="0.2">
      <c r="B2567" s="691" t="s">
        <v>1035</v>
      </c>
      <c r="C2567" s="322" t="str">
        <f>+'LISTA DE INSUMOS'!A49</f>
        <v>MAT018</v>
      </c>
      <c r="D2567" s="324" t="str">
        <f>+'LISTA DE INSUMOS'!B49</f>
        <v>Cuartón de sajo 2" x 4" x 2,9 m</v>
      </c>
      <c r="E2567" s="322" t="str">
        <f>+'LISTA DE INSUMOS'!C49</f>
        <v>M</v>
      </c>
      <c r="F2567" s="325">
        <v>1.6</v>
      </c>
      <c r="G2567" s="312">
        <f>'LISTA DE INSUMOS'!E49</f>
        <v>11944.810644542158</v>
      </c>
      <c r="H2567" s="322">
        <v>1.03</v>
      </c>
      <c r="I2567" s="312">
        <f>ROUND((F2567*G2567*H2567),0)</f>
        <v>19685</v>
      </c>
      <c r="J2567" s="313"/>
      <c r="K2567" s="323"/>
    </row>
    <row r="2568" spans="2:11" s="317" customFormat="1" ht="24.9" hidden="1" customHeight="1" x14ac:dyDescent="0.2">
      <c r="B2568" s="691"/>
      <c r="C2568" s="322" t="str">
        <f>+'LISTA DE INSUMOS'!A52</f>
        <v>MAT021</v>
      </c>
      <c r="D2568" s="324" t="str">
        <f>+'LISTA DE INSUMOS'!B52</f>
        <v>Puntilla (promedio)</v>
      </c>
      <c r="E2568" s="322" t="str">
        <f>+'LISTA DE INSUMOS'!C52</f>
        <v>Lb</v>
      </c>
      <c r="F2568" s="325">
        <v>0.3</v>
      </c>
      <c r="G2568" s="312">
        <f>'LISTA DE INSUMOS'!E52</f>
        <v>6690.6972299999998</v>
      </c>
      <c r="H2568" s="322">
        <v>0</v>
      </c>
      <c r="I2568" s="312">
        <f>ROUND((F2568*G2568),0)</f>
        <v>2007</v>
      </c>
      <c r="J2568" s="313"/>
      <c r="K2568" s="323"/>
    </row>
    <row r="2569" spans="2:11" s="317" customFormat="1" ht="24.9" hidden="1" customHeight="1" x14ac:dyDescent="0.2">
      <c r="B2569" s="691"/>
      <c r="C2569" s="322" t="str">
        <f>+'LISTA DE INSUMOS'!A73</f>
        <v>MAT040</v>
      </c>
      <c r="D2569" s="324" t="str">
        <f>+'LISTA DE INSUMOS'!B73</f>
        <v>Barniz intemperie brillante</v>
      </c>
      <c r="E2569" s="322" t="str">
        <f>+'LISTA DE INSUMOS'!C73</f>
        <v>Gl</v>
      </c>
      <c r="F2569" s="325">
        <v>1</v>
      </c>
      <c r="G2569" s="312">
        <f>'LISTA DE INSUMOS'!E73</f>
        <v>69711.851420999985</v>
      </c>
      <c r="H2569" s="322">
        <f>1/18</f>
        <v>5.5555555555555552E-2</v>
      </c>
      <c r="I2569" s="312">
        <f>ROUND((F2569*G2569*H2569),0)</f>
        <v>3873</v>
      </c>
      <c r="J2569" s="313"/>
      <c r="K2569" s="323"/>
    </row>
    <row r="2570" spans="2:11" s="317" customFormat="1" ht="24.9" hidden="1" customHeight="1" x14ac:dyDescent="0.2">
      <c r="B2570" s="691"/>
      <c r="C2570" s="322" t="str">
        <f>+'LISTA DE INSUMOS'!A174</f>
        <v>MAT128</v>
      </c>
      <c r="D2570" s="324" t="str">
        <f>+'LISTA DE INSUMOS'!B174</f>
        <v xml:space="preserve">Tablilla fina para piso </v>
      </c>
      <c r="E2570" s="322" t="str">
        <f>+'LISTA DE INSUMOS'!C174</f>
        <v>M2</v>
      </c>
      <c r="F2570" s="325">
        <v>1</v>
      </c>
      <c r="G2570" s="312">
        <f>'LISTA DE INSUMOS'!E174</f>
        <v>46715.039015567992</v>
      </c>
      <c r="H2570" s="322">
        <v>1.03</v>
      </c>
      <c r="I2570" s="312">
        <f>ROUND((F2570*G2570*H2570),0)</f>
        <v>48116</v>
      </c>
      <c r="J2570" s="313"/>
      <c r="K2570" s="323"/>
    </row>
    <row r="2571" spans="2:11" s="317" customFormat="1" ht="24.9" hidden="1" customHeight="1" x14ac:dyDescent="0.2">
      <c r="B2571" s="691"/>
      <c r="C2571" s="322" t="str">
        <f>+'LISTA DE INSUMOS'!A97</f>
        <v>MAT055</v>
      </c>
      <c r="D2571" s="324" t="str">
        <f>+'LISTA DE INSUMOS'!B97</f>
        <v>Varilla esqueleto fina</v>
      </c>
      <c r="E2571" s="322" t="str">
        <f>+'LISTA DE INSUMOS'!C97</f>
        <v>M</v>
      </c>
      <c r="F2571" s="325">
        <v>0.1</v>
      </c>
      <c r="G2571" s="312">
        <f>'LISTA DE INSUMOS'!E97</f>
        <v>3668.7599999999998</v>
      </c>
      <c r="H2571" s="322">
        <v>1.03</v>
      </c>
      <c r="I2571" s="312">
        <f>ROUND((F2571*G2571*H2571),0)</f>
        <v>378</v>
      </c>
      <c r="J2571" s="313"/>
      <c r="K2571" s="323"/>
    </row>
    <row r="2572" spans="2:11" s="317" customFormat="1" ht="24.9" hidden="1" customHeight="1" thickBot="1" x14ac:dyDescent="0.25">
      <c r="B2572" s="692"/>
      <c r="C2572" s="322" t="str">
        <f>+'LISTA DE INSUMOS'!A271</f>
        <v>MAT241</v>
      </c>
      <c r="D2572" s="324" t="str">
        <f>+'LISTA DE INSUMOS'!B271</f>
        <v>Imprimante referencia 3501 o similar</v>
      </c>
      <c r="E2572" s="322" t="str">
        <f>+'LISTA DE INSUMOS'!C271</f>
        <v>Gl</v>
      </c>
      <c r="F2572" s="325">
        <v>0.2</v>
      </c>
      <c r="G2572" s="312">
        <f>'LISTA DE INSUMOS'!E271</f>
        <v>195620.36761516586</v>
      </c>
      <c r="H2572" s="322">
        <v>1.03</v>
      </c>
      <c r="I2572" s="312">
        <f>ROUND((F2572*G2572*H2572),0)</f>
        <v>40298</v>
      </c>
      <c r="J2572" s="313"/>
      <c r="K2572" s="323"/>
    </row>
    <row r="2573" spans="2:11" s="317" customFormat="1" ht="24.9" hidden="1" customHeight="1" thickTop="1" thickBot="1" x14ac:dyDescent="0.25">
      <c r="B2573" s="363" t="s">
        <v>1034</v>
      </c>
      <c r="C2573" s="322" t="str">
        <f>+'LISTA DE INSUMOS'!A18</f>
        <v>MOB015</v>
      </c>
      <c r="D2573" s="324" t="str">
        <f>+'LISTA DE INSUMOS'!B18</f>
        <v>Cuadrilla E 1 Of + 1 Ay (jornal + prestaciones)</v>
      </c>
      <c r="E2573" s="322" t="str">
        <f>+'LISTA DE INSUMOS'!C18</f>
        <v>Día</v>
      </c>
      <c r="F2573" s="325">
        <v>1</v>
      </c>
      <c r="G2573" s="312">
        <f>'LISTA DE INSUMOS'!E18</f>
        <v>245584</v>
      </c>
      <c r="H2573" s="322">
        <f>1/10</f>
        <v>0.1</v>
      </c>
      <c r="I2573" s="312">
        <f>ROUND((F2573*G2573*H2573),0)</f>
        <v>24558</v>
      </c>
      <c r="J2573" s="313"/>
      <c r="K2573" s="323"/>
    </row>
    <row r="2574" spans="2:11" s="317" customFormat="1" ht="24.9" hidden="1" customHeight="1" thickTop="1" thickBot="1" x14ac:dyDescent="0.25">
      <c r="B2574" s="255" t="s">
        <v>1033</v>
      </c>
      <c r="C2574" s="327" t="str">
        <f>+'LISTA DE INSUMOS'!A758</f>
        <v>EQU002</v>
      </c>
      <c r="D2574" s="328" t="str">
        <f>+'LISTA DE INSUMOS'!B758</f>
        <v>Herramienta menor (% mano obra)</v>
      </c>
      <c r="E2574" s="329" t="str">
        <f>+'LISTA DE INSUMOS'!C758</f>
        <v>%MO</v>
      </c>
      <c r="F2574" s="330">
        <v>0.1</v>
      </c>
      <c r="G2574" s="331">
        <f>I2573</f>
        <v>24558</v>
      </c>
      <c r="H2574" s="329">
        <v>0</v>
      </c>
      <c r="I2574" s="331">
        <f>ROUND((F2574*G2574),0)</f>
        <v>2456</v>
      </c>
      <c r="J2574" s="313"/>
      <c r="K2574" s="323"/>
    </row>
    <row r="2575" spans="2:11" s="317" customFormat="1" ht="24.9" hidden="1" customHeight="1" x14ac:dyDescent="0.2">
      <c r="B2575" s="319" t="s">
        <v>1710</v>
      </c>
      <c r="C2575" s="319"/>
      <c r="D2575" s="320" t="s">
        <v>1742</v>
      </c>
      <c r="E2575" s="319" t="s">
        <v>2585</v>
      </c>
      <c r="F2575" s="332"/>
      <c r="G2575" s="312">
        <f>ROUND(SUM(I2576:I2579),0)</f>
        <v>48277</v>
      </c>
      <c r="H2575" s="322"/>
      <c r="I2575" s="312"/>
      <c r="J2575" s="313"/>
      <c r="K2575" s="323"/>
    </row>
    <row r="2576" spans="2:11" s="317" customFormat="1" ht="24.9" hidden="1" customHeight="1" x14ac:dyDescent="0.2">
      <c r="B2576" s="658" t="s">
        <v>1325</v>
      </c>
      <c r="C2576" s="322" t="str">
        <f>+'LISTA DE INSUMOS'!A315</f>
        <v>MAT290</v>
      </c>
      <c r="D2576" s="324" t="str">
        <f>+'LISTA DE INSUMOS'!B315</f>
        <v>Microesferas reflectivas 25 kg</v>
      </c>
      <c r="E2576" s="322" t="str">
        <f>+'LISTA DE INSUMOS'!C315</f>
        <v>Kg</v>
      </c>
      <c r="F2576" s="325">
        <v>1</v>
      </c>
      <c r="G2576" s="312">
        <f>'LISTA DE INSUMOS'!E315</f>
        <v>9114.3953013695991</v>
      </c>
      <c r="H2576" s="322">
        <v>1</v>
      </c>
      <c r="I2576" s="312">
        <f>ROUND((F2576*G2576*H2576),0)</f>
        <v>9114</v>
      </c>
      <c r="J2576" s="313"/>
      <c r="K2576" s="323"/>
    </row>
    <row r="2577" spans="2:11" s="317" customFormat="1" ht="24.9" hidden="1" customHeight="1" thickBot="1" x14ac:dyDescent="0.25">
      <c r="B2577" s="668"/>
      <c r="C2577" s="322" t="str">
        <f>+'LISTA DE INSUMOS'!A161</f>
        <v>MAT116</v>
      </c>
      <c r="D2577" s="324" t="str">
        <f>+'LISTA DE INSUMOS'!B161</f>
        <v>Pintura tipo ministerio (trafico)</v>
      </c>
      <c r="E2577" s="322" t="str">
        <f>+'LISTA DE INSUMOS'!C161</f>
        <v>Gl</v>
      </c>
      <c r="F2577" s="325">
        <v>1</v>
      </c>
      <c r="G2577" s="312">
        <f>'LISTA DE INSUMOS'!E161</f>
        <v>107375.66401613812</v>
      </c>
      <c r="H2577" s="322">
        <f>1/3</f>
        <v>0.33333333333333331</v>
      </c>
      <c r="I2577" s="312">
        <f>ROUND((F2577*G2577*H2577),0)</f>
        <v>35792</v>
      </c>
      <c r="J2577" s="313"/>
      <c r="K2577" s="323"/>
    </row>
    <row r="2578" spans="2:11" s="317" customFormat="1" ht="24.9" hidden="1" customHeight="1" thickTop="1" thickBot="1" x14ac:dyDescent="0.25">
      <c r="B2578" s="363" t="s">
        <v>1034</v>
      </c>
      <c r="C2578" s="322" t="str">
        <f>+'LISTA DE INSUMOS'!A21</f>
        <v>MOB018</v>
      </c>
      <c r="D2578" s="324" t="str">
        <f>+'LISTA DE INSUMOS'!B21</f>
        <v>Cuadrilla H 4 Ay (jornal + prestaciones)</v>
      </c>
      <c r="E2578" s="322" t="str">
        <f>+'LISTA DE INSUMOS'!C21</f>
        <v>Día</v>
      </c>
      <c r="F2578" s="325">
        <v>1</v>
      </c>
      <c r="G2578" s="312">
        <f>'LISTA DE INSUMOS'!E21</f>
        <v>327444</v>
      </c>
      <c r="H2578" s="322">
        <f>1/340</f>
        <v>2.9411764705882353E-3</v>
      </c>
      <c r="I2578" s="312">
        <f>ROUND((F2578*G2578*H2578),0)</f>
        <v>963</v>
      </c>
      <c r="J2578" s="313"/>
      <c r="K2578" s="323"/>
    </row>
    <row r="2579" spans="2:11" s="317" customFormat="1" ht="24.9" hidden="1" customHeight="1" thickTop="1" thickBot="1" x14ac:dyDescent="0.25">
      <c r="B2579" s="255" t="s">
        <v>1033</v>
      </c>
      <c r="C2579" s="327" t="str">
        <f>+'LISTA DE INSUMOS'!A758</f>
        <v>EQU002</v>
      </c>
      <c r="D2579" s="328" t="str">
        <f>+'LISTA DE INSUMOS'!B758</f>
        <v>Herramienta menor (% mano obra)</v>
      </c>
      <c r="E2579" s="329" t="str">
        <f>+'LISTA DE INSUMOS'!C758</f>
        <v>%MO</v>
      </c>
      <c r="F2579" s="330">
        <v>2.5</v>
      </c>
      <c r="G2579" s="331">
        <f>I2578</f>
        <v>963</v>
      </c>
      <c r="H2579" s="329">
        <v>0</v>
      </c>
      <c r="I2579" s="331">
        <f>ROUND((F2579*G2579),0)</f>
        <v>2408</v>
      </c>
      <c r="J2579" s="313"/>
      <c r="K2579" s="323"/>
    </row>
    <row r="2580" spans="2:11" s="317" customFormat="1" ht="48" hidden="1" customHeight="1" x14ac:dyDescent="0.2">
      <c r="B2580" s="319" t="s">
        <v>1933</v>
      </c>
      <c r="C2580" s="319"/>
      <c r="D2580" s="320" t="s">
        <v>1792</v>
      </c>
      <c r="E2580" s="319" t="s">
        <v>1793</v>
      </c>
      <c r="F2580" s="332"/>
      <c r="G2580" s="312">
        <f>ROUND(SUM(I2581:I2583),0)</f>
        <v>89079</v>
      </c>
      <c r="H2580" s="322"/>
      <c r="I2580" s="312"/>
      <c r="J2580" s="313"/>
      <c r="K2580" s="323"/>
    </row>
    <row r="2581" spans="2:11" s="317" customFormat="1" ht="24.9" hidden="1" customHeight="1" thickBot="1" x14ac:dyDescent="0.25">
      <c r="B2581" s="347" t="s">
        <v>1325</v>
      </c>
      <c r="C2581" s="322" t="str">
        <f>+'LISTA DE INSUMOS'!A367</f>
        <v>MAT360</v>
      </c>
      <c r="D2581" s="324" t="str">
        <f>+'LISTA DE INSUMOS'!B367</f>
        <v>Paleta pare - siga en polietileno y texto reflectivo, de 40 cm</v>
      </c>
      <c r="E2581" s="322" t="str">
        <f>+'LISTA DE INSUMOS'!C367</f>
        <v>Un</v>
      </c>
      <c r="F2581" s="325">
        <v>1</v>
      </c>
      <c r="G2581" s="312">
        <f>+'LISTA DE INSUMOS'!E367</f>
        <v>33427.91611001303</v>
      </c>
      <c r="H2581" s="322">
        <f>1/50</f>
        <v>0.02</v>
      </c>
      <c r="I2581" s="312">
        <f>ROUND((F2581*G2581*H2581),0)</f>
        <v>669</v>
      </c>
      <c r="J2581" s="313"/>
      <c r="K2581" s="323"/>
    </row>
    <row r="2582" spans="2:11" s="317" customFormat="1" ht="24.9" hidden="1" customHeight="1" thickTop="1" thickBot="1" x14ac:dyDescent="0.25">
      <c r="B2582" s="363" t="s">
        <v>1034</v>
      </c>
      <c r="C2582" s="322" t="str">
        <f>+'LISTA DE INSUMOS'!A7</f>
        <v>MOB004</v>
      </c>
      <c r="D2582" s="324" t="str">
        <f>+'LISTA DE INSUMOS'!B7</f>
        <v>Ayudante (jornal + prestaciones)</v>
      </c>
      <c r="E2582" s="322" t="str">
        <f>+'LISTA DE INSUMOS'!C7</f>
        <v>Dia</v>
      </c>
      <c r="F2582" s="325">
        <v>1</v>
      </c>
      <c r="G2582" s="312">
        <f>+'LISTA DE INSUMOS'!E7</f>
        <v>81861</v>
      </c>
      <c r="H2582" s="322">
        <v>0</v>
      </c>
      <c r="I2582" s="312">
        <f>ROUND((F2582*G2582),0)</f>
        <v>81861</v>
      </c>
      <c r="J2582" s="313"/>
      <c r="K2582" s="323"/>
    </row>
    <row r="2583" spans="2:11" s="317" customFormat="1" ht="24.9" hidden="1" customHeight="1" thickTop="1" thickBot="1" x14ac:dyDescent="0.25">
      <c r="B2583" s="255" t="s">
        <v>1033</v>
      </c>
      <c r="C2583" s="327" t="str">
        <f>+'LISTA DE INSUMOS'!A758</f>
        <v>EQU002</v>
      </c>
      <c r="D2583" s="328" t="str">
        <f>+'LISTA DE INSUMOS'!B758</f>
        <v>Herramienta menor (% mano obra)</v>
      </c>
      <c r="E2583" s="329" t="str">
        <f>+'LISTA DE INSUMOS'!C758</f>
        <v>%MO</v>
      </c>
      <c r="F2583" s="330">
        <v>0.08</v>
      </c>
      <c r="G2583" s="331">
        <f>I2582</f>
        <v>81861</v>
      </c>
      <c r="H2583" s="329">
        <v>0</v>
      </c>
      <c r="I2583" s="331">
        <f>ROUND((F2583*G2583),0)</f>
        <v>6549</v>
      </c>
      <c r="J2583" s="313"/>
      <c r="K2583" s="323"/>
    </row>
    <row r="2584" spans="2:11" ht="24.9" customHeight="1" x14ac:dyDescent="0.2">
      <c r="B2584" s="117" t="s">
        <v>1481</v>
      </c>
      <c r="C2584" s="117"/>
      <c r="D2584" s="112" t="s">
        <v>1959</v>
      </c>
      <c r="E2584" s="117" t="s">
        <v>2585</v>
      </c>
      <c r="F2584" s="149"/>
      <c r="G2584" s="119">
        <f>ROUND(SUM(I2585:I2591),0)</f>
        <v>60550</v>
      </c>
      <c r="H2584" s="120"/>
      <c r="I2584" s="119"/>
      <c r="J2584" s="47"/>
      <c r="K2584" s="143"/>
    </row>
    <row r="2585" spans="2:11" ht="24.9" customHeight="1" x14ac:dyDescent="0.2">
      <c r="B2585" s="672" t="s">
        <v>1035</v>
      </c>
      <c r="C2585" s="108" t="str">
        <f>+'LISTA DE INSUMOS'!A410</f>
        <v>MAT421</v>
      </c>
      <c r="D2585" s="139" t="str">
        <f>+'LISTA DE INSUMOS'!B410</f>
        <v>Teja Zinc Ondulada 3.058x0.80mt Cal 34 0.20mm</v>
      </c>
      <c r="E2585" s="108" t="str">
        <f>+'LISTA DE INSUMOS'!C410</f>
        <v>M2</v>
      </c>
      <c r="F2585" s="176">
        <v>1.27</v>
      </c>
      <c r="G2585" s="141">
        <f>'LISTA DE INSUMOS'!E410</f>
        <v>17557.802309849998</v>
      </c>
      <c r="H2585" s="108">
        <v>1.03</v>
      </c>
      <c r="I2585" s="141">
        <f>ROUND((F2585*G2585*H2585),0)</f>
        <v>22967</v>
      </c>
      <c r="J2585" s="47"/>
      <c r="K2585" s="143"/>
    </row>
    <row r="2586" spans="2:11" ht="24.9" customHeight="1" x14ac:dyDescent="0.2">
      <c r="B2586" s="672"/>
      <c r="C2586" s="108" t="str">
        <f>+'LISTA DE INSUMOS'!A49</f>
        <v>MAT018</v>
      </c>
      <c r="D2586" s="139" t="str">
        <f>+'LISTA DE INSUMOS'!B49</f>
        <v>Cuartón de sajo 2" x 4" x 2,9 m</v>
      </c>
      <c r="E2586" s="108" t="str">
        <f>+'LISTA DE INSUMOS'!C49</f>
        <v>M</v>
      </c>
      <c r="F2586" s="140">
        <v>1.6</v>
      </c>
      <c r="G2586" s="141">
        <f>'LISTA DE INSUMOS'!E49</f>
        <v>11944.810644542158</v>
      </c>
      <c r="H2586" s="108">
        <v>1.03</v>
      </c>
      <c r="I2586" s="141">
        <f>ROUND((F2586*G2586*H2586),0)</f>
        <v>19685</v>
      </c>
      <c r="J2586" s="47"/>
      <c r="K2586" s="143"/>
    </row>
    <row r="2587" spans="2:11" ht="24.9" customHeight="1" x14ac:dyDescent="0.2">
      <c r="B2587" s="672"/>
      <c r="C2587" s="108" t="str">
        <f>+'LISTA DE INSUMOS'!A80</f>
        <v>MAT043</v>
      </c>
      <c r="D2587" s="139" t="str">
        <f>+'LISTA DE INSUMOS'!B80</f>
        <v>Amarras con tapa plástica para teja</v>
      </c>
      <c r="E2587" s="108" t="str">
        <f>+'LISTA DE INSUMOS'!C80</f>
        <v>Un</v>
      </c>
      <c r="F2587" s="176">
        <v>2</v>
      </c>
      <c r="G2587" s="141">
        <f>'LISTA DE INSUMOS'!E80</f>
        <v>662.41499999999996</v>
      </c>
      <c r="H2587" s="108">
        <v>0</v>
      </c>
      <c r="I2587" s="141">
        <f>ROUND((F2587*G2587),0)</f>
        <v>1325</v>
      </c>
      <c r="J2587" s="47"/>
      <c r="K2587" s="143"/>
    </row>
    <row r="2588" spans="2:11" ht="24.9" customHeight="1" thickBot="1" x14ac:dyDescent="0.25">
      <c r="B2588" s="672"/>
      <c r="C2588" s="108" t="str">
        <f>+'LISTA DE INSUMOS'!A391</f>
        <v>MAT387</v>
      </c>
      <c r="D2588" s="139" t="str">
        <f>+'LISTA DE INSUMOS'!B391</f>
        <v>Impermeabilizante bituminoso para cubiertas</v>
      </c>
      <c r="E2588" s="108" t="str">
        <f>+'LISTA DE INSUMOS'!C391</f>
        <v>Kg</v>
      </c>
      <c r="F2588" s="176">
        <v>0.01</v>
      </c>
      <c r="G2588" s="141">
        <f>'LISTA DE INSUMOS'!E391</f>
        <v>19510.502441994297</v>
      </c>
      <c r="H2588" s="108">
        <v>1.03</v>
      </c>
      <c r="I2588" s="141">
        <f>ROUND((F2588*G2588*H2588),0)</f>
        <v>201</v>
      </c>
      <c r="J2588" s="47"/>
      <c r="K2588" s="143"/>
    </row>
    <row r="2589" spans="2:11" ht="24.9" customHeight="1" thickTop="1" thickBot="1" x14ac:dyDescent="0.25">
      <c r="B2589" s="153" t="s">
        <v>1034</v>
      </c>
      <c r="C2589" s="108" t="str">
        <f>+'LISTA DE INSUMOS'!A18</f>
        <v>MOB015</v>
      </c>
      <c r="D2589" s="139" t="str">
        <f>+'LISTA DE INSUMOS'!B18</f>
        <v>Cuadrilla E 1 Of + 1 Ay (jornal + prestaciones)</v>
      </c>
      <c r="E2589" s="108" t="str">
        <f>+'LISTA DE INSUMOS'!C18</f>
        <v>Día</v>
      </c>
      <c r="F2589" s="176">
        <v>1</v>
      </c>
      <c r="G2589" s="141">
        <f>'LISTA DE INSUMOS'!E18</f>
        <v>245584</v>
      </c>
      <c r="H2589" s="108">
        <f>1/18</f>
        <v>5.5555555555555552E-2</v>
      </c>
      <c r="I2589" s="141">
        <f>ROUND((F2589*G2589*H2589),0)</f>
        <v>13644</v>
      </c>
      <c r="J2589" s="47"/>
      <c r="K2589" s="143"/>
    </row>
    <row r="2590" spans="2:11" ht="24.9" customHeight="1" thickTop="1" x14ac:dyDescent="0.2">
      <c r="B2590" s="647" t="s">
        <v>1033</v>
      </c>
      <c r="C2590" s="108" t="str">
        <f>+'LISTA DE INSUMOS'!A758</f>
        <v>EQU002</v>
      </c>
      <c r="D2590" s="139" t="str">
        <f>+'LISTA DE INSUMOS'!B758</f>
        <v>Herramienta menor (% mano obra)</v>
      </c>
      <c r="E2590" s="108" t="str">
        <f>+'LISTA DE INSUMOS'!C758</f>
        <v>%MO</v>
      </c>
      <c r="F2590" s="176">
        <v>0.1</v>
      </c>
      <c r="G2590" s="141">
        <f>I2589</f>
        <v>13644</v>
      </c>
      <c r="H2590" s="108">
        <v>0</v>
      </c>
      <c r="I2590" s="141">
        <f>ROUND((F2590*G2590),0)</f>
        <v>1364</v>
      </c>
      <c r="J2590" s="47"/>
      <c r="K2590" s="143"/>
    </row>
    <row r="2591" spans="2:11" ht="24.9" customHeight="1" thickBot="1" x14ac:dyDescent="0.25">
      <c r="B2591" s="704"/>
      <c r="C2591" s="145" t="str">
        <f>+'LISTA DE INSUMOS'!A762</f>
        <v>EQU006</v>
      </c>
      <c r="D2591" s="146" t="str">
        <f>+'LISTA DE INSUMOS'!B762</f>
        <v>Andamio (% mano obra)</v>
      </c>
      <c r="E2591" s="145" t="str">
        <f>+'LISTA DE INSUMOS'!C762</f>
        <v>%MO</v>
      </c>
      <c r="F2591" s="147">
        <v>0.1</v>
      </c>
      <c r="G2591" s="148">
        <f>I2589</f>
        <v>13644</v>
      </c>
      <c r="H2591" s="145">
        <v>0</v>
      </c>
      <c r="I2591" s="148">
        <f>ROUND((F2591*G2591),0)</f>
        <v>1364</v>
      </c>
      <c r="J2591" s="47"/>
      <c r="K2591" s="143"/>
    </row>
    <row r="2592" spans="2:11" s="317" customFormat="1" ht="24.9" hidden="1" customHeight="1" x14ac:dyDescent="0.2">
      <c r="B2592" s="353" t="s">
        <v>1934</v>
      </c>
      <c r="C2592" s="319"/>
      <c r="D2592" s="320" t="s">
        <v>1712</v>
      </c>
      <c r="E2592" s="319" t="s">
        <v>1435</v>
      </c>
      <c r="F2592" s="332"/>
      <c r="G2592" s="312">
        <f>ROUND(SUM(I2593:I2597),0)</f>
        <v>407527</v>
      </c>
      <c r="H2592" s="322"/>
      <c r="I2592" s="312"/>
      <c r="J2592" s="313"/>
      <c r="K2592" s="323"/>
    </row>
    <row r="2593" spans="2:11" s="317" customFormat="1" ht="24.9" hidden="1" customHeight="1" x14ac:dyDescent="0.2">
      <c r="B2593" s="691" t="s">
        <v>1035</v>
      </c>
      <c r="C2593" s="322" t="str">
        <f>+'LISTA DE INSUMOS'!A137</f>
        <v>MAT097</v>
      </c>
      <c r="D2593" s="324" t="str">
        <f>+'LISTA DE INSUMOS'!B137</f>
        <v>Lavamanos Providence de Sobreponer 18cm Alto x 42cm Ancho x 47cm Largo Blanco</v>
      </c>
      <c r="E2593" s="322" t="str">
        <f>+'LISTA DE INSUMOS'!C137</f>
        <v>Un</v>
      </c>
      <c r="F2593" s="325">
        <v>1</v>
      </c>
      <c r="G2593" s="312">
        <f>'LISTA DE INSUMOS'!E137</f>
        <v>183109.52368800002</v>
      </c>
      <c r="H2593" s="322">
        <v>0</v>
      </c>
      <c r="I2593" s="312">
        <f>ROUND((F2593*G2593),0)</f>
        <v>183110</v>
      </c>
      <c r="J2593" s="313"/>
      <c r="K2593" s="323"/>
    </row>
    <row r="2594" spans="2:11" s="317" customFormat="1" ht="24.9" hidden="1" customHeight="1" x14ac:dyDescent="0.2">
      <c r="B2594" s="691"/>
      <c r="C2594" s="338" t="str">
        <f>+'LISTA DE INSUMOS'!A276</f>
        <v>MAT247</v>
      </c>
      <c r="D2594" s="339" t="str">
        <f>+'LISTA DE INSUMOS'!B276</f>
        <v>Acople flexible</v>
      </c>
      <c r="E2594" s="322" t="str">
        <f>+'LISTA DE INSUMOS'!C276</f>
        <v>Un</v>
      </c>
      <c r="F2594" s="325">
        <v>2</v>
      </c>
      <c r="G2594" s="312">
        <f>'LISTA DE INSUMOS'!E276</f>
        <v>23093.113425782398</v>
      </c>
      <c r="H2594" s="322">
        <v>0</v>
      </c>
      <c r="I2594" s="312">
        <f>ROUND((F2594*G2594),0)</f>
        <v>46186</v>
      </c>
      <c r="J2594" s="313"/>
      <c r="K2594" s="323"/>
    </row>
    <row r="2595" spans="2:11" s="317" customFormat="1" ht="24.9" hidden="1" customHeight="1" thickBot="1" x14ac:dyDescent="0.25">
      <c r="B2595" s="691"/>
      <c r="C2595" s="338" t="str">
        <f>+'LISTA DE INSUMOS'!A623</f>
        <v>MAT639</v>
      </c>
      <c r="D2595" s="339" t="str">
        <f>+'LISTA DE INSUMOS'!B623</f>
        <v>Grifería para lavamanos Dalia grival</v>
      </c>
      <c r="E2595" s="322" t="str">
        <f>+'LISTA DE INSUMOS'!C623</f>
        <v>Un</v>
      </c>
      <c r="F2595" s="325">
        <v>1</v>
      </c>
      <c r="G2595" s="312">
        <f>'LISTA DE INSUMOS'!E623</f>
        <v>88183.209110699987</v>
      </c>
      <c r="H2595" s="322">
        <v>0</v>
      </c>
      <c r="I2595" s="312">
        <f>ROUND((F2595*G2595),0)</f>
        <v>88183</v>
      </c>
      <c r="J2595" s="313"/>
      <c r="K2595" s="323"/>
    </row>
    <row r="2596" spans="2:11" s="317" customFormat="1" ht="24.9" hidden="1" customHeight="1" thickTop="1" thickBot="1" x14ac:dyDescent="0.25">
      <c r="B2596" s="363" t="s">
        <v>1034</v>
      </c>
      <c r="C2596" s="322" t="str">
        <f>+'LISTA DE INSUMOS'!A5</f>
        <v>MOB002</v>
      </c>
      <c r="D2596" s="324" t="str">
        <f>+'LISTA DE INSUMOS'!B5</f>
        <v>Oficial (jornal + prestaciones)</v>
      </c>
      <c r="E2596" s="322" t="str">
        <f>+'LISTA DE INSUMOS'!C5</f>
        <v>Día</v>
      </c>
      <c r="F2596" s="325">
        <v>1</v>
      </c>
      <c r="G2596" s="312">
        <f>'LISTA DE INSUMOS'!E5</f>
        <v>163723</v>
      </c>
      <c r="H2596" s="322">
        <f>1/2</f>
        <v>0.5</v>
      </c>
      <c r="I2596" s="312">
        <f>ROUND((F2596*G2596*H2596),0)</f>
        <v>81862</v>
      </c>
      <c r="J2596" s="313"/>
      <c r="K2596" s="323"/>
    </row>
    <row r="2597" spans="2:11" s="317" customFormat="1" ht="24.9" hidden="1" customHeight="1" thickTop="1" thickBot="1" x14ac:dyDescent="0.25">
      <c r="B2597" s="255" t="s">
        <v>1033</v>
      </c>
      <c r="C2597" s="327" t="str">
        <f>+'LISTA DE INSUMOS'!A758</f>
        <v>EQU002</v>
      </c>
      <c r="D2597" s="328" t="str">
        <f>+'LISTA DE INSUMOS'!B758</f>
        <v>Herramienta menor (% mano obra)</v>
      </c>
      <c r="E2597" s="329" t="str">
        <f>+'LISTA DE INSUMOS'!C758</f>
        <v>%MO</v>
      </c>
      <c r="F2597" s="330">
        <v>0.1</v>
      </c>
      <c r="G2597" s="331">
        <f>I2596</f>
        <v>81862</v>
      </c>
      <c r="H2597" s="329">
        <v>0</v>
      </c>
      <c r="I2597" s="331">
        <f>ROUND((F2597*G2597),0)</f>
        <v>8186</v>
      </c>
      <c r="J2597" s="313"/>
      <c r="K2597" s="323"/>
    </row>
    <row r="2598" spans="2:11" ht="24.75" customHeight="1" thickBot="1" x14ac:dyDescent="0.25">
      <c r="B2598" s="117" t="s">
        <v>1484</v>
      </c>
      <c r="C2598" s="117"/>
      <c r="D2598" s="112" t="s">
        <v>475</v>
      </c>
      <c r="E2598" s="117" t="s">
        <v>476</v>
      </c>
      <c r="F2598" s="149"/>
      <c r="G2598" s="119">
        <f>ROUND(SUM(I2599:I2599),0)</f>
        <v>6156930</v>
      </c>
      <c r="H2598" s="120"/>
      <c r="I2598" s="119"/>
      <c r="J2598" s="47"/>
      <c r="K2598" s="143"/>
    </row>
    <row r="2599" spans="2:11" ht="27" customHeight="1" thickTop="1" thickBot="1" x14ac:dyDescent="0.25">
      <c r="B2599" s="153" t="s">
        <v>1034</v>
      </c>
      <c r="C2599" s="145" t="str">
        <f>+'LISTA DE INSUMOS'!A15</f>
        <v>MOB012</v>
      </c>
      <c r="D2599" s="146" t="str">
        <f>+'LISTA DE INSUMOS'!B15</f>
        <v>Profesional en salud ocupacional</v>
      </c>
      <c r="E2599" s="145" t="str">
        <f>+'LISTA DE INSUMOS'!C15</f>
        <v>Día</v>
      </c>
      <c r="F2599" s="147">
        <v>30</v>
      </c>
      <c r="G2599" s="148">
        <f>'LISTA DE INSUMOS'!E15</f>
        <v>205231</v>
      </c>
      <c r="H2599" s="145">
        <v>0</v>
      </c>
      <c r="I2599" s="148">
        <f>IF(H2599&gt;=0,(F2599*G2599*(1+H2599/100)),ABS(F2599*G2599/H2599))</f>
        <v>6156930</v>
      </c>
      <c r="J2599" s="47"/>
      <c r="K2599" s="143"/>
    </row>
    <row r="2600" spans="2:11" ht="24.9" customHeight="1" x14ac:dyDescent="0.2">
      <c r="B2600" s="117" t="s">
        <v>1870</v>
      </c>
      <c r="C2600" s="117"/>
      <c r="D2600" s="112" t="s">
        <v>1813</v>
      </c>
      <c r="E2600" s="117" t="s">
        <v>1412</v>
      </c>
      <c r="F2600" s="118"/>
      <c r="G2600" s="119">
        <f>ROUND(SUM(I2601:I2605),0)</f>
        <v>13181</v>
      </c>
      <c r="H2600" s="120"/>
      <c r="I2600" s="119"/>
      <c r="J2600" s="47"/>
      <c r="K2600" s="143"/>
    </row>
    <row r="2601" spans="2:11" ht="24.9" customHeight="1" thickBot="1" x14ac:dyDescent="0.25">
      <c r="B2601" s="175" t="s">
        <v>1325</v>
      </c>
      <c r="C2601" s="108" t="str">
        <f>+'LISTA DE INSUMOS'!A153</f>
        <v>MAT112</v>
      </c>
      <c r="D2601" s="139" t="str">
        <f>+'LISTA DE INSUMOS'!B153</f>
        <v>Pintura esmalte para exteriores</v>
      </c>
      <c r="E2601" s="108" t="str">
        <f>+'LISTA DE INSUMOS'!C153</f>
        <v>Gl</v>
      </c>
      <c r="F2601" s="176">
        <f>1/40</f>
        <v>2.5000000000000001E-2</v>
      </c>
      <c r="G2601" s="141">
        <f>'LISTA DE INSUMOS'!E153</f>
        <v>99769.889999999985</v>
      </c>
      <c r="H2601" s="205">
        <v>1.03</v>
      </c>
      <c r="I2601" s="141">
        <f>ROUND((F2601*G2601*H2601),0)</f>
        <v>2569</v>
      </c>
      <c r="J2601" s="47"/>
      <c r="K2601" s="143"/>
    </row>
    <row r="2602" spans="2:11" ht="24.9" customHeight="1" thickTop="1" thickBot="1" x14ac:dyDescent="0.25">
      <c r="B2602" s="158" t="s">
        <v>1034</v>
      </c>
      <c r="C2602" s="108" t="str">
        <f>+'LISTA DE INSUMOS'!A18</f>
        <v>MOB015</v>
      </c>
      <c r="D2602" s="139" t="str">
        <f>+'LISTA DE INSUMOS'!B18</f>
        <v>Cuadrilla E 1 Of + 1 Ay (jornal + prestaciones)</v>
      </c>
      <c r="E2602" s="108" t="str">
        <f>+'LISTA DE INSUMOS'!C18</f>
        <v>Día</v>
      </c>
      <c r="F2602" s="176">
        <v>1</v>
      </c>
      <c r="G2602" s="141">
        <f>'LISTA DE INSUMOS'!E18</f>
        <v>245584</v>
      </c>
      <c r="H2602" s="205">
        <v>0.03</v>
      </c>
      <c r="I2602" s="141">
        <f>ROUND((F2602*G2602*H2602),0)</f>
        <v>7368</v>
      </c>
      <c r="J2602" s="47"/>
      <c r="K2602" s="143"/>
    </row>
    <row r="2603" spans="2:11" ht="24.9" customHeight="1" thickTop="1" x14ac:dyDescent="0.2">
      <c r="B2603" s="246"/>
      <c r="C2603" s="108" t="str">
        <f>+'LISTA DE INSUMOS'!A758</f>
        <v>EQU002</v>
      </c>
      <c r="D2603" s="139" t="str">
        <f>+'LISTA DE INSUMOS'!B758</f>
        <v>Herramienta menor (% mano obra)</v>
      </c>
      <c r="E2603" s="108" t="str">
        <f>+'LISTA DE INSUMOS'!C758</f>
        <v>%MO</v>
      </c>
      <c r="F2603" s="176">
        <v>0.1</v>
      </c>
      <c r="G2603" s="141">
        <f>I2602</f>
        <v>7368</v>
      </c>
      <c r="H2603" s="205">
        <v>0</v>
      </c>
      <c r="I2603" s="141">
        <f>ROUND((F2603*G2603),0)</f>
        <v>737</v>
      </c>
      <c r="J2603" s="47"/>
      <c r="K2603" s="143"/>
    </row>
    <row r="2604" spans="2:11" ht="24.9" customHeight="1" x14ac:dyDescent="0.2">
      <c r="B2604" s="246" t="s">
        <v>1033</v>
      </c>
      <c r="C2604" s="125" t="str">
        <f>+'LISTA DE INSUMOS'!A778</f>
        <v>EQU021</v>
      </c>
      <c r="D2604" s="155" t="str">
        <f>+'LISTA DE INSUMOS'!B778</f>
        <v>Compresor pintura</v>
      </c>
      <c r="E2604" s="125" t="str">
        <f>+'LISTA DE INSUMOS'!C778</f>
        <v>Día</v>
      </c>
      <c r="F2604" s="176">
        <v>1</v>
      </c>
      <c r="G2604" s="170">
        <f>'LISTA DE INSUMOS'!E778</f>
        <v>85546.909637040269</v>
      </c>
      <c r="H2604" s="205">
        <f>1/40</f>
        <v>2.5000000000000001E-2</v>
      </c>
      <c r="I2604" s="141">
        <f>ROUND((F2604*G2604*H2604),0)</f>
        <v>2139</v>
      </c>
      <c r="J2604" s="47"/>
      <c r="K2604" s="143"/>
    </row>
    <row r="2605" spans="2:11" ht="34.5" customHeight="1" thickBot="1" x14ac:dyDescent="0.25">
      <c r="B2605" s="247"/>
      <c r="C2605" s="145" t="str">
        <f>+'LISTA DE INSUMOS'!A762</f>
        <v>EQU006</v>
      </c>
      <c r="D2605" s="146" t="str">
        <f>+'LISTA DE INSUMOS'!B762</f>
        <v>Andamio (% mano obra)</v>
      </c>
      <c r="E2605" s="145" t="str">
        <f>+'LISTA DE INSUMOS'!C762</f>
        <v>%MO</v>
      </c>
      <c r="F2605" s="229">
        <v>0.05</v>
      </c>
      <c r="G2605" s="148">
        <f>I2602</f>
        <v>7368</v>
      </c>
      <c r="H2605" s="206">
        <v>0</v>
      </c>
      <c r="I2605" s="148">
        <f>ROUND((F2605*G2605),0)</f>
        <v>368</v>
      </c>
      <c r="J2605" s="47"/>
      <c r="K2605" s="143"/>
    </row>
    <row r="2606" spans="2:11" s="317" customFormat="1" ht="24.9" hidden="1" customHeight="1" x14ac:dyDescent="0.2">
      <c r="B2606" s="319" t="s">
        <v>1790</v>
      </c>
      <c r="C2606" s="319"/>
      <c r="D2606" s="320" t="s">
        <v>1947</v>
      </c>
      <c r="E2606" s="319" t="s">
        <v>2585</v>
      </c>
      <c r="F2606" s="321"/>
      <c r="G2606" s="312">
        <f>ROUND(SUM(I2607:I2610),0)</f>
        <v>34977</v>
      </c>
      <c r="H2606" s="322"/>
      <c r="I2606" s="312"/>
      <c r="J2606" s="313"/>
      <c r="K2606" s="323"/>
    </row>
    <row r="2607" spans="2:11" s="317" customFormat="1" ht="24.9" hidden="1" customHeight="1" thickBot="1" x14ac:dyDescent="0.25">
      <c r="B2607" s="347" t="s">
        <v>1325</v>
      </c>
      <c r="C2607" s="322" t="str">
        <f>+'LISTA DE INSUMOS'!A459</f>
        <v>MAT476</v>
      </c>
      <c r="D2607" s="324" t="str">
        <f>+'LISTA DE INSUMOS'!B459</f>
        <v>Frescasa sin papel 2 1/2" x 15,24 x 1,22 m</v>
      </c>
      <c r="E2607" s="322" t="str">
        <f>+'LISTA DE INSUMOS'!C459</f>
        <v>M2</v>
      </c>
      <c r="F2607" s="321">
        <v>1</v>
      </c>
      <c r="G2607" s="312">
        <f>'LISTA DE INSUMOS'!E459</f>
        <v>30473.6048045352</v>
      </c>
      <c r="H2607" s="349">
        <v>0</v>
      </c>
      <c r="I2607" s="312">
        <f>ROUND((F2607*G2607),0)</f>
        <v>30474</v>
      </c>
      <c r="J2607" s="313"/>
      <c r="K2607" s="323"/>
    </row>
    <row r="2608" spans="2:11" s="317" customFormat="1" ht="24.9" hidden="1" customHeight="1" thickTop="1" thickBot="1" x14ac:dyDescent="0.25">
      <c r="B2608" s="363" t="s">
        <v>1034</v>
      </c>
      <c r="C2608" s="322" t="str">
        <f>+'LISTA DE INSUMOS'!A18</f>
        <v>MOB015</v>
      </c>
      <c r="D2608" s="324" t="str">
        <f>+'LISTA DE INSUMOS'!B18</f>
        <v>Cuadrilla E 1 Of + 1 Ay (jornal + prestaciones)</v>
      </c>
      <c r="E2608" s="322" t="str">
        <f>+'LISTA DE INSUMOS'!C18</f>
        <v>Día</v>
      </c>
      <c r="F2608" s="321">
        <v>1</v>
      </c>
      <c r="G2608" s="312">
        <f>'LISTA DE INSUMOS'!E18</f>
        <v>245584</v>
      </c>
      <c r="H2608" s="349">
        <f>1/60</f>
        <v>1.6666666666666666E-2</v>
      </c>
      <c r="I2608" s="312">
        <f>ROUND((F2608*G2608*H2608),0)</f>
        <v>4093</v>
      </c>
      <c r="J2608" s="313"/>
      <c r="K2608" s="323"/>
    </row>
    <row r="2609" spans="2:11" s="317" customFormat="1" ht="24.9" hidden="1" customHeight="1" thickTop="1" x14ac:dyDescent="0.2">
      <c r="B2609" s="652" t="s">
        <v>1033</v>
      </c>
      <c r="C2609" s="322" t="str">
        <f>+'LISTA DE INSUMOS'!A758</f>
        <v>EQU002</v>
      </c>
      <c r="D2609" s="324" t="str">
        <f>+'LISTA DE INSUMOS'!B758</f>
        <v>Herramienta menor (% mano obra)</v>
      </c>
      <c r="E2609" s="322" t="str">
        <f>+'LISTA DE INSUMOS'!C758</f>
        <v>%MO</v>
      </c>
      <c r="F2609" s="321">
        <v>0.05</v>
      </c>
      <c r="G2609" s="312">
        <f>I2608</f>
        <v>4093</v>
      </c>
      <c r="H2609" s="349">
        <v>0</v>
      </c>
      <c r="I2609" s="312">
        <f>ROUND((F2609*G2609),0)</f>
        <v>205</v>
      </c>
      <c r="J2609" s="313"/>
      <c r="K2609" s="323"/>
    </row>
    <row r="2610" spans="2:11" s="317" customFormat="1" ht="24.9" hidden="1" customHeight="1" thickBot="1" x14ac:dyDescent="0.25">
      <c r="B2610" s="653"/>
      <c r="C2610" s="329" t="str">
        <f>+'LISTA DE INSUMOS'!A762</f>
        <v>EQU006</v>
      </c>
      <c r="D2610" s="328" t="str">
        <f>+'LISTA DE INSUMOS'!B762</f>
        <v>Andamio (% mano obra)</v>
      </c>
      <c r="E2610" s="329" t="str">
        <f>+'LISTA DE INSUMOS'!C762</f>
        <v>%MO</v>
      </c>
      <c r="F2610" s="362">
        <v>0.05</v>
      </c>
      <c r="G2610" s="331">
        <f>I2608</f>
        <v>4093</v>
      </c>
      <c r="H2610" s="350">
        <v>0</v>
      </c>
      <c r="I2610" s="331">
        <f>ROUND((F2610*G2610),0)</f>
        <v>205</v>
      </c>
      <c r="J2610" s="313"/>
      <c r="K2610" s="323"/>
    </row>
    <row r="2611" spans="2:11" ht="24.9" customHeight="1" x14ac:dyDescent="0.2">
      <c r="B2611" s="193" t="s">
        <v>1768</v>
      </c>
      <c r="C2611" s="117"/>
      <c r="D2611" s="112" t="s">
        <v>111</v>
      </c>
      <c r="E2611" s="117" t="s">
        <v>2585</v>
      </c>
      <c r="F2611" s="118"/>
      <c r="G2611" s="119">
        <f>ROUND(SUM(I2612:I2615),0)</f>
        <v>28305</v>
      </c>
      <c r="H2611" s="120"/>
      <c r="I2611" s="119"/>
      <c r="J2611" s="47"/>
      <c r="K2611" s="143"/>
    </row>
    <row r="2612" spans="2:11" ht="24.9" customHeight="1" thickBot="1" x14ac:dyDescent="0.25">
      <c r="B2612" s="175" t="s">
        <v>1325</v>
      </c>
      <c r="C2612" s="108" t="str">
        <f>+'LISTA DE INSUMOS'!A228</f>
        <v>MAT196</v>
      </c>
      <c r="D2612" s="155" t="str">
        <f>+'LISTA DE INSUMOS'!B228</f>
        <v>Pintura transparente protectora de fachadas</v>
      </c>
      <c r="E2612" s="108" t="str">
        <f>+'LISTA DE INSUMOS'!C228</f>
        <v>Gl</v>
      </c>
      <c r="F2612" s="176">
        <f>1/15</f>
        <v>6.6666666666666666E-2</v>
      </c>
      <c r="G2612" s="141">
        <f>'LISTA DE INSUMOS'!E228</f>
        <v>140701.80792227999</v>
      </c>
      <c r="H2612" s="205">
        <v>1.03</v>
      </c>
      <c r="I2612" s="141">
        <f>IF(H2612&gt;=0,(F2612*G2612*(1+H2612/100)),ABS(F2612*G2612/H2612))</f>
        <v>9476.7357695919654</v>
      </c>
      <c r="J2612" s="47"/>
      <c r="K2612" s="143"/>
    </row>
    <row r="2613" spans="2:11" ht="24.9" customHeight="1" thickTop="1" thickBot="1" x14ac:dyDescent="0.25">
      <c r="B2613" s="153" t="s">
        <v>1034</v>
      </c>
      <c r="C2613" s="108" t="str">
        <f>+'LISTA DE INSUMOS'!A18</f>
        <v>MOB015</v>
      </c>
      <c r="D2613" s="139" t="str">
        <f>+'LISTA DE INSUMOS'!B18</f>
        <v>Cuadrilla E 1 Of + 1 Ay (jornal + prestaciones)</v>
      </c>
      <c r="E2613" s="108" t="str">
        <f>+'LISTA DE INSUMOS'!C18</f>
        <v>Día</v>
      </c>
      <c r="F2613" s="176">
        <v>1</v>
      </c>
      <c r="G2613" s="141">
        <f>'LISTA DE INSUMOS'!E18</f>
        <v>245584</v>
      </c>
      <c r="H2613" s="205">
        <f>1/15</f>
        <v>6.6666666666666666E-2</v>
      </c>
      <c r="I2613" s="141">
        <f>ROUND((F2613*G2613*H2613),0)</f>
        <v>16372</v>
      </c>
      <c r="J2613" s="47"/>
      <c r="K2613" s="143"/>
    </row>
    <row r="2614" spans="2:11" ht="24.9" customHeight="1" thickTop="1" x14ac:dyDescent="0.2">
      <c r="B2614" s="647" t="s">
        <v>1033</v>
      </c>
      <c r="C2614" s="108" t="str">
        <f>+'LISTA DE INSUMOS'!A758</f>
        <v>EQU002</v>
      </c>
      <c r="D2614" s="139" t="str">
        <f>+'LISTA DE INSUMOS'!B758</f>
        <v>Herramienta menor (% mano obra)</v>
      </c>
      <c r="E2614" s="108" t="str">
        <f>+'LISTA DE INSUMOS'!C758</f>
        <v>%MO</v>
      </c>
      <c r="F2614" s="176">
        <v>0.1</v>
      </c>
      <c r="G2614" s="141">
        <f>I2613</f>
        <v>16372</v>
      </c>
      <c r="H2614" s="205">
        <v>0</v>
      </c>
      <c r="I2614" s="141">
        <f>ROUND((F2614*G2614),0)</f>
        <v>1637</v>
      </c>
      <c r="J2614" s="47"/>
      <c r="K2614" s="143"/>
    </row>
    <row r="2615" spans="2:11" ht="24.9" customHeight="1" thickBot="1" x14ac:dyDescent="0.25">
      <c r="B2615" s="704"/>
      <c r="C2615" s="145" t="str">
        <f>+'LISTA DE INSUMOS'!A762</f>
        <v>EQU006</v>
      </c>
      <c r="D2615" s="146" t="str">
        <f>+'LISTA DE INSUMOS'!B762</f>
        <v>Andamio (% mano obra)</v>
      </c>
      <c r="E2615" s="145" t="str">
        <f>+'LISTA DE INSUMOS'!C762</f>
        <v>%MO</v>
      </c>
      <c r="F2615" s="229">
        <v>0.05</v>
      </c>
      <c r="G2615" s="148">
        <f>I2613</f>
        <v>16372</v>
      </c>
      <c r="H2615" s="206">
        <v>0</v>
      </c>
      <c r="I2615" s="148">
        <f>ROUND((F2615*G2615),0)</f>
        <v>819</v>
      </c>
      <c r="J2615" s="47"/>
      <c r="K2615" s="143"/>
    </row>
    <row r="2616" spans="2:11" ht="24.9" customHeight="1" x14ac:dyDescent="0.2">
      <c r="B2616" s="193" t="s">
        <v>2318</v>
      </c>
      <c r="C2616" s="117"/>
      <c r="D2616" s="112" t="s">
        <v>1814</v>
      </c>
      <c r="E2616" s="117" t="s">
        <v>2585</v>
      </c>
      <c r="F2616" s="118"/>
      <c r="G2616" s="119">
        <f>ROUND(SUM(I2617:I2620),0)</f>
        <v>8569</v>
      </c>
      <c r="H2616" s="120"/>
      <c r="I2616" s="119"/>
      <c r="J2616" s="47"/>
      <c r="K2616" s="143"/>
    </row>
    <row r="2617" spans="2:11" ht="24.9" customHeight="1" x14ac:dyDescent="0.2">
      <c r="B2617" s="657" t="s">
        <v>1325</v>
      </c>
      <c r="C2617" s="108" t="str">
        <f>+'LISTA DE INSUMOS'!A153</f>
        <v>MAT112</v>
      </c>
      <c r="D2617" s="139" t="str">
        <f>+'LISTA DE INSUMOS'!B153</f>
        <v>Pintura esmalte para exteriores</v>
      </c>
      <c r="E2617" s="108" t="str">
        <f>+'LISTA DE INSUMOS'!C153</f>
        <v>Gl</v>
      </c>
      <c r="F2617" s="228">
        <f>1/40</f>
        <v>2.5000000000000001E-2</v>
      </c>
      <c r="G2617" s="141">
        <f>'LISTA DE INSUMOS'!E153</f>
        <v>99769.889999999985</v>
      </c>
      <c r="H2617" s="205">
        <v>1.03</v>
      </c>
      <c r="I2617" s="141">
        <f>ROUND((F2617*G2617*H2617),0)</f>
        <v>2569</v>
      </c>
      <c r="J2617" s="47"/>
      <c r="K2617" s="143"/>
    </row>
    <row r="2618" spans="2:11" ht="24.9" customHeight="1" thickBot="1" x14ac:dyDescent="0.25">
      <c r="B2618" s="659"/>
      <c r="C2618" s="108" t="s">
        <v>556</v>
      </c>
      <c r="D2618" s="139" t="s">
        <v>557</v>
      </c>
      <c r="E2618" s="108" t="s">
        <v>1414</v>
      </c>
      <c r="F2618" s="176">
        <v>0.1</v>
      </c>
      <c r="G2618" s="141">
        <f>'LISTA DE INSUMOS'!E188</f>
        <v>2398.3774658909997</v>
      </c>
      <c r="H2618" s="205">
        <v>1.05</v>
      </c>
      <c r="I2618" s="141">
        <f>ROUND((F2618*G2618*H2618),0)</f>
        <v>252</v>
      </c>
      <c r="J2618" s="47"/>
      <c r="K2618" s="143"/>
    </row>
    <row r="2619" spans="2:11" ht="24.9" customHeight="1" thickTop="1" thickBot="1" x14ac:dyDescent="0.25">
      <c r="B2619" s="153" t="s">
        <v>1034</v>
      </c>
      <c r="C2619" s="108" t="str">
        <f>+'LISTA DE INSUMOS'!A18</f>
        <v>MOB015</v>
      </c>
      <c r="D2619" s="139" t="str">
        <f>+'LISTA DE INSUMOS'!B18</f>
        <v>Cuadrilla E 1 Of + 1 Ay (jornal + prestaciones)</v>
      </c>
      <c r="E2619" s="108" t="str">
        <f>+'LISTA DE INSUMOS'!C18</f>
        <v>Día</v>
      </c>
      <c r="F2619" s="176">
        <v>1</v>
      </c>
      <c r="G2619" s="141">
        <f>'LISTA DE INSUMOS'!E18</f>
        <v>245584</v>
      </c>
      <c r="H2619" s="205">
        <f>1/47</f>
        <v>2.1276595744680851E-2</v>
      </c>
      <c r="I2619" s="141">
        <f>ROUND((F2619*G2619*H2619),0)</f>
        <v>5225</v>
      </c>
      <c r="J2619" s="47"/>
      <c r="K2619" s="143"/>
    </row>
    <row r="2620" spans="2:11" ht="24.9" customHeight="1" thickTop="1" thickBot="1" x14ac:dyDescent="0.25">
      <c r="B2620" s="150" t="s">
        <v>1033</v>
      </c>
      <c r="C2620" s="151" t="str">
        <f>+'LISTA DE INSUMOS'!A758</f>
        <v>EQU002</v>
      </c>
      <c r="D2620" s="146" t="str">
        <f>+'LISTA DE INSUMOS'!B758</f>
        <v>Herramienta menor (% mano obra)</v>
      </c>
      <c r="E2620" s="145" t="str">
        <f>+'LISTA DE INSUMOS'!C758</f>
        <v>%MO</v>
      </c>
      <c r="F2620" s="229">
        <v>0.1</v>
      </c>
      <c r="G2620" s="148">
        <f>I2619</f>
        <v>5225</v>
      </c>
      <c r="H2620" s="206">
        <v>0</v>
      </c>
      <c r="I2620" s="148">
        <f>ROUND((F2620*G2620),0)</f>
        <v>523</v>
      </c>
      <c r="J2620" s="47"/>
      <c r="K2620" s="143"/>
    </row>
    <row r="2621" spans="2:11" ht="24.9" customHeight="1" x14ac:dyDescent="0.2">
      <c r="B2621" s="117" t="s">
        <v>1841</v>
      </c>
      <c r="C2621" s="117"/>
      <c r="D2621" s="112" t="s">
        <v>1891</v>
      </c>
      <c r="E2621" s="117" t="s">
        <v>2585</v>
      </c>
      <c r="F2621" s="118"/>
      <c r="G2621" s="119">
        <f>ROUND(SUM(I2622:I2626),0)</f>
        <v>27144</v>
      </c>
      <c r="H2621" s="120"/>
      <c r="I2621" s="119"/>
      <c r="J2621" s="47"/>
      <c r="K2621" s="143"/>
    </row>
    <row r="2622" spans="2:11" ht="24.9" customHeight="1" x14ac:dyDescent="0.2">
      <c r="B2622" s="657" t="s">
        <v>1325</v>
      </c>
      <c r="C2622" s="108" t="str">
        <f>+'LISTA DE INSUMOS'!A155</f>
        <v>MAT113</v>
      </c>
      <c r="D2622" s="139" t="str">
        <f>+'LISTA DE INSUMOS'!B155</f>
        <v xml:space="preserve">Pintura vinilo </v>
      </c>
      <c r="E2622" s="108" t="str">
        <f>+'LISTA DE INSUMOS'!C155</f>
        <v>Gl</v>
      </c>
      <c r="F2622" s="176">
        <v>0.06</v>
      </c>
      <c r="G2622" s="141">
        <f>'LISTA DE INSUMOS'!E155</f>
        <v>82704.194264999984</v>
      </c>
      <c r="H2622" s="205">
        <v>1.03</v>
      </c>
      <c r="I2622" s="141">
        <f>ROUND((F2622*G2622*H2622),0)</f>
        <v>5111</v>
      </c>
      <c r="J2622" s="47"/>
      <c r="K2622" s="143"/>
    </row>
    <row r="2623" spans="2:11" ht="24.9" customHeight="1" thickBot="1" x14ac:dyDescent="0.25">
      <c r="B2623" s="659"/>
      <c r="C2623" s="108" t="str">
        <f>+'LISTA DE INSUMOS'!A190</f>
        <v>MAT148</v>
      </c>
      <c r="D2623" s="139" t="str">
        <f>+'LISTA DE INSUMOS'!B190</f>
        <v xml:space="preserve">Alambre galvanizado C 12 </v>
      </c>
      <c r="E2623" s="108" t="str">
        <f>+'LISTA DE INSUMOS'!C190</f>
        <v>Kg</v>
      </c>
      <c r="F2623" s="176">
        <v>0.3</v>
      </c>
      <c r="G2623" s="141">
        <f>'LISTA DE INSUMOS'!E190</f>
        <v>10174.934703779998</v>
      </c>
      <c r="H2623" s="205">
        <v>1.05</v>
      </c>
      <c r="I2623" s="141">
        <f>ROUND((F2623*G2623*H2623),0)</f>
        <v>3205</v>
      </c>
      <c r="J2623" s="47"/>
      <c r="K2623" s="143"/>
    </row>
    <row r="2624" spans="2:11" ht="24.9" customHeight="1" thickTop="1" thickBot="1" x14ac:dyDescent="0.25">
      <c r="B2624" s="153" t="s">
        <v>1034</v>
      </c>
      <c r="C2624" s="108" t="str">
        <f>+'LISTA DE INSUMOS'!A18</f>
        <v>MOB015</v>
      </c>
      <c r="D2624" s="139" t="str">
        <f>+'LISTA DE INSUMOS'!B18</f>
        <v>Cuadrilla E 1 Of + 1 Ay (jornal + prestaciones)</v>
      </c>
      <c r="E2624" s="108" t="str">
        <f>+'LISTA DE INSUMOS'!C18</f>
        <v>Día</v>
      </c>
      <c r="F2624" s="176">
        <v>1</v>
      </c>
      <c r="G2624" s="141">
        <f>'LISTA DE INSUMOS'!E18</f>
        <v>245584</v>
      </c>
      <c r="H2624" s="205">
        <f>1/15</f>
        <v>6.6666666666666666E-2</v>
      </c>
      <c r="I2624" s="141">
        <f>ROUND((F2624*G2624*H2624),0)</f>
        <v>16372</v>
      </c>
      <c r="J2624" s="47"/>
      <c r="K2624" s="143"/>
    </row>
    <row r="2625" spans="2:11" ht="24.9" customHeight="1" thickTop="1" x14ac:dyDescent="0.2">
      <c r="B2625" s="647" t="s">
        <v>1033</v>
      </c>
      <c r="C2625" s="108" t="str">
        <f>+'LISTA DE INSUMOS'!A758</f>
        <v>EQU002</v>
      </c>
      <c r="D2625" s="139" t="str">
        <f>+'LISTA DE INSUMOS'!B758</f>
        <v>Herramienta menor (% mano obra)</v>
      </c>
      <c r="E2625" s="108" t="str">
        <f>+'LISTA DE INSUMOS'!C758</f>
        <v>%MO</v>
      </c>
      <c r="F2625" s="176">
        <v>0.1</v>
      </c>
      <c r="G2625" s="141">
        <f>I2624</f>
        <v>16372</v>
      </c>
      <c r="H2625" s="205">
        <v>0</v>
      </c>
      <c r="I2625" s="141">
        <f>ROUND((F2625*G2625),0)</f>
        <v>1637</v>
      </c>
      <c r="J2625" s="47"/>
      <c r="K2625" s="143"/>
    </row>
    <row r="2626" spans="2:11" ht="24.9" customHeight="1" thickBot="1" x14ac:dyDescent="0.25">
      <c r="B2626" s="704"/>
      <c r="C2626" s="145" t="str">
        <f>+'LISTA DE INSUMOS'!A762</f>
        <v>EQU006</v>
      </c>
      <c r="D2626" s="146" t="str">
        <f>+'LISTA DE INSUMOS'!B762</f>
        <v>Andamio (% mano obra)</v>
      </c>
      <c r="E2626" s="145" t="str">
        <f>+'LISTA DE INSUMOS'!C762</f>
        <v>%MO</v>
      </c>
      <c r="F2626" s="229">
        <v>0.05</v>
      </c>
      <c r="G2626" s="148">
        <f>I2624</f>
        <v>16372</v>
      </c>
      <c r="H2626" s="206">
        <v>0</v>
      </c>
      <c r="I2626" s="148">
        <f>ROUND((F2626*G2626),0)</f>
        <v>819</v>
      </c>
      <c r="J2626" s="47"/>
      <c r="K2626" s="143"/>
    </row>
    <row r="2627" spans="2:11" ht="24.9" customHeight="1" x14ac:dyDescent="0.2">
      <c r="B2627" s="230" t="s">
        <v>1428</v>
      </c>
      <c r="C2627" s="120"/>
      <c r="D2627" s="231" t="s">
        <v>2852</v>
      </c>
      <c r="E2627" s="120" t="s">
        <v>1424</v>
      </c>
      <c r="F2627" s="118"/>
      <c r="G2627" s="119">
        <f>ROUND(SUM(I2628:I2634),0)</f>
        <v>115535</v>
      </c>
      <c r="H2627" s="248"/>
      <c r="I2627" s="119"/>
      <c r="J2627" s="47"/>
      <c r="K2627" s="143"/>
    </row>
    <row r="2628" spans="2:11" ht="24.9" customHeight="1" x14ac:dyDescent="0.2">
      <c r="B2628" s="680" t="s">
        <v>1035</v>
      </c>
      <c r="C2628" s="125" t="str">
        <f>+'LISTA DE INSUMOS'!A492</f>
        <v>MAT510</v>
      </c>
      <c r="D2628" s="155" t="str">
        <f>+'LISTA DE INSUMOS'!B492</f>
        <v>Teja termoacustica Forte UPVC</v>
      </c>
      <c r="E2628" s="125" t="str">
        <f>+'LISTA DE INSUMOS'!C492</f>
        <v>M2</v>
      </c>
      <c r="F2628" s="176">
        <v>1</v>
      </c>
      <c r="G2628" s="141">
        <f>'LISTA DE INSUMOS'!E492</f>
        <v>79496.508225749989</v>
      </c>
      <c r="H2628" s="205">
        <v>1.05</v>
      </c>
      <c r="I2628" s="141">
        <f>ROUND((F2628*G2628*H2628),0)</f>
        <v>83471</v>
      </c>
      <c r="J2628" s="47"/>
      <c r="K2628" s="143"/>
    </row>
    <row r="2629" spans="2:11" ht="24.9" customHeight="1" x14ac:dyDescent="0.2">
      <c r="B2629" s="680"/>
      <c r="C2629" s="125" t="str">
        <f>+'LISTA DE INSUMOS'!A525</f>
        <v>MAT542</v>
      </c>
      <c r="D2629" s="155" t="str">
        <f>+'LISTA DE INSUMOS'!B525</f>
        <v>Conjunto fijación cubierta forte</v>
      </c>
      <c r="E2629" s="125" t="str">
        <f>+'LISTA DE INSUMOS'!C525</f>
        <v>Un</v>
      </c>
      <c r="F2629" s="140">
        <v>4</v>
      </c>
      <c r="G2629" s="141">
        <f>'LISTA DE INSUMOS'!E525</f>
        <v>2251.7955995534999</v>
      </c>
      <c r="H2629" s="108">
        <v>0</v>
      </c>
      <c r="I2629" s="141">
        <f>ROUND((F2629*G2629),0)</f>
        <v>9007</v>
      </c>
      <c r="J2629" s="47"/>
      <c r="K2629" s="143"/>
    </row>
    <row r="2630" spans="2:11" ht="24.9" customHeight="1" thickBot="1" x14ac:dyDescent="0.25">
      <c r="B2630" s="680"/>
      <c r="C2630" s="125" t="str">
        <f>+'LISTA DE INSUMOS'!A213</f>
        <v>MAT177</v>
      </c>
      <c r="D2630" s="48" t="str">
        <f>+'LISTA DE INSUMOS'!B213</f>
        <v>Soldadura para hierro estructural</v>
      </c>
      <c r="E2630" s="125" t="str">
        <f>+'LISTA DE INSUMOS'!C213</f>
        <v>Kg</v>
      </c>
      <c r="F2630" s="140">
        <v>0.5</v>
      </c>
      <c r="G2630" s="141">
        <f>+'LISTA DE INSUMOS'!E213</f>
        <v>14247.017999999998</v>
      </c>
      <c r="H2630" s="108">
        <v>1.05</v>
      </c>
      <c r="I2630" s="141">
        <f>ROUND((F2630*G2630*H2630),0)</f>
        <v>7480</v>
      </c>
      <c r="J2630" s="47"/>
      <c r="K2630" s="143"/>
    </row>
    <row r="2631" spans="2:11" ht="24.9" customHeight="1" thickTop="1" thickBot="1" x14ac:dyDescent="0.25">
      <c r="B2631" s="153" t="s">
        <v>1034</v>
      </c>
      <c r="C2631" s="108" t="str">
        <f>+'LISTA DE INSUMOS'!A18</f>
        <v>MOB015</v>
      </c>
      <c r="D2631" s="139" t="str">
        <f>+'LISTA DE INSUMOS'!B18</f>
        <v>Cuadrilla E 1 Of + 1 Ay (jornal + prestaciones)</v>
      </c>
      <c r="E2631" s="108" t="str">
        <f>+'LISTA DE INSUMOS'!C18</f>
        <v>Día</v>
      </c>
      <c r="F2631" s="176">
        <v>1</v>
      </c>
      <c r="G2631" s="141">
        <f>'LISTA DE INSUMOS'!E18</f>
        <v>245584</v>
      </c>
      <c r="H2631" s="108">
        <v>0.05</v>
      </c>
      <c r="I2631" s="141">
        <f>ROUND((F2631*G2631*H2631),0)</f>
        <v>12279</v>
      </c>
      <c r="J2631" s="47"/>
      <c r="K2631" s="143"/>
    </row>
    <row r="2632" spans="2:11" ht="24.9" customHeight="1" thickTop="1" x14ac:dyDescent="0.2">
      <c r="B2632" s="647" t="s">
        <v>1033</v>
      </c>
      <c r="C2632" s="108" t="str">
        <f>+'LISTA DE INSUMOS'!A758</f>
        <v>EQU002</v>
      </c>
      <c r="D2632" s="139" t="str">
        <f>+'LISTA DE INSUMOS'!B758</f>
        <v>Herramienta menor (% mano obra)</v>
      </c>
      <c r="E2632" s="108" t="str">
        <f>+'LISTA DE INSUMOS'!C758</f>
        <v>%MO</v>
      </c>
      <c r="F2632" s="176">
        <v>0.1</v>
      </c>
      <c r="G2632" s="141">
        <f>I2631</f>
        <v>12279</v>
      </c>
      <c r="H2632" s="108">
        <v>0</v>
      </c>
      <c r="I2632" s="141">
        <f>ROUND((F2632*G2632),0)</f>
        <v>1228</v>
      </c>
      <c r="J2632" s="47"/>
      <c r="K2632" s="143"/>
    </row>
    <row r="2633" spans="2:11" ht="24.9" customHeight="1" x14ac:dyDescent="0.2">
      <c r="B2633" s="648"/>
      <c r="C2633" s="108" t="str">
        <f>+'LISTA DE INSUMOS'!A796</f>
        <v>EQU039</v>
      </c>
      <c r="D2633" s="139" t="str">
        <f>+'LISTA DE INSUMOS'!B796</f>
        <v>Equipo soldadura eléctrica</v>
      </c>
      <c r="E2633" s="108" t="str">
        <f>+'LISTA DE INSUMOS'!C796</f>
        <v>Día</v>
      </c>
      <c r="F2633" s="176">
        <v>1</v>
      </c>
      <c r="G2633" s="141">
        <f>'LISTA DE INSUMOS'!E796</f>
        <v>43693.897103999996</v>
      </c>
      <c r="H2633" s="108">
        <f>1/30</f>
        <v>3.3333333333333333E-2</v>
      </c>
      <c r="I2633" s="141">
        <f>ROUND((F2633*G2633*H2633),0)</f>
        <v>1456</v>
      </c>
      <c r="J2633" s="47"/>
      <c r="K2633" s="143"/>
    </row>
    <row r="2634" spans="2:11" ht="24.9" customHeight="1" thickBot="1" x14ac:dyDescent="0.25">
      <c r="B2634" s="704"/>
      <c r="C2634" s="145" t="str">
        <f>+'LISTA DE INSUMOS'!A762</f>
        <v>EQU006</v>
      </c>
      <c r="D2634" s="146" t="str">
        <f>+'LISTA DE INSUMOS'!B762</f>
        <v>Andamio (% mano obra)</v>
      </c>
      <c r="E2634" s="145" t="str">
        <f>+'LISTA DE INSUMOS'!C762</f>
        <v>%MO</v>
      </c>
      <c r="F2634" s="229">
        <v>0.05</v>
      </c>
      <c r="G2634" s="148">
        <f>I2631</f>
        <v>12279</v>
      </c>
      <c r="H2634" s="145">
        <v>0</v>
      </c>
      <c r="I2634" s="148">
        <f>ROUND((F2634*G2634),0)</f>
        <v>614</v>
      </c>
      <c r="J2634" s="47"/>
      <c r="K2634" s="143"/>
    </row>
    <row r="2635" spans="2:11" ht="24.9" customHeight="1" x14ac:dyDescent="0.2">
      <c r="B2635" s="117" t="s">
        <v>1425</v>
      </c>
      <c r="C2635" s="117"/>
      <c r="D2635" s="112" t="s">
        <v>329</v>
      </c>
      <c r="E2635" s="117" t="s">
        <v>1412</v>
      </c>
      <c r="F2635" s="149"/>
      <c r="G2635" s="119">
        <f>ROUND(SUM(I2636:I2641),0)</f>
        <v>101623</v>
      </c>
      <c r="H2635" s="120"/>
      <c r="I2635" s="119"/>
      <c r="J2635" s="47"/>
      <c r="K2635" s="143"/>
    </row>
    <row r="2636" spans="2:11" ht="24.9" customHeight="1" x14ac:dyDescent="0.2">
      <c r="B2636" s="672" t="s">
        <v>1035</v>
      </c>
      <c r="C2636" s="125" t="str">
        <f>+'LISTA DE INSUMOS'!A186</f>
        <v>MAT141</v>
      </c>
      <c r="D2636" s="155" t="str">
        <f>+'LISTA DE INSUMOS'!B186</f>
        <v>Caballete thermoacustic</v>
      </c>
      <c r="E2636" s="125" t="str">
        <f>+'LISTA DE INSUMOS'!C186</f>
        <v>M</v>
      </c>
      <c r="F2636" s="140">
        <v>1</v>
      </c>
      <c r="G2636" s="141">
        <f>'LISTA DE INSUMOS'!E186</f>
        <v>90433.558214999983</v>
      </c>
      <c r="H2636" s="108">
        <v>0</v>
      </c>
      <c r="I2636" s="141">
        <f>ROUND((F2636*G2636),0)</f>
        <v>90434</v>
      </c>
      <c r="J2636" s="47"/>
      <c r="K2636" s="143"/>
    </row>
    <row r="2637" spans="2:11" ht="24.9" customHeight="1" x14ac:dyDescent="0.2">
      <c r="B2637" s="672"/>
      <c r="C2637" s="125" t="str">
        <f>+'LISTA DE INSUMOS'!A493</f>
        <v>MAT511</v>
      </c>
      <c r="D2637" s="155" t="str">
        <f>+'LISTA DE INSUMOS'!B493</f>
        <v>Tornillo autoperforante</v>
      </c>
      <c r="E2637" s="125" t="str">
        <f>+'LISTA DE INSUMOS'!C493</f>
        <v>Un</v>
      </c>
      <c r="F2637" s="140">
        <v>2</v>
      </c>
      <c r="G2637" s="141">
        <f>'LISTA DE INSUMOS'!E493</f>
        <v>125.61298529702998</v>
      </c>
      <c r="H2637" s="108">
        <v>0</v>
      </c>
      <c r="I2637" s="141">
        <f>ROUND((F2637*G2637),0)</f>
        <v>251</v>
      </c>
      <c r="J2637" s="47"/>
      <c r="K2637" s="143"/>
    </row>
    <row r="2638" spans="2:11" ht="24.9" customHeight="1" thickBot="1" x14ac:dyDescent="0.25">
      <c r="B2638" s="672"/>
      <c r="C2638" s="125" t="str">
        <f>+'LISTA DE INSUMOS'!A213</f>
        <v>MAT177</v>
      </c>
      <c r="D2638" s="155" t="str">
        <f>+'LISTA DE INSUMOS'!B213</f>
        <v>Soldadura para hierro estructural</v>
      </c>
      <c r="E2638" s="125" t="str">
        <f>+'LISTA DE INSUMOS'!C213</f>
        <v>Kg</v>
      </c>
      <c r="F2638" s="140">
        <v>0.1</v>
      </c>
      <c r="G2638" s="141">
        <f>+'LISTA DE INSUMOS'!E213</f>
        <v>14247.017999999998</v>
      </c>
      <c r="H2638" s="108">
        <v>1.05</v>
      </c>
      <c r="I2638" s="141">
        <f>ROUND((F2638*G2638*H2638),0)</f>
        <v>1496</v>
      </c>
      <c r="J2638" s="47"/>
      <c r="K2638" s="143"/>
    </row>
    <row r="2639" spans="2:11" ht="24.9" customHeight="1" thickTop="1" thickBot="1" x14ac:dyDescent="0.25">
      <c r="B2639" s="153" t="s">
        <v>1034</v>
      </c>
      <c r="C2639" s="108" t="str">
        <f>+'LISTA DE INSUMOS'!A18</f>
        <v>MOB015</v>
      </c>
      <c r="D2639" s="139" t="str">
        <f>+'LISTA DE INSUMOS'!B18</f>
        <v>Cuadrilla E 1 Of + 1 Ay (jornal + prestaciones)</v>
      </c>
      <c r="E2639" s="108" t="str">
        <f>+'LISTA DE INSUMOS'!C18</f>
        <v>Día</v>
      </c>
      <c r="F2639" s="140">
        <v>1</v>
      </c>
      <c r="G2639" s="141">
        <f>'LISTA DE INSUMOS'!E18</f>
        <v>245584</v>
      </c>
      <c r="H2639" s="142">
        <f>1/30</f>
        <v>3.3333333333333333E-2</v>
      </c>
      <c r="I2639" s="141">
        <f>ROUND((F2639*G2639*H2639),0)</f>
        <v>8186</v>
      </c>
      <c r="J2639" s="47"/>
      <c r="K2639" s="143"/>
    </row>
    <row r="2640" spans="2:11" ht="24.9" customHeight="1" thickTop="1" x14ac:dyDescent="0.2">
      <c r="B2640" s="647" t="s">
        <v>1033</v>
      </c>
      <c r="C2640" s="108" t="str">
        <f>+'LISTA DE INSUMOS'!A796</f>
        <v>EQU039</v>
      </c>
      <c r="D2640" s="139" t="str">
        <f>+'LISTA DE INSUMOS'!B796</f>
        <v>Equipo soldadura eléctrica</v>
      </c>
      <c r="E2640" s="108" t="str">
        <f>+'LISTA DE INSUMOS'!C796</f>
        <v>Día</v>
      </c>
      <c r="F2640" s="176">
        <v>1</v>
      </c>
      <c r="G2640" s="141">
        <f>'LISTA DE INSUMOS'!E796</f>
        <v>43693.897103999996</v>
      </c>
      <c r="H2640" s="108">
        <v>0.01</v>
      </c>
      <c r="I2640" s="141">
        <f>ROUND((F2640*G2640*H2640),0)</f>
        <v>437</v>
      </c>
      <c r="J2640" s="47"/>
      <c r="K2640" s="143"/>
    </row>
    <row r="2641" spans="2:11" ht="30" customHeight="1" thickBot="1" x14ac:dyDescent="0.25">
      <c r="B2641" s="704"/>
      <c r="C2641" s="151" t="str">
        <f>+'LISTA DE INSUMOS'!A758</f>
        <v>EQU002</v>
      </c>
      <c r="D2641" s="146" t="str">
        <f>+'LISTA DE INSUMOS'!B758</f>
        <v>Herramienta menor (% mano obra)</v>
      </c>
      <c r="E2641" s="145" t="str">
        <f>+'LISTA DE INSUMOS'!C758</f>
        <v>%MO</v>
      </c>
      <c r="F2641" s="147">
        <v>0.1</v>
      </c>
      <c r="G2641" s="148">
        <f>I2639</f>
        <v>8186</v>
      </c>
      <c r="H2641" s="145">
        <v>0</v>
      </c>
      <c r="I2641" s="148">
        <f>ROUND((F2641*G2641),0)</f>
        <v>819</v>
      </c>
      <c r="J2641" s="47"/>
      <c r="K2641" s="143"/>
    </row>
    <row r="2642" spans="2:11" s="317" customFormat="1" ht="30" hidden="1" customHeight="1" x14ac:dyDescent="0.2">
      <c r="B2642" s="353" t="s">
        <v>1887</v>
      </c>
      <c r="C2642" s="319"/>
      <c r="D2642" s="320" t="s">
        <v>99</v>
      </c>
      <c r="E2642" s="319" t="s">
        <v>2585</v>
      </c>
      <c r="F2642" s="332"/>
      <c r="G2642" s="312">
        <f>ROUND(SUM(I2642:I2646),0)</f>
        <v>28828</v>
      </c>
      <c r="H2642" s="322"/>
      <c r="I2642" s="312"/>
      <c r="J2642" s="313"/>
      <c r="K2642" s="323"/>
    </row>
    <row r="2643" spans="2:11" s="317" customFormat="1" ht="30" hidden="1" customHeight="1" thickBot="1" x14ac:dyDescent="0.25">
      <c r="B2643" s="347" t="s">
        <v>1325</v>
      </c>
      <c r="C2643" s="322" t="str">
        <f>+'LISTA DE INSUMOS'!A460</f>
        <v>MAT477</v>
      </c>
      <c r="D2643" s="324" t="str">
        <f>+'LISTA DE INSUMOS'!B460</f>
        <v>Pintura texturizada hidrorepelente</v>
      </c>
      <c r="E2643" s="322" t="str">
        <f>+'LISTA DE INSUMOS'!C460</f>
        <v>Gl</v>
      </c>
      <c r="F2643" s="325">
        <v>0.12</v>
      </c>
      <c r="G2643" s="312">
        <f>'LISTA DE INSUMOS'!E460</f>
        <v>74290.00866902998</v>
      </c>
      <c r="H2643" s="322">
        <v>1.03</v>
      </c>
      <c r="I2643" s="312">
        <f>ROUND((F2643*G2643*H2643),0)</f>
        <v>9182</v>
      </c>
      <c r="J2643" s="313"/>
      <c r="K2643" s="323"/>
    </row>
    <row r="2644" spans="2:11" s="317" customFormat="1" ht="24.9" hidden="1" customHeight="1" thickTop="1" thickBot="1" x14ac:dyDescent="0.25">
      <c r="B2644" s="363" t="s">
        <v>1034</v>
      </c>
      <c r="C2644" s="322" t="str">
        <f>+'LISTA DE INSUMOS'!A18</f>
        <v>MOB015</v>
      </c>
      <c r="D2644" s="324" t="str">
        <f>+'LISTA DE INSUMOS'!B18</f>
        <v>Cuadrilla E 1 Of + 1 Ay (jornal + prestaciones)</v>
      </c>
      <c r="E2644" s="322" t="str">
        <f>+'LISTA DE INSUMOS'!C18</f>
        <v>Día</v>
      </c>
      <c r="F2644" s="325">
        <v>1</v>
      </c>
      <c r="G2644" s="312">
        <f>'LISTA DE INSUMOS'!E18</f>
        <v>245584</v>
      </c>
      <c r="H2644" s="322">
        <f>1/15</f>
        <v>6.6666666666666666E-2</v>
      </c>
      <c r="I2644" s="312">
        <f>ROUND((F2644*G2644*H2644),0)</f>
        <v>16372</v>
      </c>
      <c r="J2644" s="313"/>
      <c r="K2644" s="323"/>
    </row>
    <row r="2645" spans="2:11" s="317" customFormat="1" ht="24.9" hidden="1" customHeight="1" thickTop="1" x14ac:dyDescent="0.2">
      <c r="B2645" s="652" t="s">
        <v>1033</v>
      </c>
      <c r="C2645" s="322" t="str">
        <f>+'LISTA DE INSUMOS'!A758</f>
        <v>EQU002</v>
      </c>
      <c r="D2645" s="324" t="str">
        <f>+'LISTA DE INSUMOS'!B758</f>
        <v>Herramienta menor (% mano obra)</v>
      </c>
      <c r="E2645" s="322" t="str">
        <f>+'LISTA DE INSUMOS'!C758</f>
        <v>%MO</v>
      </c>
      <c r="F2645" s="325">
        <v>0.1</v>
      </c>
      <c r="G2645" s="312">
        <f>I2644</f>
        <v>16372</v>
      </c>
      <c r="H2645" s="322">
        <v>0</v>
      </c>
      <c r="I2645" s="312">
        <f>ROUND((F2645*G2645),0)</f>
        <v>1637</v>
      </c>
      <c r="J2645" s="313"/>
      <c r="K2645" s="323"/>
    </row>
    <row r="2646" spans="2:11" s="317" customFormat="1" ht="24.9" hidden="1" customHeight="1" thickBot="1" x14ac:dyDescent="0.25">
      <c r="B2646" s="653"/>
      <c r="C2646" s="329" t="str">
        <f>+'LISTA DE INSUMOS'!A762</f>
        <v>EQU006</v>
      </c>
      <c r="D2646" s="328" t="str">
        <f>+'LISTA DE INSUMOS'!B762</f>
        <v>Andamio (% mano obra)</v>
      </c>
      <c r="E2646" s="329" t="str">
        <f>+'LISTA DE INSUMOS'!C762</f>
        <v>%MO</v>
      </c>
      <c r="F2646" s="330">
        <v>0.1</v>
      </c>
      <c r="G2646" s="331">
        <f>I2644</f>
        <v>16372</v>
      </c>
      <c r="H2646" s="329">
        <v>0</v>
      </c>
      <c r="I2646" s="331">
        <f>ROUND((F2646*G2646),0)</f>
        <v>1637</v>
      </c>
      <c r="J2646" s="313"/>
      <c r="K2646" s="323"/>
    </row>
    <row r="2647" spans="2:11" ht="1.5" customHeight="1" thickBot="1" x14ac:dyDescent="0.25">
      <c r="B2647" s="200"/>
      <c r="C2647" s="201"/>
      <c r="D2647" s="202"/>
      <c r="E2647" s="201"/>
      <c r="F2647" s="240"/>
      <c r="G2647" s="203"/>
      <c r="H2647" s="249"/>
      <c r="I2647" s="203"/>
      <c r="J2647" s="47"/>
      <c r="K2647" s="143"/>
    </row>
    <row r="2648" spans="2:11" ht="34.5" customHeight="1" x14ac:dyDescent="0.2">
      <c r="B2648" s="117" t="s">
        <v>1773</v>
      </c>
      <c r="C2648" s="117"/>
      <c r="D2648" s="112" t="s">
        <v>1291</v>
      </c>
      <c r="E2648" s="117" t="s">
        <v>1435</v>
      </c>
      <c r="F2648" s="149"/>
      <c r="G2648" s="119">
        <f>SUM(I2649:I2660)</f>
        <v>645248</v>
      </c>
      <c r="H2648" s="120"/>
      <c r="I2648" s="119"/>
      <c r="J2648" s="47"/>
      <c r="K2648" s="143"/>
    </row>
    <row r="2649" spans="2:11" ht="24" customHeight="1" x14ac:dyDescent="0.2">
      <c r="B2649" s="672" t="s">
        <v>1035</v>
      </c>
      <c r="C2649" s="108" t="str">
        <f>+'LISTA DE INSUMOS'!A591</f>
        <v>MAT608</v>
      </c>
      <c r="D2649" s="225" t="str">
        <f>+'LISTA DE INSUMOS'!B591</f>
        <v>Marco metálico en lámina C 20 de 0,90 x 2,05 m, incluye anticorrosivo</v>
      </c>
      <c r="E2649" s="125" t="str">
        <f>+'LISTA DE INSUMOS'!C591</f>
        <v>Un</v>
      </c>
      <c r="F2649" s="159">
        <v>1</v>
      </c>
      <c r="G2649" s="190">
        <f>+'LISTA DE INSUMOS'!E591</f>
        <v>107206.29697865143</v>
      </c>
      <c r="H2649" s="108">
        <v>0</v>
      </c>
      <c r="I2649" s="141">
        <f>ROUND((F2649*G2649),0)</f>
        <v>107206</v>
      </c>
      <c r="J2649" s="47"/>
      <c r="K2649" s="143"/>
    </row>
    <row r="2650" spans="2:11" ht="17.25" customHeight="1" x14ac:dyDescent="0.2">
      <c r="B2650" s="672"/>
      <c r="C2650" s="108" t="str">
        <f>+'LISTA DE INSUMOS'!A37</f>
        <v>MAT008</v>
      </c>
      <c r="D2650" s="139" t="str">
        <f>+'LISTA DE INSUMOS'!B37</f>
        <v>Manija (asa) para puerta</v>
      </c>
      <c r="E2650" s="108" t="str">
        <f>+'LISTA DE INSUMOS'!C37</f>
        <v>Un</v>
      </c>
      <c r="F2650" s="140">
        <v>1</v>
      </c>
      <c r="G2650" s="141">
        <f>+'LISTA DE INSUMOS'!E37</f>
        <v>15900</v>
      </c>
      <c r="H2650" s="108">
        <v>0</v>
      </c>
      <c r="I2650" s="141">
        <f>ROUND((F2650*G2650),0)</f>
        <v>15900</v>
      </c>
      <c r="J2650" s="47"/>
      <c r="K2650" s="143"/>
    </row>
    <row r="2651" spans="2:11" ht="18" customHeight="1" x14ac:dyDescent="0.2">
      <c r="B2651" s="672"/>
      <c r="C2651" s="108" t="str">
        <f>'LISTA DE INSUMOS'!A103</f>
        <v>MAT063</v>
      </c>
      <c r="D2651" s="139" t="str">
        <f>'LISTA DE INSUMOS'!B103</f>
        <v>Marco metálico en lámina C 20 de 1,20 x 2,05 m, incluye anticorrosivo</v>
      </c>
      <c r="E2651" s="108" t="s">
        <v>1435</v>
      </c>
      <c r="F2651" s="140">
        <v>1</v>
      </c>
      <c r="G2651" s="141">
        <f>'LISTA DE INSUMOS'!E103</f>
        <v>217725.90550919206</v>
      </c>
      <c r="H2651" s="108">
        <v>0</v>
      </c>
      <c r="I2651" s="141">
        <f>ROUND((F2651*G2651),0)</f>
        <v>217726</v>
      </c>
      <c r="J2651" s="47"/>
      <c r="K2651" s="143"/>
    </row>
    <row r="2652" spans="2:11" ht="24.9" customHeight="1" x14ac:dyDescent="0.2">
      <c r="B2652" s="672"/>
      <c r="C2652" s="108" t="str">
        <f>+'LISTA DE INSUMOS'!A109</f>
        <v>MAT069</v>
      </c>
      <c r="D2652" s="139" t="str">
        <f>+'LISTA DE INSUMOS'!B109</f>
        <v>Chapa de bola fina de madera Schlage o similar</v>
      </c>
      <c r="E2652" s="108" t="str">
        <f>+'LISTA DE INSUMOS'!C109</f>
        <v>Un</v>
      </c>
      <c r="F2652" s="140">
        <v>1</v>
      </c>
      <c r="G2652" s="141">
        <f>'LISTA DE INSUMOS'!E109</f>
        <v>47795.789999999994</v>
      </c>
      <c r="H2652" s="108">
        <v>0</v>
      </c>
      <c r="I2652" s="141">
        <f>ROUND((F2652*G2652),0)</f>
        <v>47796</v>
      </c>
      <c r="J2652" s="47"/>
      <c r="K2652" s="143"/>
    </row>
    <row r="2653" spans="2:11" ht="24.9" customHeight="1" x14ac:dyDescent="0.2">
      <c r="B2653" s="672"/>
      <c r="C2653" s="108" t="str">
        <f>+'LISTA DE INSUMOS'!A113</f>
        <v>MAT071</v>
      </c>
      <c r="D2653" s="139" t="str">
        <f>+'LISTA DE INSUMOS'!B113</f>
        <v>Bisagra de cobre 3x3"</v>
      </c>
      <c r="E2653" s="108" t="str">
        <f>+'LISTA DE INSUMOS'!C113</f>
        <v>Un</v>
      </c>
      <c r="F2653" s="140">
        <v>3</v>
      </c>
      <c r="G2653" s="141">
        <f>'LISTA DE INSUMOS'!E113</f>
        <v>23337.389999999996</v>
      </c>
      <c r="H2653" s="108">
        <v>0</v>
      </c>
      <c r="I2653" s="141">
        <f>ROUND((F2653*G2653),0)</f>
        <v>70012</v>
      </c>
      <c r="J2653" s="47"/>
      <c r="K2653" s="143"/>
    </row>
    <row r="2654" spans="2:11" ht="24.9" customHeight="1" x14ac:dyDescent="0.2">
      <c r="B2654" s="672"/>
      <c r="C2654" s="108" t="str">
        <f>+'LISTA DE INSUMOS'!A73</f>
        <v>MAT040</v>
      </c>
      <c r="D2654" s="139" t="str">
        <f>+'LISTA DE INSUMOS'!B73</f>
        <v>Barniz intemperie brillante</v>
      </c>
      <c r="E2654" s="108" t="str">
        <f>+'LISTA DE INSUMOS'!C73</f>
        <v>Gl</v>
      </c>
      <c r="F2654" s="140">
        <v>0.22</v>
      </c>
      <c r="G2654" s="141">
        <f>'LISTA DE INSUMOS'!E73</f>
        <v>69711.851420999985</v>
      </c>
      <c r="H2654" s="108">
        <v>1.03</v>
      </c>
      <c r="I2654" s="141">
        <f>ROUND((F2654*G2654*H2654),0)</f>
        <v>15797</v>
      </c>
      <c r="J2654" s="47"/>
      <c r="K2654" s="143"/>
    </row>
    <row r="2655" spans="2:11" ht="24.9" customHeight="1" x14ac:dyDescent="0.2">
      <c r="B2655" s="672"/>
      <c r="C2655" s="108" t="str">
        <f>+'LISTA DE INSUMOS'!A240</f>
        <v>MAT208</v>
      </c>
      <c r="D2655" s="139" t="str">
        <f>+'LISTA DE INSUMOS'!B240</f>
        <v>Tapa poros referencia 7203 o similar</v>
      </c>
      <c r="E2655" s="108" t="str">
        <f>+'LISTA DE INSUMOS'!C240</f>
        <v>Gl</v>
      </c>
      <c r="F2655" s="140">
        <v>4.5999999999999999E-2</v>
      </c>
      <c r="G2655" s="141">
        <f>'LISTA DE INSUMOS'!E240</f>
        <v>56769.192469875597</v>
      </c>
      <c r="H2655" s="108">
        <v>1.03</v>
      </c>
      <c r="I2655" s="141">
        <f>ROUND((F2655*G2655*H2655),0)</f>
        <v>2690</v>
      </c>
      <c r="J2655" s="47"/>
      <c r="K2655" s="143"/>
    </row>
    <row r="2656" spans="2:11" ht="24.9" customHeight="1" x14ac:dyDescent="0.2">
      <c r="B2656" s="672"/>
      <c r="C2656" s="108" t="str">
        <f>+'LISTA DE INSUMOS'!A241</f>
        <v>MAT209</v>
      </c>
      <c r="D2656" s="139" t="str">
        <f>+'LISTA DE INSUMOS'!B241</f>
        <v>Tope para puerta (caucho - resorte)</v>
      </c>
      <c r="E2656" s="108" t="str">
        <f>+'LISTA DE INSUMOS'!C241</f>
        <v>Un</v>
      </c>
      <c r="F2656" s="140">
        <v>1</v>
      </c>
      <c r="G2656" s="141">
        <f>'LISTA DE INSUMOS'!E241</f>
        <v>7994.0173716479994</v>
      </c>
      <c r="H2656" s="108">
        <v>0</v>
      </c>
      <c r="I2656" s="141">
        <f>ROUND((F2656*G2656),0)</f>
        <v>7994</v>
      </c>
      <c r="J2656" s="47"/>
      <c r="K2656" s="143"/>
    </row>
    <row r="2657" spans="1:11" ht="24.9" customHeight="1" thickBot="1" x14ac:dyDescent="0.25">
      <c r="B2657" s="673"/>
      <c r="C2657" s="108" t="str">
        <f>+'LISTA DE INSUMOS'!A153</f>
        <v>MAT112</v>
      </c>
      <c r="D2657" s="139" t="str">
        <f>+'LISTA DE INSUMOS'!B153</f>
        <v>Pintura esmalte para exteriores</v>
      </c>
      <c r="E2657" s="108" t="str">
        <f>+'LISTA DE INSUMOS'!C153</f>
        <v>Gl</v>
      </c>
      <c r="F2657" s="140">
        <v>4.5999999999999999E-2</v>
      </c>
      <c r="G2657" s="141">
        <f>'LISTA DE INSUMOS'!E153</f>
        <v>99769.889999999985</v>
      </c>
      <c r="H2657" s="108">
        <v>1.03</v>
      </c>
      <c r="I2657" s="141">
        <f>ROUND((F2657*G2657*H2657),0)</f>
        <v>4727</v>
      </c>
      <c r="J2657" s="47"/>
      <c r="K2657" s="143"/>
    </row>
    <row r="2658" spans="1:11" ht="24.9" customHeight="1" thickTop="1" thickBot="1" x14ac:dyDescent="0.25">
      <c r="B2658" s="191" t="s">
        <v>1310</v>
      </c>
      <c r="C2658" s="108" t="str">
        <f>+B1459</f>
        <v>ITE162</v>
      </c>
      <c r="D2658" s="139" t="str">
        <f>+D1459</f>
        <v>Mortero 1:4 (producción)</v>
      </c>
      <c r="E2658" s="108" t="str">
        <f>+E1459</f>
        <v>M3</v>
      </c>
      <c r="F2658" s="140">
        <v>0.04</v>
      </c>
      <c r="G2658" s="141">
        <f>G1459</f>
        <v>484026</v>
      </c>
      <c r="H2658" s="108">
        <v>1.05</v>
      </c>
      <c r="I2658" s="141">
        <f>ROUND((F2658*G2658*H2658),0)</f>
        <v>20329</v>
      </c>
      <c r="J2658" s="47"/>
      <c r="K2658" s="143"/>
    </row>
    <row r="2659" spans="1:11" ht="24.9" customHeight="1" thickTop="1" thickBot="1" x14ac:dyDescent="0.25">
      <c r="B2659" s="153" t="s">
        <v>1034</v>
      </c>
      <c r="C2659" s="108" t="str">
        <f>+'LISTA DE INSUMOS'!A18</f>
        <v>MOB015</v>
      </c>
      <c r="D2659" s="139" t="str">
        <f>+'LISTA DE INSUMOS'!B18</f>
        <v>Cuadrilla E 1 Of + 1 Ay (jornal + prestaciones)</v>
      </c>
      <c r="E2659" s="108" t="str">
        <f>+'LISTA DE INSUMOS'!C18</f>
        <v>Día</v>
      </c>
      <c r="F2659" s="140">
        <v>1</v>
      </c>
      <c r="G2659" s="141">
        <f>'LISTA DE INSUMOS'!E18</f>
        <v>245584</v>
      </c>
      <c r="H2659" s="108">
        <f>1/2</f>
        <v>0.5</v>
      </c>
      <c r="I2659" s="141">
        <f>ROUND((F2659*G2659*H2659),0)</f>
        <v>122792</v>
      </c>
      <c r="J2659" s="47"/>
      <c r="K2659" s="143"/>
    </row>
    <row r="2660" spans="1:11" ht="24.9" customHeight="1" thickTop="1" thickBot="1" x14ac:dyDescent="0.25">
      <c r="B2660" s="150" t="s">
        <v>1033</v>
      </c>
      <c r="C2660" s="151" t="str">
        <f>+'LISTA DE INSUMOS'!A758</f>
        <v>EQU002</v>
      </c>
      <c r="D2660" s="146" t="str">
        <f>+'LISTA DE INSUMOS'!B758</f>
        <v>Herramienta menor (% mano obra)</v>
      </c>
      <c r="E2660" s="145" t="str">
        <f>+'LISTA DE INSUMOS'!C758</f>
        <v>%MO</v>
      </c>
      <c r="F2660" s="147">
        <v>0.1</v>
      </c>
      <c r="G2660" s="148">
        <f>I2659</f>
        <v>122792</v>
      </c>
      <c r="H2660" s="145">
        <v>0</v>
      </c>
      <c r="I2660" s="148">
        <f>ROUND((F2660*G2660),0)</f>
        <v>12279</v>
      </c>
      <c r="J2660" s="47"/>
      <c r="K2660" s="143"/>
    </row>
    <row r="2661" spans="1:11" s="317" customFormat="1" ht="24.9" hidden="1" customHeight="1" x14ac:dyDescent="0.2">
      <c r="B2661" s="319" t="s">
        <v>1692</v>
      </c>
      <c r="C2661" s="319"/>
      <c r="D2661" s="320" t="s">
        <v>1865</v>
      </c>
      <c r="E2661" s="319" t="s">
        <v>1435</v>
      </c>
      <c r="F2661" s="321"/>
      <c r="G2661" s="312">
        <f>ROUND(SUM(I2662:I2672),0)</f>
        <v>749000</v>
      </c>
      <c r="H2661" s="322"/>
      <c r="I2661" s="312"/>
      <c r="J2661" s="313"/>
      <c r="K2661" s="323"/>
    </row>
    <row r="2662" spans="1:11" s="317" customFormat="1" ht="24.9" hidden="1" customHeight="1" x14ac:dyDescent="0.2">
      <c r="B2662" s="691" t="s">
        <v>1035</v>
      </c>
      <c r="C2662" s="338" t="str">
        <f>+'LISTA DE INSUMOS'!A159</f>
        <v>MAT114</v>
      </c>
      <c r="D2662" s="368" t="str">
        <f>+'LISTA DE INSUMOS'!B159</f>
        <v>Marco metálico en lámina C 20 de 0,60 x 2,05 m, incluye anticorrosivo</v>
      </c>
      <c r="E2662" s="338" t="str">
        <f>+'LISTA DE INSUMOS'!C159</f>
        <v>Un</v>
      </c>
      <c r="F2662" s="369">
        <v>1</v>
      </c>
      <c r="G2662" s="340">
        <f>'LISTA DE INSUMOS'!E159</f>
        <v>93478.661389921646</v>
      </c>
      <c r="H2662" s="322">
        <v>0</v>
      </c>
      <c r="I2662" s="312">
        <f>ROUND((F2662*G2662),0)</f>
        <v>93479</v>
      </c>
      <c r="J2662" s="313"/>
      <c r="K2662" s="323"/>
    </row>
    <row r="2663" spans="1:11" s="317" customFormat="1" ht="24.9" hidden="1" customHeight="1" x14ac:dyDescent="0.2">
      <c r="B2663" s="691"/>
      <c r="C2663" s="322" t="str">
        <f>+'LISTA DE INSUMOS'!A37</f>
        <v>MAT008</v>
      </c>
      <c r="D2663" s="324" t="str">
        <f>+'LISTA DE INSUMOS'!B37</f>
        <v>Manija (asa) para puerta</v>
      </c>
      <c r="E2663" s="322" t="str">
        <f>+'LISTA DE INSUMOS'!C37</f>
        <v>Un</v>
      </c>
      <c r="F2663" s="325">
        <v>1</v>
      </c>
      <c r="G2663" s="312">
        <f>'LISTA DE INSUMOS'!E37</f>
        <v>15900</v>
      </c>
      <c r="H2663" s="322">
        <v>0</v>
      </c>
      <c r="I2663" s="312">
        <f t="shared" ref="I2663:I2668" si="26">ROUND((F2663*G2663),0)</f>
        <v>15900</v>
      </c>
      <c r="J2663" s="313"/>
      <c r="K2663" s="323"/>
    </row>
    <row r="2664" spans="1:11" s="317" customFormat="1" ht="24.9" hidden="1" customHeight="1" x14ac:dyDescent="0.2">
      <c r="B2664" s="691"/>
      <c r="C2664" s="322" t="str">
        <f>+'LISTA DE INSUMOS'!A373</f>
        <v>MAT366</v>
      </c>
      <c r="D2664" s="324" t="str">
        <f>+'LISTA DE INSUMOS'!B373</f>
        <v>Nave metálica en lamina C 20 de 0,60 x 2,05 m, incluye anticorrosivo</v>
      </c>
      <c r="E2664" s="322" t="str">
        <f>+'LISTA DE INSUMOS'!C373</f>
        <v>Un</v>
      </c>
      <c r="F2664" s="325">
        <v>1</v>
      </c>
      <c r="G2664" s="312">
        <f>'LISTA DE INSUMOS'!E373</f>
        <v>276070.17804788396</v>
      </c>
      <c r="H2664" s="322">
        <v>0</v>
      </c>
      <c r="I2664" s="312">
        <f t="shared" si="26"/>
        <v>276070</v>
      </c>
      <c r="J2664" s="313"/>
      <c r="K2664" s="323"/>
    </row>
    <row r="2665" spans="1:11" s="317" customFormat="1" ht="24.9" hidden="1" customHeight="1" x14ac:dyDescent="0.2">
      <c r="B2665" s="691"/>
      <c r="C2665" s="338" t="str">
        <f>+'LISTA DE INSUMOS'!A114</f>
        <v>MAT072</v>
      </c>
      <c r="D2665" s="339" t="str">
        <f>+'LISTA DE INSUMOS'!B114</f>
        <v>Cerradura YALE Tipo 31610 Izquierda 50mm Sobreponer</v>
      </c>
      <c r="E2665" s="338" t="str">
        <f>+'LISTA DE INSUMOS'!C114</f>
        <v>Un</v>
      </c>
      <c r="F2665" s="369">
        <v>1</v>
      </c>
      <c r="G2665" s="340">
        <f>'LISTA DE INSUMOS'!E114</f>
        <v>149272.97822999998</v>
      </c>
      <c r="H2665" s="322">
        <v>0</v>
      </c>
      <c r="I2665" s="312">
        <f t="shared" si="26"/>
        <v>149273</v>
      </c>
      <c r="J2665" s="313"/>
      <c r="K2665" s="323"/>
    </row>
    <row r="2666" spans="1:11" s="317" customFormat="1" ht="24.9" hidden="1" customHeight="1" x14ac:dyDescent="0.2">
      <c r="B2666" s="691"/>
      <c r="C2666" s="322" t="str">
        <f>+'LISTA DE INSUMOS'!A627</f>
        <v>MAT643</v>
      </c>
      <c r="D2666" s="324" t="str">
        <f>+'LISTA DE INSUMOS'!B627</f>
        <v>Bisagra de hierro para puerta</v>
      </c>
      <c r="E2666" s="322" t="str">
        <f>+'LISTA DE INSUMOS'!C627</f>
        <v>Un</v>
      </c>
      <c r="F2666" s="325">
        <v>3</v>
      </c>
      <c r="G2666" s="312">
        <f>'LISTA DE INSUMOS'!E627</f>
        <v>8441.3465808903002</v>
      </c>
      <c r="H2666" s="322">
        <v>0</v>
      </c>
      <c r="I2666" s="312">
        <f t="shared" si="26"/>
        <v>25324</v>
      </c>
      <c r="J2666" s="313"/>
      <c r="K2666" s="323"/>
    </row>
    <row r="2667" spans="1:11" s="317" customFormat="1" ht="24.9" hidden="1" customHeight="1" x14ac:dyDescent="0.2">
      <c r="B2667" s="691"/>
      <c r="C2667" s="322" t="str">
        <f>+'LISTA DE INSUMOS'!A115</f>
        <v>MAT073</v>
      </c>
      <c r="D2667" s="324" t="str">
        <f>+'LISTA DE INSUMOS'!B115</f>
        <v>Pasador metálico de 3"</v>
      </c>
      <c r="E2667" s="322" t="str">
        <f>+'LISTA DE INSUMOS'!C115</f>
        <v>Un</v>
      </c>
      <c r="F2667" s="325">
        <v>1</v>
      </c>
      <c r="G2667" s="312">
        <f>'LISTA DE INSUMOS'!E115</f>
        <v>10089.089999999998</v>
      </c>
      <c r="H2667" s="322">
        <v>0</v>
      </c>
      <c r="I2667" s="312">
        <f t="shared" si="26"/>
        <v>10089</v>
      </c>
      <c r="J2667" s="313"/>
      <c r="K2667" s="323"/>
    </row>
    <row r="2668" spans="1:11" s="317" customFormat="1" ht="24.9" hidden="1" customHeight="1" x14ac:dyDescent="0.2">
      <c r="B2668" s="691"/>
      <c r="C2668" s="322" t="str">
        <f>+'LISTA DE INSUMOS'!A241</f>
        <v>MAT209</v>
      </c>
      <c r="D2668" s="324" t="str">
        <f>+'LISTA DE INSUMOS'!B241</f>
        <v>Tope para puerta (caucho - resorte)</v>
      </c>
      <c r="E2668" s="322" t="str">
        <f>+'LISTA DE INSUMOS'!C241</f>
        <v>Un</v>
      </c>
      <c r="F2668" s="325">
        <v>1</v>
      </c>
      <c r="G2668" s="312">
        <f>'LISTA DE INSUMOS'!E241</f>
        <v>7994.0173716479994</v>
      </c>
      <c r="H2668" s="322">
        <v>0</v>
      </c>
      <c r="I2668" s="312">
        <f t="shared" si="26"/>
        <v>7994</v>
      </c>
      <c r="J2668" s="313"/>
      <c r="K2668" s="323"/>
    </row>
    <row r="2669" spans="1:11" s="317" customFormat="1" ht="24.9" hidden="1" customHeight="1" thickBot="1" x14ac:dyDescent="0.25">
      <c r="B2669" s="692"/>
      <c r="C2669" s="322" t="str">
        <f>+'LISTA DE INSUMOS'!A153</f>
        <v>MAT112</v>
      </c>
      <c r="D2669" s="324" t="str">
        <f>+'LISTA DE INSUMOS'!B153</f>
        <v>Pintura esmalte para exteriores</v>
      </c>
      <c r="E2669" s="322" t="str">
        <f>+'LISTA DE INSUMOS'!C153</f>
        <v>Gl</v>
      </c>
      <c r="F2669" s="325">
        <v>0.2</v>
      </c>
      <c r="G2669" s="312">
        <f>'LISTA DE INSUMOS'!E153</f>
        <v>99769.889999999985</v>
      </c>
      <c r="H2669" s="322">
        <v>1.03</v>
      </c>
      <c r="I2669" s="312">
        <f>ROUND((F2669*G2669*H2669),0)</f>
        <v>20553</v>
      </c>
      <c r="J2669" s="313"/>
      <c r="K2669" s="323"/>
    </row>
    <row r="2670" spans="1:11" s="317" customFormat="1" ht="24.9" hidden="1" customHeight="1" thickTop="1" thickBot="1" x14ac:dyDescent="0.25">
      <c r="B2670" s="347" t="s">
        <v>1310</v>
      </c>
      <c r="C2670" s="322" t="str">
        <f>+B1459</f>
        <v>ITE162</v>
      </c>
      <c r="D2670" s="324" t="str">
        <f>+D1459</f>
        <v>Mortero 1:4 (producción)</v>
      </c>
      <c r="E2670" s="322" t="str">
        <f>+E1459</f>
        <v>M3</v>
      </c>
      <c r="F2670" s="325">
        <v>0.03</v>
      </c>
      <c r="G2670" s="312">
        <f>+G1459</f>
        <v>484026</v>
      </c>
      <c r="H2670" s="322">
        <v>1.05</v>
      </c>
      <c r="I2670" s="312">
        <f>ROUND((F2670*G2670*H2670),0)</f>
        <v>15247</v>
      </c>
      <c r="J2670" s="313"/>
      <c r="K2670" s="323"/>
    </row>
    <row r="2671" spans="1:11" s="317" customFormat="1" ht="24.9" hidden="1" customHeight="1" thickTop="1" thickBot="1" x14ac:dyDescent="0.25">
      <c r="A2671" s="370"/>
      <c r="B2671" s="363" t="s">
        <v>1034</v>
      </c>
      <c r="C2671" s="322" t="str">
        <f>+'LISTA DE INSUMOS'!A18</f>
        <v>MOB015</v>
      </c>
      <c r="D2671" s="324" t="str">
        <f>+'LISTA DE INSUMOS'!B18</f>
        <v>Cuadrilla E 1 Of + 1 Ay (jornal + prestaciones)</v>
      </c>
      <c r="E2671" s="322" t="str">
        <f>+'LISTA DE INSUMOS'!C18</f>
        <v>Día</v>
      </c>
      <c r="F2671" s="325">
        <v>1</v>
      </c>
      <c r="G2671" s="312">
        <f>'LISTA DE INSUMOS'!E18</f>
        <v>245584</v>
      </c>
      <c r="H2671" s="322">
        <f>1/2</f>
        <v>0.5</v>
      </c>
      <c r="I2671" s="312">
        <f>ROUND((F2671*G2671*H2671),0)</f>
        <v>122792</v>
      </c>
      <c r="J2671" s="313"/>
      <c r="K2671" s="323"/>
    </row>
    <row r="2672" spans="1:11" s="317" customFormat="1" ht="24.9" hidden="1" customHeight="1" thickTop="1" thickBot="1" x14ac:dyDescent="0.25">
      <c r="B2672" s="255" t="s">
        <v>1033</v>
      </c>
      <c r="C2672" s="327" t="str">
        <f>+'LISTA DE INSUMOS'!A758</f>
        <v>EQU002</v>
      </c>
      <c r="D2672" s="328" t="str">
        <f>+'LISTA DE INSUMOS'!B758</f>
        <v>Herramienta menor (% mano obra)</v>
      </c>
      <c r="E2672" s="329" t="str">
        <f>+'LISTA DE INSUMOS'!C758</f>
        <v>%MO</v>
      </c>
      <c r="F2672" s="330">
        <v>0.1</v>
      </c>
      <c r="G2672" s="331">
        <f>I2671</f>
        <v>122792</v>
      </c>
      <c r="H2672" s="329">
        <v>0</v>
      </c>
      <c r="I2672" s="331">
        <f>ROUND((F2672*G2672),0)</f>
        <v>12279</v>
      </c>
      <c r="J2672" s="313"/>
      <c r="K2672" s="323"/>
    </row>
    <row r="2673" spans="2:11" s="317" customFormat="1" ht="24.9" hidden="1" customHeight="1" x14ac:dyDescent="0.2">
      <c r="B2673" s="319" t="s">
        <v>2329</v>
      </c>
      <c r="C2673" s="319"/>
      <c r="D2673" s="320" t="s">
        <v>1866</v>
      </c>
      <c r="E2673" s="319" t="s">
        <v>1435</v>
      </c>
      <c r="F2673" s="321"/>
      <c r="G2673" s="312">
        <f>ROUND(SUM(I2674:I2684),0)</f>
        <v>758393</v>
      </c>
      <c r="H2673" s="322"/>
      <c r="I2673" s="312"/>
      <c r="J2673" s="313"/>
      <c r="K2673" s="323"/>
    </row>
    <row r="2674" spans="2:11" s="317" customFormat="1" ht="24.9" hidden="1" customHeight="1" x14ac:dyDescent="0.2">
      <c r="B2674" s="691" t="s">
        <v>1035</v>
      </c>
      <c r="C2674" s="322" t="str">
        <f>+'LISTA DE INSUMOS'!A37</f>
        <v>MAT008</v>
      </c>
      <c r="D2674" s="324" t="str">
        <f>+'LISTA DE INSUMOS'!B37</f>
        <v>Manija (asa) para puerta</v>
      </c>
      <c r="E2674" s="322" t="str">
        <f>+'LISTA DE INSUMOS'!C37</f>
        <v>Un</v>
      </c>
      <c r="F2674" s="325">
        <v>1</v>
      </c>
      <c r="G2674" s="312">
        <f>'LISTA DE INSUMOS'!E37</f>
        <v>15900</v>
      </c>
      <c r="H2674" s="322">
        <v>0</v>
      </c>
      <c r="I2674" s="312">
        <f>ROUND((F2674*G2674),0)</f>
        <v>15900</v>
      </c>
      <c r="J2674" s="313"/>
      <c r="K2674" s="323"/>
    </row>
    <row r="2675" spans="2:11" s="317" customFormat="1" ht="38.25" hidden="1" customHeight="1" x14ac:dyDescent="0.2">
      <c r="B2675" s="691"/>
      <c r="C2675" s="338" t="str">
        <f>+'LISTA DE INSUMOS'!A107</f>
        <v>MAT067</v>
      </c>
      <c r="D2675" s="368" t="str">
        <f>+'LISTA DE INSUMOS'!B107</f>
        <v>Marco metálico en lámina C 20 de 0,80 x 2,05 m, incluye anticorrosivo</v>
      </c>
      <c r="E2675" s="338" t="str">
        <f>+'LISTA DE INSUMOS'!C107</f>
        <v>Un</v>
      </c>
      <c r="F2675" s="369">
        <v>1</v>
      </c>
      <c r="G2675" s="340">
        <f>'LISTA DE INSUMOS'!E107</f>
        <v>118972.8417689912</v>
      </c>
      <c r="H2675" s="322">
        <v>0</v>
      </c>
      <c r="I2675" s="312">
        <f>ROUND((F2675*G2675),0)</f>
        <v>118973</v>
      </c>
      <c r="J2675" s="313"/>
      <c r="K2675" s="323"/>
    </row>
    <row r="2676" spans="2:11" s="317" customFormat="1" ht="24.9" hidden="1" customHeight="1" x14ac:dyDescent="0.2">
      <c r="B2676" s="691"/>
      <c r="C2676" s="322" t="str">
        <f>+'LISTA DE INSUMOS'!A592</f>
        <v>MAT609</v>
      </c>
      <c r="D2676" s="368" t="str">
        <f>+'LISTA DE INSUMOS'!B592</f>
        <v>Nave metálica en lamina C 20 de 0,80 x 2,05 m, incluye anticorrosivo</v>
      </c>
      <c r="E2676" s="338" t="str">
        <f>+'LISTA DE INSUMOS'!C592</f>
        <v>Un</v>
      </c>
      <c r="F2676" s="369">
        <v>1</v>
      </c>
      <c r="G2676" s="340">
        <f>'LISTA DE INSUMOS'!E592</f>
        <v>247151.86260702959</v>
      </c>
      <c r="H2676" s="322">
        <v>0</v>
      </c>
      <c r="I2676" s="312">
        <f>ROUND((F2676*G2676),0)</f>
        <v>247152</v>
      </c>
      <c r="J2676" s="313"/>
      <c r="K2676" s="323"/>
    </row>
    <row r="2677" spans="2:11" s="317" customFormat="1" ht="24.9" hidden="1" customHeight="1" x14ac:dyDescent="0.2">
      <c r="B2677" s="691"/>
      <c r="C2677" s="322" t="str">
        <f>+'LISTA DE INSUMOS'!A114</f>
        <v>MAT072</v>
      </c>
      <c r="D2677" s="324" t="str">
        <f>+'LISTA DE INSUMOS'!B114</f>
        <v>Cerradura YALE Tipo 31610 Izquierda 50mm Sobreponer</v>
      </c>
      <c r="E2677" s="322" t="str">
        <f>+'LISTA DE INSUMOS'!C114</f>
        <v>Un</v>
      </c>
      <c r="F2677" s="325">
        <v>1</v>
      </c>
      <c r="G2677" s="312">
        <f>'LISTA DE INSUMOS'!E114</f>
        <v>149272.97822999998</v>
      </c>
      <c r="H2677" s="322">
        <v>0</v>
      </c>
      <c r="I2677" s="312">
        <f>ROUND((F2677*G2677),0)</f>
        <v>149273</v>
      </c>
      <c r="J2677" s="313"/>
      <c r="K2677" s="323"/>
    </row>
    <row r="2678" spans="2:11" s="317" customFormat="1" ht="24.9" hidden="1" customHeight="1" x14ac:dyDescent="0.2">
      <c r="B2678" s="691"/>
      <c r="C2678" s="322" t="str">
        <f>+'LISTA DE INSUMOS'!A627</f>
        <v>MAT643</v>
      </c>
      <c r="D2678" s="324" t="str">
        <f>+'LISTA DE INSUMOS'!B627</f>
        <v>Bisagra de hierro para puerta</v>
      </c>
      <c r="E2678" s="322" t="str">
        <f>+'LISTA DE INSUMOS'!C627</f>
        <v>Un</v>
      </c>
      <c r="F2678" s="325">
        <v>3</v>
      </c>
      <c r="G2678" s="312">
        <f>'LISTA DE INSUMOS'!E627</f>
        <v>8441.3465808903002</v>
      </c>
      <c r="H2678" s="322">
        <v>0</v>
      </c>
      <c r="I2678" s="312">
        <f>ROUND((F2678*G2678),0)</f>
        <v>25324</v>
      </c>
      <c r="J2678" s="313"/>
      <c r="K2678" s="323"/>
    </row>
    <row r="2679" spans="2:11" s="317" customFormat="1" ht="24.9" hidden="1" customHeight="1" x14ac:dyDescent="0.2">
      <c r="B2679" s="691"/>
      <c r="C2679" s="322" t="str">
        <f>+'LISTA DE INSUMOS'!A153</f>
        <v>MAT112</v>
      </c>
      <c r="D2679" s="324" t="str">
        <f>+'LISTA DE INSUMOS'!B153</f>
        <v>Pintura esmalte para exteriores</v>
      </c>
      <c r="E2679" s="322" t="str">
        <f>+'LISTA DE INSUMOS'!C153</f>
        <v>Gl</v>
      </c>
      <c r="F2679" s="325">
        <v>0.3</v>
      </c>
      <c r="G2679" s="312">
        <f>'LISTA DE INSUMOS'!E153</f>
        <v>99769.889999999985</v>
      </c>
      <c r="H2679" s="322">
        <v>1.03</v>
      </c>
      <c r="I2679" s="312">
        <f>ROUND((F2679*G2679*H2679),0)</f>
        <v>30829</v>
      </c>
      <c r="J2679" s="313"/>
      <c r="K2679" s="323"/>
    </row>
    <row r="2680" spans="2:11" s="317" customFormat="1" ht="24.9" hidden="1" customHeight="1" x14ac:dyDescent="0.2">
      <c r="B2680" s="691"/>
      <c r="C2680" s="322" t="str">
        <f>+'LISTA DE INSUMOS'!A115</f>
        <v>MAT073</v>
      </c>
      <c r="D2680" s="324" t="str">
        <f>+'LISTA DE INSUMOS'!B115</f>
        <v>Pasador metálico de 3"</v>
      </c>
      <c r="E2680" s="322" t="str">
        <f>+'LISTA DE INSUMOS'!C115</f>
        <v>Un</v>
      </c>
      <c r="F2680" s="325">
        <v>1</v>
      </c>
      <c r="G2680" s="312">
        <f>'LISTA DE INSUMOS'!E115</f>
        <v>10089.089999999998</v>
      </c>
      <c r="H2680" s="322">
        <v>0</v>
      </c>
      <c r="I2680" s="312">
        <f>ROUND((F2680*G2680),0)</f>
        <v>10089</v>
      </c>
      <c r="J2680" s="313"/>
      <c r="K2680" s="323"/>
    </row>
    <row r="2681" spans="2:11" s="317" customFormat="1" ht="24.9" hidden="1" customHeight="1" thickBot="1" x14ac:dyDescent="0.25">
      <c r="B2681" s="692"/>
      <c r="C2681" s="322" t="str">
        <f>+'LISTA DE INSUMOS'!A241</f>
        <v>MAT209</v>
      </c>
      <c r="D2681" s="324" t="str">
        <f>+'LISTA DE INSUMOS'!B241</f>
        <v>Tope para puerta (caucho - resorte)</v>
      </c>
      <c r="E2681" s="322" t="str">
        <f>+'LISTA DE INSUMOS'!C241</f>
        <v>Un</v>
      </c>
      <c r="F2681" s="325">
        <v>1</v>
      </c>
      <c r="G2681" s="312">
        <f>'LISTA DE INSUMOS'!E241</f>
        <v>7994.0173716479994</v>
      </c>
      <c r="H2681" s="322">
        <v>0</v>
      </c>
      <c r="I2681" s="312">
        <f>ROUND((F2681*G2681),0)</f>
        <v>7994</v>
      </c>
      <c r="J2681" s="313"/>
      <c r="K2681" s="323"/>
    </row>
    <row r="2682" spans="2:11" s="317" customFormat="1" ht="24.9" hidden="1" customHeight="1" thickTop="1" thickBot="1" x14ac:dyDescent="0.25">
      <c r="B2682" s="347" t="s">
        <v>1310</v>
      </c>
      <c r="C2682" s="322" t="str">
        <f>+B1459</f>
        <v>ITE162</v>
      </c>
      <c r="D2682" s="324" t="str">
        <f>+D1459</f>
        <v>Mortero 1:4 (producción)</v>
      </c>
      <c r="E2682" s="322" t="str">
        <f>+E1459</f>
        <v>M3</v>
      </c>
      <c r="F2682" s="325">
        <v>3.5000000000000003E-2</v>
      </c>
      <c r="G2682" s="312">
        <f>+G1459</f>
        <v>484026</v>
      </c>
      <c r="H2682" s="322">
        <v>1.05</v>
      </c>
      <c r="I2682" s="312">
        <f>ROUND((F2682*G2682*H2682),0)</f>
        <v>17788</v>
      </c>
      <c r="J2682" s="313"/>
      <c r="K2682" s="323"/>
    </row>
    <row r="2683" spans="2:11" s="317" customFormat="1" ht="24.9" hidden="1" customHeight="1" thickTop="1" thickBot="1" x14ac:dyDescent="0.25">
      <c r="B2683" s="363" t="s">
        <v>1034</v>
      </c>
      <c r="C2683" s="322" t="str">
        <f>+'LISTA DE INSUMOS'!A18</f>
        <v>MOB015</v>
      </c>
      <c r="D2683" s="324" t="str">
        <f>+'LISTA DE INSUMOS'!B18</f>
        <v>Cuadrilla E 1 Of + 1 Ay (jornal + prestaciones)</v>
      </c>
      <c r="E2683" s="322" t="str">
        <f>+'LISTA DE INSUMOS'!C18</f>
        <v>Día</v>
      </c>
      <c r="F2683" s="332">
        <v>1</v>
      </c>
      <c r="G2683" s="312">
        <f>'LISTA DE INSUMOS'!E18</f>
        <v>245584</v>
      </c>
      <c r="H2683" s="322">
        <f>1/2</f>
        <v>0.5</v>
      </c>
      <c r="I2683" s="312">
        <f>ROUND((F2683*G2683*H2683),0)</f>
        <v>122792</v>
      </c>
      <c r="J2683" s="313"/>
      <c r="K2683" s="323"/>
    </row>
    <row r="2684" spans="2:11" s="317" customFormat="1" ht="24.9" hidden="1" customHeight="1" thickTop="1" thickBot="1" x14ac:dyDescent="0.25">
      <c r="B2684" s="255" t="s">
        <v>1033</v>
      </c>
      <c r="C2684" s="329" t="str">
        <f>+'LISTA DE INSUMOS'!A758</f>
        <v>EQU002</v>
      </c>
      <c r="D2684" s="328" t="str">
        <f>+'LISTA DE INSUMOS'!B758</f>
        <v>Herramienta menor (% mano obra)</v>
      </c>
      <c r="E2684" s="329" t="str">
        <f>+'LISTA DE INSUMOS'!C758</f>
        <v>%MO</v>
      </c>
      <c r="F2684" s="330">
        <v>0.1</v>
      </c>
      <c r="G2684" s="331">
        <f>I2683</f>
        <v>122792</v>
      </c>
      <c r="H2684" s="329">
        <v>0</v>
      </c>
      <c r="I2684" s="331">
        <f>ROUND((F2684*G2684),0)</f>
        <v>12279</v>
      </c>
      <c r="J2684" s="313"/>
      <c r="K2684" s="323"/>
    </row>
    <row r="2685" spans="2:11" s="317" customFormat="1" ht="24.9" hidden="1" customHeight="1" x14ac:dyDescent="0.2">
      <c r="B2685" s="319" t="s">
        <v>2330</v>
      </c>
      <c r="C2685" s="319"/>
      <c r="D2685" s="320" t="s">
        <v>1867</v>
      </c>
      <c r="E2685" s="319" t="s">
        <v>1435</v>
      </c>
      <c r="F2685" s="332"/>
      <c r="G2685" s="312">
        <f>ROUND(SUM(I2686:I2696),0)</f>
        <v>845020</v>
      </c>
      <c r="H2685" s="322"/>
      <c r="I2685" s="312"/>
      <c r="J2685" s="313"/>
      <c r="K2685" s="323"/>
    </row>
    <row r="2686" spans="2:11" s="317" customFormat="1" ht="24.9" hidden="1" customHeight="1" x14ac:dyDescent="0.2">
      <c r="B2686" s="691" t="s">
        <v>1035</v>
      </c>
      <c r="C2686" s="322" t="str">
        <f>+'LISTA DE INSUMOS'!A37</f>
        <v>MAT008</v>
      </c>
      <c r="D2686" s="324" t="str">
        <f>+'LISTA DE INSUMOS'!B37</f>
        <v>Manija (asa) para puerta</v>
      </c>
      <c r="E2686" s="322" t="str">
        <f>+'LISTA DE INSUMOS'!C37</f>
        <v>Un</v>
      </c>
      <c r="F2686" s="325">
        <v>1</v>
      </c>
      <c r="G2686" s="312">
        <f>'LISTA DE INSUMOS'!E37</f>
        <v>15900</v>
      </c>
      <c r="H2686" s="322">
        <v>0</v>
      </c>
      <c r="I2686" s="312">
        <f>ROUND((F2686*G2686),0)</f>
        <v>15900</v>
      </c>
      <c r="J2686" s="313"/>
      <c r="K2686" s="323"/>
    </row>
    <row r="2687" spans="2:11" s="317" customFormat="1" ht="24.9" hidden="1" customHeight="1" x14ac:dyDescent="0.2">
      <c r="B2687" s="691"/>
      <c r="C2687" s="322" t="str">
        <f>+'LISTA DE INSUMOS'!A591</f>
        <v>MAT608</v>
      </c>
      <c r="D2687" s="368" t="str">
        <f>+'LISTA DE INSUMOS'!B591</f>
        <v>Marco metálico en lámina C 20 de 0,90 x 2,05 m, incluye anticorrosivo</v>
      </c>
      <c r="E2687" s="338" t="str">
        <f>+'LISTA DE INSUMOS'!C591</f>
        <v>Un</v>
      </c>
      <c r="F2687" s="369">
        <v>1</v>
      </c>
      <c r="G2687" s="340">
        <f>'LISTA DE INSUMOS'!E591</f>
        <v>107206.29697865143</v>
      </c>
      <c r="H2687" s="322">
        <v>0</v>
      </c>
      <c r="I2687" s="312">
        <f>ROUND((F2687*G2687),0)</f>
        <v>107206</v>
      </c>
      <c r="J2687" s="313"/>
      <c r="K2687" s="323"/>
    </row>
    <row r="2688" spans="2:11" s="317" customFormat="1" ht="24.9" hidden="1" customHeight="1" x14ac:dyDescent="0.2">
      <c r="B2688" s="691"/>
      <c r="C2688" s="322" t="str">
        <f>+'LISTA DE INSUMOS'!A108</f>
        <v>MAT068</v>
      </c>
      <c r="D2688" s="324" t="str">
        <f>+'LISTA DE INSUMOS'!B108</f>
        <v>Nave metálica en lamina C 20 de 0,90 x 2,05 m, incluye anticorrosivo</v>
      </c>
      <c r="E2688" s="322" t="str">
        <f>+'LISTA DE INSUMOS'!C108</f>
        <v>Un</v>
      </c>
      <c r="F2688" s="325">
        <v>1</v>
      </c>
      <c r="G2688" s="312">
        <f>'LISTA DE INSUMOS'!E108</f>
        <v>339922.40505426057</v>
      </c>
      <c r="H2688" s="322">
        <v>0</v>
      </c>
      <c r="I2688" s="312">
        <f>ROUND((F2688*G2688),0)</f>
        <v>339922</v>
      </c>
      <c r="J2688" s="313"/>
      <c r="K2688" s="323"/>
    </row>
    <row r="2689" spans="2:11" s="317" customFormat="1" ht="24.9" hidden="1" customHeight="1" x14ac:dyDescent="0.2">
      <c r="B2689" s="691"/>
      <c r="C2689" s="322" t="str">
        <f>+'LISTA DE INSUMOS'!A114</f>
        <v>MAT072</v>
      </c>
      <c r="D2689" s="324" t="str">
        <f>+'LISTA DE INSUMOS'!B114</f>
        <v>Cerradura YALE Tipo 31610 Izquierda 50mm Sobreponer</v>
      </c>
      <c r="E2689" s="322" t="str">
        <f>+'LISTA DE INSUMOS'!C114</f>
        <v>Un</v>
      </c>
      <c r="F2689" s="325">
        <v>1</v>
      </c>
      <c r="G2689" s="312">
        <f>'LISTA DE INSUMOS'!E114</f>
        <v>149272.97822999998</v>
      </c>
      <c r="H2689" s="322">
        <v>0</v>
      </c>
      <c r="I2689" s="312">
        <f>ROUND((F2689*G2689),0)</f>
        <v>149273</v>
      </c>
      <c r="J2689" s="313"/>
      <c r="K2689" s="323"/>
    </row>
    <row r="2690" spans="2:11" s="317" customFormat="1" ht="24.9" hidden="1" customHeight="1" x14ac:dyDescent="0.2">
      <c r="B2690" s="691"/>
      <c r="C2690" s="322" t="str">
        <f>+'LISTA DE INSUMOS'!A627</f>
        <v>MAT643</v>
      </c>
      <c r="D2690" s="324" t="str">
        <f>+'LISTA DE INSUMOS'!B627</f>
        <v>Bisagra de hierro para puerta</v>
      </c>
      <c r="E2690" s="322" t="str">
        <f>+'LISTA DE INSUMOS'!C627</f>
        <v>Un</v>
      </c>
      <c r="F2690" s="325">
        <v>3</v>
      </c>
      <c r="G2690" s="312">
        <f>+'LISTA DE INSUMOS'!E627</f>
        <v>8441.3465808903002</v>
      </c>
      <c r="H2690" s="322">
        <v>0</v>
      </c>
      <c r="I2690" s="312">
        <f>ROUND((F2690*G2690),0)</f>
        <v>25324</v>
      </c>
      <c r="J2690" s="313"/>
      <c r="K2690" s="323"/>
    </row>
    <row r="2691" spans="2:11" s="317" customFormat="1" ht="24.9" hidden="1" customHeight="1" x14ac:dyDescent="0.2">
      <c r="B2691" s="691"/>
      <c r="C2691" s="322" t="str">
        <f>+'LISTA DE INSUMOS'!A153</f>
        <v>MAT112</v>
      </c>
      <c r="D2691" s="324" t="str">
        <f>+'LISTA DE INSUMOS'!B153</f>
        <v>Pintura esmalte para exteriores</v>
      </c>
      <c r="E2691" s="322" t="str">
        <f>+'LISTA DE INSUMOS'!C153</f>
        <v>Gl</v>
      </c>
      <c r="F2691" s="325">
        <v>0.33</v>
      </c>
      <c r="G2691" s="312">
        <f>'LISTA DE INSUMOS'!E153</f>
        <v>99769.889999999985</v>
      </c>
      <c r="H2691" s="322">
        <v>1.03</v>
      </c>
      <c r="I2691" s="312">
        <f>ROUND((F2691*G2691*H2691),0)</f>
        <v>33912</v>
      </c>
      <c r="J2691" s="313"/>
      <c r="K2691" s="323"/>
    </row>
    <row r="2692" spans="2:11" s="317" customFormat="1" ht="30" hidden="1" customHeight="1" x14ac:dyDescent="0.2">
      <c r="B2692" s="691"/>
      <c r="C2692" s="322" t="str">
        <f>+'LISTA DE INSUMOS'!A115</f>
        <v>MAT073</v>
      </c>
      <c r="D2692" s="324" t="str">
        <f>+'LISTA DE INSUMOS'!B115</f>
        <v>Pasador metálico de 3"</v>
      </c>
      <c r="E2692" s="322" t="str">
        <f>+'LISTA DE INSUMOS'!C115</f>
        <v>Un</v>
      </c>
      <c r="F2692" s="325">
        <v>1</v>
      </c>
      <c r="G2692" s="312">
        <f>'LISTA DE INSUMOS'!E115</f>
        <v>10089.089999999998</v>
      </c>
      <c r="H2692" s="322">
        <v>0</v>
      </c>
      <c r="I2692" s="312">
        <f>ROUND((F2692*G2692),0)</f>
        <v>10089</v>
      </c>
      <c r="J2692" s="313"/>
      <c r="K2692" s="323"/>
    </row>
    <row r="2693" spans="2:11" s="317" customFormat="1" ht="30" hidden="1" customHeight="1" thickBot="1" x14ac:dyDescent="0.25">
      <c r="B2693" s="692"/>
      <c r="C2693" s="322" t="str">
        <f>+'LISTA DE INSUMOS'!A241</f>
        <v>MAT209</v>
      </c>
      <c r="D2693" s="324" t="str">
        <f>+'LISTA DE INSUMOS'!B241</f>
        <v>Tope para puerta (caucho - resorte)</v>
      </c>
      <c r="E2693" s="322" t="str">
        <f>+'LISTA DE INSUMOS'!C241</f>
        <v>Un</v>
      </c>
      <c r="F2693" s="325">
        <v>1</v>
      </c>
      <c r="G2693" s="312">
        <f>'LISTA DE INSUMOS'!E241</f>
        <v>7994.0173716479994</v>
      </c>
      <c r="H2693" s="322">
        <v>0</v>
      </c>
      <c r="I2693" s="312">
        <f>ROUND((F2693*G2693),0)</f>
        <v>7994</v>
      </c>
      <c r="J2693" s="313"/>
      <c r="K2693" s="323"/>
    </row>
    <row r="2694" spans="2:11" s="317" customFormat="1" ht="30" hidden="1" customHeight="1" thickTop="1" thickBot="1" x14ac:dyDescent="0.25">
      <c r="B2694" s="347" t="s">
        <v>1310</v>
      </c>
      <c r="C2694" s="322" t="str">
        <f>+B1459</f>
        <v>ITE162</v>
      </c>
      <c r="D2694" s="324" t="str">
        <f>+D1459</f>
        <v>Mortero 1:4 (producción)</v>
      </c>
      <c r="E2694" s="322" t="str">
        <f>+E1459</f>
        <v>M3</v>
      </c>
      <c r="F2694" s="325">
        <v>0.04</v>
      </c>
      <c r="G2694" s="312">
        <f>+G1459</f>
        <v>484026</v>
      </c>
      <c r="H2694" s="322">
        <v>1.05</v>
      </c>
      <c r="I2694" s="312">
        <f>ROUND((F2694*G2694*H2694),0)</f>
        <v>20329</v>
      </c>
      <c r="J2694" s="313"/>
      <c r="K2694" s="323"/>
    </row>
    <row r="2695" spans="2:11" s="317" customFormat="1" ht="24.9" hidden="1" customHeight="1" thickTop="1" thickBot="1" x14ac:dyDescent="0.25">
      <c r="B2695" s="363" t="s">
        <v>1034</v>
      </c>
      <c r="C2695" s="322" t="str">
        <f>+'LISTA DE INSUMOS'!A18</f>
        <v>MOB015</v>
      </c>
      <c r="D2695" s="324" t="str">
        <f>+'LISTA DE INSUMOS'!B18</f>
        <v>Cuadrilla E 1 Of + 1 Ay (jornal + prestaciones)</v>
      </c>
      <c r="E2695" s="322" t="str">
        <f>+'LISTA DE INSUMOS'!C18</f>
        <v>Día</v>
      </c>
      <c r="F2695" s="325">
        <v>1</v>
      </c>
      <c r="G2695" s="312">
        <f>'LISTA DE INSUMOS'!E18</f>
        <v>245584</v>
      </c>
      <c r="H2695" s="322">
        <f>1/2</f>
        <v>0.5</v>
      </c>
      <c r="I2695" s="312">
        <f>ROUND((F2695*G2695*H2695),0)</f>
        <v>122792</v>
      </c>
      <c r="J2695" s="313"/>
      <c r="K2695" s="323"/>
    </row>
    <row r="2696" spans="2:11" s="317" customFormat="1" ht="24.9" hidden="1" customHeight="1" thickTop="1" thickBot="1" x14ac:dyDescent="0.25">
      <c r="B2696" s="255" t="s">
        <v>1033</v>
      </c>
      <c r="C2696" s="327" t="str">
        <f>+'LISTA DE INSUMOS'!A758</f>
        <v>EQU002</v>
      </c>
      <c r="D2696" s="328" t="str">
        <f>+'LISTA DE INSUMOS'!B758</f>
        <v>Herramienta menor (% mano obra)</v>
      </c>
      <c r="E2696" s="329" t="str">
        <f>+'LISTA DE INSUMOS'!C758</f>
        <v>%MO</v>
      </c>
      <c r="F2696" s="330">
        <v>0.1</v>
      </c>
      <c r="G2696" s="331">
        <f>I2695</f>
        <v>122792</v>
      </c>
      <c r="H2696" s="329">
        <v>0</v>
      </c>
      <c r="I2696" s="331">
        <f>ROUND((F2696*G2696),0)</f>
        <v>12279</v>
      </c>
      <c r="J2696" s="313"/>
      <c r="K2696" s="323"/>
    </row>
    <row r="2697" spans="2:11" ht="24.9" customHeight="1" x14ac:dyDescent="0.2">
      <c r="B2697" s="117" t="s">
        <v>1825</v>
      </c>
      <c r="C2697" s="117"/>
      <c r="D2697" s="112" t="s">
        <v>1868</v>
      </c>
      <c r="E2697" s="117" t="s">
        <v>1435</v>
      </c>
      <c r="F2697" s="118"/>
      <c r="G2697" s="119">
        <f>ROUND(SUM(I2698:I2708),0)</f>
        <v>897958</v>
      </c>
      <c r="H2697" s="120"/>
      <c r="I2697" s="119"/>
      <c r="J2697" s="47"/>
      <c r="K2697" s="143"/>
    </row>
    <row r="2698" spans="2:11" ht="24.9" customHeight="1" x14ac:dyDescent="0.2">
      <c r="B2698" s="672" t="s">
        <v>1035</v>
      </c>
      <c r="C2698" s="108" t="str">
        <f>+'LISTA DE INSUMOS'!A37</f>
        <v>MAT008</v>
      </c>
      <c r="D2698" s="139" t="str">
        <f>+'LISTA DE INSUMOS'!B37</f>
        <v>Manija (asa) para puerta</v>
      </c>
      <c r="E2698" s="108" t="str">
        <f>+'LISTA DE INSUMOS'!C37</f>
        <v>Un</v>
      </c>
      <c r="F2698" s="140">
        <v>1</v>
      </c>
      <c r="G2698" s="141">
        <f>'LISTA DE INSUMOS'!E37</f>
        <v>15900</v>
      </c>
      <c r="H2698" s="108">
        <v>0</v>
      </c>
      <c r="I2698" s="141">
        <f t="shared" ref="I2698:I2703" si="27">ROUND((F2698*G2698),0)</f>
        <v>15900</v>
      </c>
      <c r="J2698" s="47"/>
      <c r="K2698" s="143"/>
    </row>
    <row r="2699" spans="2:11" ht="24.75" customHeight="1" x14ac:dyDescent="0.2">
      <c r="B2699" s="672"/>
      <c r="C2699" s="108" t="str">
        <f>+'LISTA DE INSUMOS'!A593</f>
        <v>MAT610</v>
      </c>
      <c r="D2699" s="225" t="str">
        <f>+'LISTA DE INSUMOS'!B593</f>
        <v>Marco metálico en lámina C 20 de 1 x 2,05 m, incluye anticorrosivo</v>
      </c>
      <c r="E2699" s="125" t="str">
        <f>+'LISTA DE INSUMOS'!C593</f>
        <v>Un</v>
      </c>
      <c r="F2699" s="159">
        <v>1</v>
      </c>
      <c r="G2699" s="170">
        <f>'LISTA DE INSUMOS'!E593</f>
        <v>153103.03574135789</v>
      </c>
      <c r="H2699" s="108">
        <v>0</v>
      </c>
      <c r="I2699" s="141">
        <f t="shared" si="27"/>
        <v>153103</v>
      </c>
      <c r="J2699" s="47"/>
      <c r="K2699" s="143"/>
    </row>
    <row r="2700" spans="2:11" ht="24.75" customHeight="1" x14ac:dyDescent="0.2">
      <c r="B2700" s="672"/>
      <c r="C2700" s="108" t="str">
        <f>+'LISTA DE INSUMOS'!A594</f>
        <v>MAT611</v>
      </c>
      <c r="D2700" s="225" t="str">
        <f>+'LISTA DE INSUMOS'!B594</f>
        <v>Nave metálica en lamina C 20 de 1 x 2,05 m, incluye anticorrosivo</v>
      </c>
      <c r="E2700" s="125" t="str">
        <f>+'LISTA DE INSUMOS'!C594</f>
        <v>Un</v>
      </c>
      <c r="F2700" s="159">
        <v>1</v>
      </c>
      <c r="G2700" s="170">
        <f>'LISTA DE INSUMOS'!E594</f>
        <v>341338.64293964196</v>
      </c>
      <c r="H2700" s="108">
        <v>0</v>
      </c>
      <c r="I2700" s="141">
        <f t="shared" si="27"/>
        <v>341339</v>
      </c>
      <c r="J2700" s="47"/>
      <c r="K2700" s="143"/>
    </row>
    <row r="2701" spans="2:11" ht="24.75" customHeight="1" x14ac:dyDescent="0.2">
      <c r="B2701" s="672"/>
      <c r="C2701" s="108" t="str">
        <f>+'LISTA DE INSUMOS'!A114</f>
        <v>MAT072</v>
      </c>
      <c r="D2701" s="139" t="str">
        <f>+'LISTA DE INSUMOS'!B114</f>
        <v>Cerradura YALE Tipo 31610 Izquierda 50mm Sobreponer</v>
      </c>
      <c r="E2701" s="108" t="str">
        <f>+'LISTA DE INSUMOS'!C114</f>
        <v>Un</v>
      </c>
      <c r="F2701" s="140">
        <v>1</v>
      </c>
      <c r="G2701" s="141">
        <f>'LISTA DE INSUMOS'!E114</f>
        <v>149272.97822999998</v>
      </c>
      <c r="H2701" s="108">
        <v>0</v>
      </c>
      <c r="I2701" s="141">
        <f t="shared" si="27"/>
        <v>149273</v>
      </c>
      <c r="J2701" s="47"/>
      <c r="K2701" s="143"/>
    </row>
    <row r="2702" spans="2:11" ht="24.75" customHeight="1" x14ac:dyDescent="0.2">
      <c r="B2702" s="672"/>
      <c r="C2702" s="108" t="str">
        <f>+'LISTA DE INSUMOS'!A627</f>
        <v>MAT643</v>
      </c>
      <c r="D2702" s="139" t="str">
        <f>+'LISTA DE INSUMOS'!B627</f>
        <v>Bisagra de hierro para puerta</v>
      </c>
      <c r="E2702" s="108" t="str">
        <f>+'LISTA DE INSUMOS'!C627</f>
        <v>Un</v>
      </c>
      <c r="F2702" s="140">
        <v>3</v>
      </c>
      <c r="G2702" s="141">
        <f>+'LISTA DE INSUMOS'!E627</f>
        <v>8441.3465808903002</v>
      </c>
      <c r="H2702" s="108">
        <v>0</v>
      </c>
      <c r="I2702" s="141">
        <f t="shared" si="27"/>
        <v>25324</v>
      </c>
      <c r="J2702" s="47"/>
      <c r="K2702" s="143"/>
    </row>
    <row r="2703" spans="2:11" ht="24.75" customHeight="1" x14ac:dyDescent="0.2">
      <c r="B2703" s="672"/>
      <c r="C2703" s="108" t="str">
        <f>+'LISTA DE INSUMOS'!A115</f>
        <v>MAT073</v>
      </c>
      <c r="D2703" s="139" t="str">
        <f>+'LISTA DE INSUMOS'!B115</f>
        <v>Pasador metálico de 3"</v>
      </c>
      <c r="E2703" s="108" t="str">
        <f>+'LISTA DE INSUMOS'!C115</f>
        <v>Un</v>
      </c>
      <c r="F2703" s="140">
        <v>1</v>
      </c>
      <c r="G2703" s="141">
        <f>'LISTA DE INSUMOS'!E115</f>
        <v>10089.089999999998</v>
      </c>
      <c r="H2703" s="108">
        <v>0</v>
      </c>
      <c r="I2703" s="141">
        <f t="shared" si="27"/>
        <v>10089</v>
      </c>
      <c r="J2703" s="47"/>
      <c r="K2703" s="143"/>
    </row>
    <row r="2704" spans="2:11" ht="24.75" customHeight="1" x14ac:dyDescent="0.2">
      <c r="B2704" s="672"/>
      <c r="C2704" s="108" t="str">
        <f>+'LISTA DE INSUMOS'!A153</f>
        <v>MAT112</v>
      </c>
      <c r="D2704" s="139" t="str">
        <f>+'LISTA DE INSUMOS'!B153</f>
        <v>Pintura esmalte para exteriores</v>
      </c>
      <c r="E2704" s="108" t="str">
        <f>+'LISTA DE INSUMOS'!C153</f>
        <v>Gl</v>
      </c>
      <c r="F2704" s="140">
        <v>0.36</v>
      </c>
      <c r="G2704" s="141">
        <f>'LISTA DE INSUMOS'!E153</f>
        <v>99769.889999999985</v>
      </c>
      <c r="H2704" s="108">
        <v>1.03</v>
      </c>
      <c r="I2704" s="141">
        <f>ROUND((F2704*G2704*H2704),0)</f>
        <v>36995</v>
      </c>
      <c r="J2704" s="47"/>
      <c r="K2704" s="143"/>
    </row>
    <row r="2705" spans="2:11" ht="24.75" customHeight="1" thickBot="1" x14ac:dyDescent="0.25">
      <c r="B2705" s="673"/>
      <c r="C2705" s="108" t="str">
        <f>+'LISTA DE INSUMOS'!A241</f>
        <v>MAT209</v>
      </c>
      <c r="D2705" s="139" t="str">
        <f>+'LISTA DE INSUMOS'!B241</f>
        <v>Tope para puerta (caucho - resorte)</v>
      </c>
      <c r="E2705" s="108" t="str">
        <f>+'LISTA DE INSUMOS'!C241</f>
        <v>Un</v>
      </c>
      <c r="F2705" s="140">
        <v>1</v>
      </c>
      <c r="G2705" s="141">
        <f>'LISTA DE INSUMOS'!E241</f>
        <v>7994.0173716479994</v>
      </c>
      <c r="H2705" s="108">
        <v>0</v>
      </c>
      <c r="I2705" s="141">
        <f>ROUND((F2705*G2705),0)</f>
        <v>7994</v>
      </c>
      <c r="J2705" s="47"/>
      <c r="K2705" s="143"/>
    </row>
    <row r="2706" spans="2:11" ht="24.75" customHeight="1" thickTop="1" thickBot="1" x14ac:dyDescent="0.25">
      <c r="B2706" s="191" t="s">
        <v>1310</v>
      </c>
      <c r="C2706" s="108" t="str">
        <f>+B1459</f>
        <v>ITE162</v>
      </c>
      <c r="D2706" s="139" t="str">
        <f>+D1459</f>
        <v>Mortero 1:4 (producción)</v>
      </c>
      <c r="E2706" s="108" t="str">
        <f>+E1459</f>
        <v>M3</v>
      </c>
      <c r="F2706" s="140">
        <v>4.4999999999999998E-2</v>
      </c>
      <c r="G2706" s="141">
        <f>+G1459</f>
        <v>484026</v>
      </c>
      <c r="H2706" s="108">
        <v>1.05</v>
      </c>
      <c r="I2706" s="141">
        <f>ROUND((F2706*G2706*H2706),0)</f>
        <v>22870</v>
      </c>
      <c r="J2706" s="47"/>
      <c r="K2706" s="143"/>
    </row>
    <row r="2707" spans="2:11" ht="24.9" customHeight="1" thickTop="1" thickBot="1" x14ac:dyDescent="0.25">
      <c r="B2707" s="153" t="s">
        <v>1034</v>
      </c>
      <c r="C2707" s="108" t="str">
        <f>+'LISTA DE INSUMOS'!A18</f>
        <v>MOB015</v>
      </c>
      <c r="D2707" s="139" t="str">
        <f>+'LISTA DE INSUMOS'!B18</f>
        <v>Cuadrilla E 1 Of + 1 Ay (jornal + prestaciones)</v>
      </c>
      <c r="E2707" s="108" t="str">
        <f>+'LISTA DE INSUMOS'!C18</f>
        <v>Día</v>
      </c>
      <c r="F2707" s="140">
        <v>1</v>
      </c>
      <c r="G2707" s="141">
        <f>'LISTA DE INSUMOS'!E18</f>
        <v>245584</v>
      </c>
      <c r="H2707" s="108">
        <f>1/2</f>
        <v>0.5</v>
      </c>
      <c r="I2707" s="141">
        <f>ROUND((F2707*G2707*H2707),0)</f>
        <v>122792</v>
      </c>
      <c r="J2707" s="47"/>
      <c r="K2707" s="143"/>
    </row>
    <row r="2708" spans="2:11" ht="24.9" customHeight="1" thickTop="1" thickBot="1" x14ac:dyDescent="0.25">
      <c r="B2708" s="150" t="s">
        <v>1033</v>
      </c>
      <c r="C2708" s="151" t="str">
        <f>+'LISTA DE INSUMOS'!A758</f>
        <v>EQU002</v>
      </c>
      <c r="D2708" s="146" t="str">
        <f>+'LISTA DE INSUMOS'!B758</f>
        <v>Herramienta menor (% mano obra)</v>
      </c>
      <c r="E2708" s="145" t="str">
        <f>+'LISTA DE INSUMOS'!C758</f>
        <v>%MO</v>
      </c>
      <c r="F2708" s="147">
        <v>0.1</v>
      </c>
      <c r="G2708" s="148">
        <f>I2707</f>
        <v>122792</v>
      </c>
      <c r="H2708" s="145">
        <v>0</v>
      </c>
      <c r="I2708" s="148">
        <f>ROUND((F2708*G2708),0)</f>
        <v>12279</v>
      </c>
      <c r="J2708" s="47"/>
      <c r="K2708" s="143"/>
    </row>
    <row r="2709" spans="2:11" ht="24.9" customHeight="1" x14ac:dyDescent="0.2">
      <c r="B2709" s="117" t="s">
        <v>1845</v>
      </c>
      <c r="C2709" s="117"/>
      <c r="D2709" s="112" t="s">
        <v>1869</v>
      </c>
      <c r="E2709" s="117" t="s">
        <v>1435</v>
      </c>
      <c r="F2709" s="118"/>
      <c r="G2709" s="119">
        <f>ROUND(SUM(I2710:I2720),0)</f>
        <v>1122712</v>
      </c>
      <c r="H2709" s="120"/>
      <c r="I2709" s="119"/>
      <c r="J2709" s="47"/>
      <c r="K2709" s="143"/>
    </row>
    <row r="2710" spans="2:11" ht="24.9" customHeight="1" x14ac:dyDescent="0.2">
      <c r="B2710" s="672" t="s">
        <v>1035</v>
      </c>
      <c r="C2710" s="108" t="str">
        <f>+'LISTA DE INSUMOS'!A37</f>
        <v>MAT008</v>
      </c>
      <c r="D2710" s="139" t="str">
        <f>+'LISTA DE INSUMOS'!B37</f>
        <v>Manija (asa) para puerta</v>
      </c>
      <c r="E2710" s="108" t="str">
        <f>+'LISTA DE INSUMOS'!C37</f>
        <v>Un</v>
      </c>
      <c r="F2710" s="140">
        <v>1</v>
      </c>
      <c r="G2710" s="141">
        <f>'LISTA DE INSUMOS'!E37</f>
        <v>15900</v>
      </c>
      <c r="H2710" s="108">
        <v>0</v>
      </c>
      <c r="I2710" s="141">
        <f>ROUND((F2710*G2710),0)</f>
        <v>15900</v>
      </c>
      <c r="J2710" s="47"/>
      <c r="K2710" s="143"/>
    </row>
    <row r="2711" spans="2:11" ht="24.9" customHeight="1" x14ac:dyDescent="0.2">
      <c r="B2711" s="672"/>
      <c r="C2711" s="125" t="str">
        <f>+'LISTA DE INSUMOS'!A103</f>
        <v>MAT063</v>
      </c>
      <c r="D2711" s="225" t="str">
        <f>+'LISTA DE INSUMOS'!B103</f>
        <v>Marco metálico en lámina C 20 de 1,20 x 2,05 m, incluye anticorrosivo</v>
      </c>
      <c r="E2711" s="108" t="str">
        <f>+'LISTA DE INSUMOS'!C103</f>
        <v>Un</v>
      </c>
      <c r="F2711" s="140">
        <v>1</v>
      </c>
      <c r="G2711" s="141">
        <f>+'LISTA DE INSUMOS'!E103</f>
        <v>217725.90550919206</v>
      </c>
      <c r="H2711" s="108">
        <v>0</v>
      </c>
      <c r="I2711" s="141">
        <f>ROUND((F2711*G2711),0)</f>
        <v>217726</v>
      </c>
      <c r="J2711" s="47"/>
      <c r="K2711" s="143"/>
    </row>
    <row r="2712" spans="2:11" ht="24.9" customHeight="1" x14ac:dyDescent="0.2">
      <c r="B2712" s="672"/>
      <c r="C2712" s="108" t="str">
        <f>+'LISTA DE INSUMOS'!A379</f>
        <v>MAT373</v>
      </c>
      <c r="D2712" s="139" t="str">
        <f>+'LISTA DE INSUMOS'!B379</f>
        <v>Nave metálica en lamina C 20 de 1,20 x 2,05 m (2 naves), incluye anticorrosivo</v>
      </c>
      <c r="E2712" s="108" t="str">
        <f>+'LISTA DE INSUMOS'!C379</f>
        <v>Un</v>
      </c>
      <c r="F2712" s="140">
        <v>1</v>
      </c>
      <c r="G2712" s="141">
        <f>'LISTA DE INSUMOS'!E379</f>
        <v>456417.60484047298</v>
      </c>
      <c r="H2712" s="108">
        <v>0</v>
      </c>
      <c r="I2712" s="141">
        <f>ROUND((F2712*G2712),0)</f>
        <v>456418</v>
      </c>
      <c r="J2712" s="47"/>
      <c r="K2712" s="143"/>
    </row>
    <row r="2713" spans="2:11" ht="24.9" customHeight="1" x14ac:dyDescent="0.2">
      <c r="B2713" s="672"/>
      <c r="C2713" s="108" t="str">
        <f>+'LISTA DE INSUMOS'!A114</f>
        <v>MAT072</v>
      </c>
      <c r="D2713" s="139" t="str">
        <f>+'LISTA DE INSUMOS'!B114</f>
        <v>Cerradura YALE Tipo 31610 Izquierda 50mm Sobreponer</v>
      </c>
      <c r="E2713" s="108" t="str">
        <f>+'LISTA DE INSUMOS'!C114</f>
        <v>Un</v>
      </c>
      <c r="F2713" s="140">
        <v>1</v>
      </c>
      <c r="G2713" s="141">
        <f>'LISTA DE INSUMOS'!E114</f>
        <v>149272.97822999998</v>
      </c>
      <c r="H2713" s="108">
        <v>0</v>
      </c>
      <c r="I2713" s="141">
        <f>ROUND((F2713*G2713),0)</f>
        <v>149273</v>
      </c>
      <c r="J2713" s="47"/>
      <c r="K2713" s="143"/>
    </row>
    <row r="2714" spans="2:11" ht="24.9" customHeight="1" x14ac:dyDescent="0.2">
      <c r="B2714" s="672"/>
      <c r="C2714" s="108" t="str">
        <f>+'LISTA DE INSUMOS'!A153</f>
        <v>MAT112</v>
      </c>
      <c r="D2714" s="139" t="str">
        <f>+'LISTA DE INSUMOS'!B153</f>
        <v>Pintura esmalte para exteriores</v>
      </c>
      <c r="E2714" s="108" t="str">
        <f>+'LISTA DE INSUMOS'!C153</f>
        <v>Gl</v>
      </c>
      <c r="F2714" s="140">
        <v>0.4</v>
      </c>
      <c r="G2714" s="141">
        <f>'LISTA DE INSUMOS'!E153</f>
        <v>99769.889999999985</v>
      </c>
      <c r="H2714" s="108">
        <v>1.03</v>
      </c>
      <c r="I2714" s="141">
        <f>ROUND((F2714*G2714*H2714),0)</f>
        <v>41105</v>
      </c>
      <c r="J2714" s="47"/>
      <c r="K2714" s="143"/>
    </row>
    <row r="2715" spans="2:11" ht="24.9" customHeight="1" x14ac:dyDescent="0.2">
      <c r="B2715" s="672"/>
      <c r="C2715" s="108" t="str">
        <f>+'LISTA DE INSUMOS'!A115</f>
        <v>MAT073</v>
      </c>
      <c r="D2715" s="139" t="str">
        <f>+'LISTA DE INSUMOS'!B115</f>
        <v>Pasador metálico de 3"</v>
      </c>
      <c r="E2715" s="108" t="str">
        <f>+'LISTA DE INSUMOS'!C115</f>
        <v>Un</v>
      </c>
      <c r="F2715" s="140">
        <v>1</v>
      </c>
      <c r="G2715" s="141">
        <f>'LISTA DE INSUMOS'!E115</f>
        <v>10089.089999999998</v>
      </c>
      <c r="H2715" s="108">
        <v>0</v>
      </c>
      <c r="I2715" s="141">
        <f>ROUND((F2715*G2715),0)</f>
        <v>10089</v>
      </c>
      <c r="J2715" s="47"/>
      <c r="K2715" s="143"/>
    </row>
    <row r="2716" spans="2:11" ht="24.9" customHeight="1" x14ac:dyDescent="0.2">
      <c r="B2716" s="672"/>
      <c r="C2716" s="108" t="str">
        <f>+'LISTA DE INSUMOS'!A627</f>
        <v>MAT643</v>
      </c>
      <c r="D2716" s="139" t="str">
        <f>+'LISTA DE INSUMOS'!B627</f>
        <v>Bisagra de hierro para puerta</v>
      </c>
      <c r="E2716" s="108" t="str">
        <f>+'LISTA DE INSUMOS'!C627</f>
        <v>Un</v>
      </c>
      <c r="F2716" s="140">
        <v>6</v>
      </c>
      <c r="G2716" s="141">
        <f>+'LISTA DE INSUMOS'!E627</f>
        <v>8441.3465808903002</v>
      </c>
      <c r="H2716" s="108">
        <v>0</v>
      </c>
      <c r="I2716" s="141">
        <f>ROUND((F2716*G2716),0)</f>
        <v>50648</v>
      </c>
      <c r="J2716" s="47"/>
      <c r="K2716" s="143"/>
    </row>
    <row r="2717" spans="2:11" ht="24.9" customHeight="1" thickBot="1" x14ac:dyDescent="0.25">
      <c r="B2717" s="673"/>
      <c r="C2717" s="108" t="str">
        <f>+'LISTA DE INSUMOS'!A241</f>
        <v>MAT209</v>
      </c>
      <c r="D2717" s="139" t="str">
        <f>+'LISTA DE INSUMOS'!B241</f>
        <v>Tope para puerta (caucho - resorte)</v>
      </c>
      <c r="E2717" s="108" t="str">
        <f>+'LISTA DE INSUMOS'!C241</f>
        <v>Un</v>
      </c>
      <c r="F2717" s="140">
        <v>2</v>
      </c>
      <c r="G2717" s="141">
        <f>'LISTA DE INSUMOS'!E241</f>
        <v>7994.0173716479994</v>
      </c>
      <c r="H2717" s="108">
        <v>0</v>
      </c>
      <c r="I2717" s="141">
        <f>ROUND((F2717*G2717),0)</f>
        <v>15988</v>
      </c>
      <c r="J2717" s="47"/>
      <c r="K2717" s="143"/>
    </row>
    <row r="2718" spans="2:11" ht="24.9" customHeight="1" thickTop="1" thickBot="1" x14ac:dyDescent="0.25">
      <c r="B2718" s="191" t="s">
        <v>1310</v>
      </c>
      <c r="C2718" s="108" t="str">
        <f>+B1459</f>
        <v>ITE162</v>
      </c>
      <c r="D2718" s="139" t="str">
        <f>+D1459</f>
        <v>Mortero 1:4 (producción)</v>
      </c>
      <c r="E2718" s="108" t="str">
        <f>+E1459</f>
        <v>M3</v>
      </c>
      <c r="F2718" s="140">
        <v>0.06</v>
      </c>
      <c r="G2718" s="141">
        <f>+G1459</f>
        <v>484026</v>
      </c>
      <c r="H2718" s="108">
        <v>1.05</v>
      </c>
      <c r="I2718" s="141">
        <f>ROUND((F2718*G2718*H2718),0)</f>
        <v>30494</v>
      </c>
      <c r="J2718" s="47"/>
      <c r="K2718" s="143"/>
    </row>
    <row r="2719" spans="2:11" ht="24.9" customHeight="1" thickTop="1" thickBot="1" x14ac:dyDescent="0.25">
      <c r="B2719" s="153" t="s">
        <v>1034</v>
      </c>
      <c r="C2719" s="108" t="str">
        <f>+'LISTA DE INSUMOS'!A18</f>
        <v>MOB015</v>
      </c>
      <c r="D2719" s="139" t="str">
        <f>+'LISTA DE INSUMOS'!B18</f>
        <v>Cuadrilla E 1 Of + 1 Ay (jornal + prestaciones)</v>
      </c>
      <c r="E2719" s="108" t="str">
        <f>+'LISTA DE INSUMOS'!C18</f>
        <v>Día</v>
      </c>
      <c r="F2719" s="140">
        <v>1</v>
      </c>
      <c r="G2719" s="141">
        <f>'LISTA DE INSUMOS'!E18</f>
        <v>245584</v>
      </c>
      <c r="H2719" s="108">
        <f>1/2</f>
        <v>0.5</v>
      </c>
      <c r="I2719" s="141">
        <f>ROUND((F2719*G2719*H2719),0)</f>
        <v>122792</v>
      </c>
      <c r="J2719" s="47"/>
      <c r="K2719" s="143"/>
    </row>
    <row r="2720" spans="2:11" ht="24.9" customHeight="1" thickTop="1" thickBot="1" x14ac:dyDescent="0.25">
      <c r="B2720" s="150" t="s">
        <v>1033</v>
      </c>
      <c r="C2720" s="151" t="str">
        <f>+'LISTA DE INSUMOS'!A758</f>
        <v>EQU002</v>
      </c>
      <c r="D2720" s="146" t="str">
        <f>+'LISTA DE INSUMOS'!B758</f>
        <v>Herramienta menor (% mano obra)</v>
      </c>
      <c r="E2720" s="145" t="str">
        <f>+'LISTA DE INSUMOS'!C758</f>
        <v>%MO</v>
      </c>
      <c r="F2720" s="147">
        <v>0.1</v>
      </c>
      <c r="G2720" s="148">
        <f>I2719</f>
        <v>122792</v>
      </c>
      <c r="H2720" s="145">
        <v>0</v>
      </c>
      <c r="I2720" s="148">
        <f>ROUND((F2720*G2720),0)</f>
        <v>12279</v>
      </c>
      <c r="J2720" s="47"/>
      <c r="K2720" s="143"/>
    </row>
    <row r="2721" spans="2:11" ht="24.9" customHeight="1" x14ac:dyDescent="0.2">
      <c r="B2721" s="117" t="s">
        <v>1681</v>
      </c>
      <c r="C2721" s="117"/>
      <c r="D2721" s="112" t="s">
        <v>2044</v>
      </c>
      <c r="E2721" s="117" t="s">
        <v>2585</v>
      </c>
      <c r="F2721" s="149"/>
      <c r="G2721" s="119">
        <f>ROUND(SUM(I2722:I2728),0)</f>
        <v>267381</v>
      </c>
      <c r="H2721" s="120"/>
      <c r="I2721" s="119"/>
      <c r="J2721" s="47"/>
      <c r="K2721" s="143"/>
    </row>
    <row r="2722" spans="2:11" ht="24.9" customHeight="1" x14ac:dyDescent="0.2">
      <c r="B2722" s="672" t="s">
        <v>1035</v>
      </c>
      <c r="C2722" s="108" t="str">
        <f>+'LISTA DE INSUMOS'!A106</f>
        <v>MAT066</v>
      </c>
      <c r="D2722" s="139" t="str">
        <f>+'LISTA DE INSUMOS'!B106</f>
        <v>Ventanería metálica en lámina C 20, incluye anticorrosivo</v>
      </c>
      <c r="E2722" s="108" t="str">
        <f>+'LISTA DE INSUMOS'!C106</f>
        <v>M2</v>
      </c>
      <c r="F2722" s="140">
        <v>1</v>
      </c>
      <c r="G2722" s="141">
        <f>'LISTA DE INSUMOS'!E106</f>
        <v>138699.50999999998</v>
      </c>
      <c r="H2722" s="108">
        <v>0</v>
      </c>
      <c r="I2722" s="141">
        <f>ROUND((F2722*G2722),0)</f>
        <v>138700</v>
      </c>
      <c r="J2722" s="47"/>
      <c r="K2722" s="143"/>
    </row>
    <row r="2723" spans="2:11" ht="24.9" customHeight="1" x14ac:dyDescent="0.2">
      <c r="B2723" s="672"/>
      <c r="C2723" s="108" t="str">
        <f>+'LISTA DE INSUMOS'!A120</f>
        <v>MAT078</v>
      </c>
      <c r="D2723" s="139" t="str">
        <f>+'LISTA DE INSUMOS'!B120</f>
        <v>Vidrio de 4 mm templado</v>
      </c>
      <c r="E2723" s="108" t="str">
        <f>+'LISTA DE INSUMOS'!C120</f>
        <v>M2</v>
      </c>
      <c r="F2723" s="140">
        <v>1</v>
      </c>
      <c r="G2723" s="141">
        <f>'LISTA DE INSUMOS'!E120</f>
        <v>68842.243199999997</v>
      </c>
      <c r="H2723" s="108">
        <v>1.03</v>
      </c>
      <c r="I2723" s="141">
        <f>ROUND((F2723*G2723*H2723),0)</f>
        <v>70908</v>
      </c>
      <c r="J2723" s="47"/>
      <c r="K2723" s="143"/>
    </row>
    <row r="2724" spans="2:11" ht="24.9" customHeight="1" x14ac:dyDescent="0.2">
      <c r="B2724" s="672"/>
      <c r="C2724" s="108" t="str">
        <f>+'LISTA DE INSUMOS'!A223</f>
        <v>MAT191</v>
      </c>
      <c r="D2724" s="139" t="str">
        <f>+'LISTA DE INSUMOS'!B223</f>
        <v>Silicona transparente sellador de vidrios</v>
      </c>
      <c r="E2724" s="108" t="str">
        <f>+'LISTA DE INSUMOS'!C223</f>
        <v>kg</v>
      </c>
      <c r="F2724" s="140">
        <v>0.01</v>
      </c>
      <c r="G2724" s="141">
        <f>'LISTA DE INSUMOS'!E223</f>
        <v>15365.09217672</v>
      </c>
      <c r="H2724" s="108">
        <v>0</v>
      </c>
      <c r="I2724" s="141">
        <f>ROUND((F2724*G2724),0)</f>
        <v>154</v>
      </c>
      <c r="J2724" s="47"/>
      <c r="K2724" s="143"/>
    </row>
    <row r="2725" spans="2:11" ht="24.9" customHeight="1" thickBot="1" x14ac:dyDescent="0.25">
      <c r="B2725" s="673"/>
      <c r="C2725" s="108" t="str">
        <f>+'LISTA DE INSUMOS'!A153</f>
        <v>MAT112</v>
      </c>
      <c r="D2725" s="139" t="str">
        <f>+'LISTA DE INSUMOS'!B153</f>
        <v>Pintura esmalte para exteriores</v>
      </c>
      <c r="E2725" s="108" t="str">
        <f>+'LISTA DE INSUMOS'!C153</f>
        <v>Gl</v>
      </c>
      <c r="F2725" s="140">
        <v>0.1</v>
      </c>
      <c r="G2725" s="141">
        <f>'LISTA DE INSUMOS'!E153</f>
        <v>99769.889999999985</v>
      </c>
      <c r="H2725" s="108">
        <v>1.03</v>
      </c>
      <c r="I2725" s="141">
        <f>ROUND((F2725*G2725*H2725),0)</f>
        <v>10276</v>
      </c>
      <c r="J2725" s="47"/>
      <c r="K2725" s="143"/>
    </row>
    <row r="2726" spans="2:11" ht="24.9" customHeight="1" thickTop="1" thickBot="1" x14ac:dyDescent="0.25">
      <c r="B2726" s="191" t="s">
        <v>1310</v>
      </c>
      <c r="C2726" s="108" t="str">
        <f>+B1459</f>
        <v>ITE162</v>
      </c>
      <c r="D2726" s="139" t="str">
        <f>+D1459</f>
        <v>Mortero 1:4 (producción)</v>
      </c>
      <c r="E2726" s="108" t="str">
        <f>+E1459</f>
        <v>M3</v>
      </c>
      <c r="F2726" s="140">
        <v>0.04</v>
      </c>
      <c r="G2726" s="141">
        <f>+G1459</f>
        <v>484026</v>
      </c>
      <c r="H2726" s="108">
        <v>1.05</v>
      </c>
      <c r="I2726" s="141">
        <f>ROUND((F2726*G2726*H2726),0)</f>
        <v>20329</v>
      </c>
      <c r="J2726" s="47"/>
      <c r="K2726" s="143"/>
    </row>
    <row r="2727" spans="2:11" ht="24.9" customHeight="1" thickTop="1" thickBot="1" x14ac:dyDescent="0.25">
      <c r="B2727" s="153" t="s">
        <v>1034</v>
      </c>
      <c r="C2727" s="108" t="str">
        <f>+'LISTA DE INSUMOS'!A18</f>
        <v>MOB015</v>
      </c>
      <c r="D2727" s="139" t="str">
        <f>+'LISTA DE INSUMOS'!B18</f>
        <v>Cuadrilla E 1 Of + 1 Ay (jornal + prestaciones)</v>
      </c>
      <c r="E2727" s="108" t="str">
        <f>+'LISTA DE INSUMOS'!C18</f>
        <v>Día</v>
      </c>
      <c r="F2727" s="140">
        <v>1</v>
      </c>
      <c r="G2727" s="141">
        <f>'LISTA DE INSUMOS'!E18</f>
        <v>245584</v>
      </c>
      <c r="H2727" s="108">
        <v>0.1</v>
      </c>
      <c r="I2727" s="141">
        <f>ROUND((F2727*G2727*H2727),0)</f>
        <v>24558</v>
      </c>
      <c r="J2727" s="47"/>
      <c r="K2727" s="143"/>
    </row>
    <row r="2728" spans="2:11" ht="24.9" customHeight="1" thickTop="1" thickBot="1" x14ac:dyDescent="0.25">
      <c r="B2728" s="150" t="s">
        <v>1033</v>
      </c>
      <c r="C2728" s="151" t="str">
        <f>+'LISTA DE INSUMOS'!A758</f>
        <v>EQU002</v>
      </c>
      <c r="D2728" s="146" t="str">
        <f>+'LISTA DE INSUMOS'!B758</f>
        <v>Herramienta menor (% mano obra)</v>
      </c>
      <c r="E2728" s="145" t="str">
        <f>+'LISTA DE INSUMOS'!C758</f>
        <v>%MO</v>
      </c>
      <c r="F2728" s="147">
        <v>0.1</v>
      </c>
      <c r="G2728" s="148">
        <f>I2727</f>
        <v>24558</v>
      </c>
      <c r="H2728" s="145">
        <v>0</v>
      </c>
      <c r="I2728" s="148">
        <f>ROUND((F2728*G2728),0)</f>
        <v>2456</v>
      </c>
      <c r="J2728" s="47"/>
      <c r="K2728" s="143"/>
    </row>
    <row r="2729" spans="2:11" s="317" customFormat="1" ht="24.9" hidden="1" customHeight="1" x14ac:dyDescent="0.2">
      <c r="B2729" s="319" t="s">
        <v>1456</v>
      </c>
      <c r="C2729" s="319"/>
      <c r="D2729" s="320" t="s">
        <v>2043</v>
      </c>
      <c r="E2729" s="319" t="s">
        <v>2585</v>
      </c>
      <c r="F2729" s="332"/>
      <c r="G2729" s="312">
        <f>ROUND(SUM(I2730:I2736),0)</f>
        <v>332627</v>
      </c>
      <c r="H2729" s="322"/>
      <c r="I2729" s="312"/>
      <c r="J2729" s="313"/>
      <c r="K2729" s="323"/>
    </row>
    <row r="2730" spans="2:11" s="317" customFormat="1" ht="24.9" hidden="1" customHeight="1" x14ac:dyDescent="0.2">
      <c r="B2730" s="691" t="s">
        <v>1035</v>
      </c>
      <c r="C2730" s="322" t="str">
        <f>+'LISTA DE INSUMOS'!A320</f>
        <v>MAT297</v>
      </c>
      <c r="D2730" s="324" t="str">
        <f>+'LISTA DE INSUMOS'!B320</f>
        <v>Ventanería metálica en lámina C 20 de seguridad, incluye anticorrosivo</v>
      </c>
      <c r="E2730" s="322" t="str">
        <f>+'LISTA DE INSUMOS'!C320</f>
        <v>M2</v>
      </c>
      <c r="F2730" s="325">
        <v>1</v>
      </c>
      <c r="G2730" s="312">
        <f>'LISTA DE INSUMOS'!E320</f>
        <v>163424.23319916375</v>
      </c>
      <c r="H2730" s="322">
        <v>0</v>
      </c>
      <c r="I2730" s="312">
        <f>ROUND((F2730*G2730),0)</f>
        <v>163424</v>
      </c>
      <c r="J2730" s="313"/>
      <c r="K2730" s="323"/>
    </row>
    <row r="2731" spans="2:11" s="317" customFormat="1" ht="24.9" hidden="1" customHeight="1" x14ac:dyDescent="0.2">
      <c r="B2731" s="691"/>
      <c r="C2731" s="322" t="str">
        <f>+'LISTA DE INSUMOS'!A120</f>
        <v>MAT078</v>
      </c>
      <c r="D2731" s="324" t="str">
        <f>+'LISTA DE INSUMOS'!B120</f>
        <v>Vidrio de 4 mm templado</v>
      </c>
      <c r="E2731" s="322" t="str">
        <f>+'LISTA DE INSUMOS'!C120</f>
        <v>M2</v>
      </c>
      <c r="F2731" s="325">
        <v>1</v>
      </c>
      <c r="G2731" s="312">
        <f>'LISTA DE INSUMOS'!E120</f>
        <v>68842.243199999997</v>
      </c>
      <c r="H2731" s="322">
        <v>1.03</v>
      </c>
      <c r="I2731" s="312">
        <f>ROUND((F2731*G2731*H2731),0)</f>
        <v>70908</v>
      </c>
      <c r="J2731" s="313"/>
      <c r="K2731" s="323"/>
    </row>
    <row r="2732" spans="2:11" s="317" customFormat="1" ht="24.9" hidden="1" customHeight="1" x14ac:dyDescent="0.2">
      <c r="B2732" s="691"/>
      <c r="C2732" s="322" t="str">
        <f>+'LISTA DE INSUMOS'!A223</f>
        <v>MAT191</v>
      </c>
      <c r="D2732" s="324" t="str">
        <f>+'LISTA DE INSUMOS'!B223</f>
        <v>Silicona transparente sellador de vidrios</v>
      </c>
      <c r="E2732" s="322" t="str">
        <f>+'LISTA DE INSUMOS'!C223</f>
        <v>kg</v>
      </c>
      <c r="F2732" s="325">
        <v>0.01</v>
      </c>
      <c r="G2732" s="312">
        <f>'LISTA DE INSUMOS'!E223</f>
        <v>15365.09217672</v>
      </c>
      <c r="H2732" s="322">
        <v>0</v>
      </c>
      <c r="I2732" s="312">
        <f>ROUND((F2732*G2732),0)</f>
        <v>154</v>
      </c>
      <c r="J2732" s="313"/>
      <c r="K2732" s="323"/>
    </row>
    <row r="2733" spans="2:11" s="317" customFormat="1" ht="24.9" hidden="1" customHeight="1" thickBot="1" x14ac:dyDescent="0.25">
      <c r="B2733" s="692"/>
      <c r="C2733" s="322" t="str">
        <f>+'LISTA DE INSUMOS'!A153</f>
        <v>MAT112</v>
      </c>
      <c r="D2733" s="324" t="str">
        <f>+'LISTA DE INSUMOS'!B153</f>
        <v>Pintura esmalte para exteriores</v>
      </c>
      <c r="E2733" s="322" t="str">
        <f>+'LISTA DE INSUMOS'!C153</f>
        <v>Gl</v>
      </c>
      <c r="F2733" s="325">
        <v>0.1</v>
      </c>
      <c r="G2733" s="312">
        <f>'LISTA DE INSUMOS'!E153</f>
        <v>99769.889999999985</v>
      </c>
      <c r="H2733" s="322">
        <v>1.03</v>
      </c>
      <c r="I2733" s="312">
        <f>ROUND((F2733*G2733*H2733),0)</f>
        <v>10276</v>
      </c>
      <c r="J2733" s="313"/>
      <c r="K2733" s="323"/>
    </row>
    <row r="2734" spans="2:11" s="317" customFormat="1" ht="24.9" hidden="1" customHeight="1" thickTop="1" thickBot="1" x14ac:dyDescent="0.25">
      <c r="B2734" s="347" t="s">
        <v>1310</v>
      </c>
      <c r="C2734" s="322" t="str">
        <f>+B1459</f>
        <v>ITE162</v>
      </c>
      <c r="D2734" s="324" t="str">
        <f>+D1459</f>
        <v>Mortero 1:4 (producción)</v>
      </c>
      <c r="E2734" s="322" t="str">
        <f>+E1459</f>
        <v>M3</v>
      </c>
      <c r="F2734" s="325">
        <v>0.04</v>
      </c>
      <c r="G2734" s="312">
        <f>+G1459</f>
        <v>484026</v>
      </c>
      <c r="H2734" s="322">
        <v>1.05</v>
      </c>
      <c r="I2734" s="312">
        <f>ROUND((F2734*G2734*H2734),0)</f>
        <v>20329</v>
      </c>
      <c r="J2734" s="313"/>
      <c r="K2734" s="323"/>
    </row>
    <row r="2735" spans="2:11" s="317" customFormat="1" ht="24.9" hidden="1" customHeight="1" thickTop="1" thickBot="1" x14ac:dyDescent="0.25">
      <c r="B2735" s="363" t="s">
        <v>1034</v>
      </c>
      <c r="C2735" s="322" t="str">
        <f>+'LISTA DE INSUMOS'!A18</f>
        <v>MOB015</v>
      </c>
      <c r="D2735" s="324" t="str">
        <f>+'LISTA DE INSUMOS'!B18</f>
        <v>Cuadrilla E 1 Of + 1 Ay (jornal + prestaciones)</v>
      </c>
      <c r="E2735" s="322" t="str">
        <f>+'LISTA DE INSUMOS'!C18</f>
        <v>Día</v>
      </c>
      <c r="F2735" s="325">
        <v>1</v>
      </c>
      <c r="G2735" s="312">
        <f>'LISTA DE INSUMOS'!E18</f>
        <v>245584</v>
      </c>
      <c r="H2735" s="322">
        <f>1/4</f>
        <v>0.25</v>
      </c>
      <c r="I2735" s="312">
        <f>ROUND((F2735*G2735*H2735),0)</f>
        <v>61396</v>
      </c>
      <c r="J2735" s="313"/>
      <c r="K2735" s="323"/>
    </row>
    <row r="2736" spans="2:11" s="317" customFormat="1" ht="24.9" hidden="1" customHeight="1" thickTop="1" thickBot="1" x14ac:dyDescent="0.25">
      <c r="B2736" s="255" t="s">
        <v>1033</v>
      </c>
      <c r="C2736" s="327" t="str">
        <f>+'LISTA DE INSUMOS'!A758</f>
        <v>EQU002</v>
      </c>
      <c r="D2736" s="328" t="str">
        <f>+'LISTA DE INSUMOS'!B758</f>
        <v>Herramienta menor (% mano obra)</v>
      </c>
      <c r="E2736" s="329" t="str">
        <f>+'LISTA DE INSUMOS'!C758</f>
        <v>%MO</v>
      </c>
      <c r="F2736" s="330">
        <v>0.1</v>
      </c>
      <c r="G2736" s="331">
        <f>I2735</f>
        <v>61396</v>
      </c>
      <c r="H2736" s="329">
        <v>0</v>
      </c>
      <c r="I2736" s="331">
        <f>ROUND((F2736*G2736),0)</f>
        <v>6140</v>
      </c>
      <c r="J2736" s="313"/>
      <c r="K2736" s="323"/>
    </row>
    <row r="2737" spans="2:11" s="317" customFormat="1" ht="24.9" hidden="1" customHeight="1" x14ac:dyDescent="0.2">
      <c r="B2737" s="319" t="s">
        <v>1457</v>
      </c>
      <c r="C2737" s="319"/>
      <c r="D2737" s="320" t="s">
        <v>2042</v>
      </c>
      <c r="E2737" s="319" t="s">
        <v>2585</v>
      </c>
      <c r="F2737" s="332"/>
      <c r="G2737" s="312">
        <f>ROUND(SUM(I2738:I2744),0)</f>
        <v>291544</v>
      </c>
      <c r="H2737" s="322"/>
      <c r="I2737" s="312"/>
      <c r="J2737" s="313"/>
      <c r="K2737" s="323"/>
    </row>
    <row r="2738" spans="2:11" s="317" customFormat="1" ht="24.9" hidden="1" customHeight="1" x14ac:dyDescent="0.2">
      <c r="B2738" s="691" t="s">
        <v>1035</v>
      </c>
      <c r="C2738" s="322" t="str">
        <f>+'LISTA DE INSUMOS'!A323</f>
        <v>MAT300</v>
      </c>
      <c r="D2738" s="324" t="str">
        <f>+'LISTA DE INSUMOS'!B323</f>
        <v>Ventanería en ángulo de 1" x 1/8", incluye anticorrosivo</v>
      </c>
      <c r="E2738" s="322" t="str">
        <f>+'LISTA DE INSUMOS'!C323</f>
        <v>M2</v>
      </c>
      <c r="F2738" s="325">
        <v>1</v>
      </c>
      <c r="G2738" s="312">
        <f>'LISTA DE INSUMOS'!E323</f>
        <v>117665.4479033979</v>
      </c>
      <c r="H2738" s="322">
        <v>0</v>
      </c>
      <c r="I2738" s="312">
        <f>ROUND((F2738*G2738),0)</f>
        <v>117665</v>
      </c>
      <c r="J2738" s="313"/>
      <c r="K2738" s="323"/>
    </row>
    <row r="2739" spans="2:11" s="317" customFormat="1" ht="24.9" hidden="1" customHeight="1" x14ac:dyDescent="0.2">
      <c r="B2739" s="691"/>
      <c r="C2739" s="322" t="str">
        <f>+'LISTA DE INSUMOS'!A120</f>
        <v>MAT078</v>
      </c>
      <c r="D2739" s="324" t="str">
        <f>+'LISTA DE INSUMOS'!B120</f>
        <v>Vidrio de 4 mm templado</v>
      </c>
      <c r="E2739" s="322" t="str">
        <f>+'LISTA DE INSUMOS'!C120</f>
        <v>M2</v>
      </c>
      <c r="F2739" s="325">
        <v>1</v>
      </c>
      <c r="G2739" s="312">
        <f>'LISTA DE INSUMOS'!E120</f>
        <v>68842.243199999997</v>
      </c>
      <c r="H2739" s="322">
        <v>1.03</v>
      </c>
      <c r="I2739" s="312">
        <f>ROUND((F2739*G2739*H2739),0)</f>
        <v>70908</v>
      </c>
      <c r="J2739" s="313"/>
      <c r="K2739" s="323"/>
    </row>
    <row r="2740" spans="2:11" s="317" customFormat="1" ht="24.9" hidden="1" customHeight="1" x14ac:dyDescent="0.2">
      <c r="B2740" s="691"/>
      <c r="C2740" s="322" t="str">
        <f>+'LISTA DE INSUMOS'!A223</f>
        <v>MAT191</v>
      </c>
      <c r="D2740" s="324" t="str">
        <f>+'LISTA DE INSUMOS'!B223</f>
        <v>Silicona transparente sellador de vidrios</v>
      </c>
      <c r="E2740" s="322" t="str">
        <f>+'LISTA DE INSUMOS'!C223</f>
        <v>kg</v>
      </c>
      <c r="F2740" s="325">
        <v>0.5</v>
      </c>
      <c r="G2740" s="312">
        <f>+'LISTA DE INSUMOS'!E223</f>
        <v>15365.09217672</v>
      </c>
      <c r="H2740" s="322">
        <v>1.03</v>
      </c>
      <c r="I2740" s="312">
        <f>ROUND((F2740*G2740*H2740),0)</f>
        <v>7913</v>
      </c>
      <c r="J2740" s="313"/>
      <c r="K2740" s="323"/>
    </row>
    <row r="2741" spans="2:11" s="317" customFormat="1" ht="24.9" hidden="1" customHeight="1" thickBot="1" x14ac:dyDescent="0.25">
      <c r="B2741" s="692"/>
      <c r="C2741" s="322" t="str">
        <f>+'LISTA DE INSUMOS'!A153</f>
        <v>MAT112</v>
      </c>
      <c r="D2741" s="324" t="str">
        <f>+'LISTA DE INSUMOS'!B153</f>
        <v>Pintura esmalte para exteriores</v>
      </c>
      <c r="E2741" s="322" t="str">
        <f>+'LISTA DE INSUMOS'!C153</f>
        <v>Gl</v>
      </c>
      <c r="F2741" s="325">
        <v>7.0000000000000007E-2</v>
      </c>
      <c r="G2741" s="312">
        <f>'LISTA DE INSUMOS'!E153</f>
        <v>99769.889999999985</v>
      </c>
      <c r="H2741" s="322">
        <v>1.03</v>
      </c>
      <c r="I2741" s="312">
        <f>ROUND((F2741*G2741*H2741),0)</f>
        <v>7193</v>
      </c>
      <c r="J2741" s="313"/>
      <c r="K2741" s="323"/>
    </row>
    <row r="2742" spans="2:11" s="317" customFormat="1" ht="24.9" hidden="1" customHeight="1" thickTop="1" thickBot="1" x14ac:dyDescent="0.25">
      <c r="B2742" s="347" t="s">
        <v>1310</v>
      </c>
      <c r="C2742" s="322" t="str">
        <f>+B1459</f>
        <v>ITE162</v>
      </c>
      <c r="D2742" s="324" t="str">
        <f>+D1459</f>
        <v>Mortero 1:4 (producción)</v>
      </c>
      <c r="E2742" s="322" t="str">
        <f>+E1459</f>
        <v>M3</v>
      </c>
      <c r="F2742" s="325">
        <v>0.04</v>
      </c>
      <c r="G2742" s="312">
        <f>+G1459</f>
        <v>484026</v>
      </c>
      <c r="H2742" s="322">
        <v>1.05</v>
      </c>
      <c r="I2742" s="312">
        <f>ROUND((F2742*G2742*H2742),0)</f>
        <v>20329</v>
      </c>
      <c r="J2742" s="313"/>
      <c r="K2742" s="323"/>
    </row>
    <row r="2743" spans="2:11" s="317" customFormat="1" ht="24.9" hidden="1" customHeight="1" thickTop="1" thickBot="1" x14ac:dyDescent="0.25">
      <c r="B2743" s="363" t="s">
        <v>1034</v>
      </c>
      <c r="C2743" s="322" t="str">
        <f>+'LISTA DE INSUMOS'!A18</f>
        <v>MOB015</v>
      </c>
      <c r="D2743" s="324" t="str">
        <f>+'LISTA DE INSUMOS'!B18</f>
        <v>Cuadrilla E 1 Of + 1 Ay (jornal + prestaciones)</v>
      </c>
      <c r="E2743" s="322" t="str">
        <f>+'LISTA DE INSUMOS'!C18</f>
        <v>Día</v>
      </c>
      <c r="F2743" s="325">
        <v>1</v>
      </c>
      <c r="G2743" s="312">
        <f>'LISTA DE INSUMOS'!E18</f>
        <v>245584</v>
      </c>
      <c r="H2743" s="322">
        <f>1/4</f>
        <v>0.25</v>
      </c>
      <c r="I2743" s="312">
        <f>ROUND((F2743*G2743*H2743),0)</f>
        <v>61396</v>
      </c>
      <c r="J2743" s="313"/>
      <c r="K2743" s="323"/>
    </row>
    <row r="2744" spans="2:11" s="317" customFormat="1" ht="24.9" hidden="1" customHeight="1" thickTop="1" thickBot="1" x14ac:dyDescent="0.25">
      <c r="B2744" s="255" t="s">
        <v>1033</v>
      </c>
      <c r="C2744" s="327" t="str">
        <f>+'LISTA DE INSUMOS'!A758</f>
        <v>EQU002</v>
      </c>
      <c r="D2744" s="328" t="str">
        <f>+'LISTA DE INSUMOS'!B758</f>
        <v>Herramienta menor (% mano obra)</v>
      </c>
      <c r="E2744" s="329" t="str">
        <f>+'LISTA DE INSUMOS'!C758</f>
        <v>%MO</v>
      </c>
      <c r="F2744" s="330">
        <v>0.1</v>
      </c>
      <c r="G2744" s="331">
        <f>I2743</f>
        <v>61396</v>
      </c>
      <c r="H2744" s="329">
        <v>0</v>
      </c>
      <c r="I2744" s="331">
        <f>ROUND((F2744*G2744),0)</f>
        <v>6140</v>
      </c>
      <c r="J2744" s="313"/>
      <c r="K2744" s="323"/>
    </row>
    <row r="2745" spans="2:11" ht="24.9" customHeight="1" x14ac:dyDescent="0.2">
      <c r="B2745" s="117" t="s">
        <v>2944</v>
      </c>
      <c r="C2745" s="117"/>
      <c r="D2745" s="112" t="s">
        <v>2041</v>
      </c>
      <c r="E2745" s="117" t="s">
        <v>2585</v>
      </c>
      <c r="F2745" s="118"/>
      <c r="G2745" s="119">
        <f>ROUND(SUM(I2746:I2748),0)</f>
        <v>300549</v>
      </c>
      <c r="H2745" s="120"/>
      <c r="I2745" s="119"/>
      <c r="J2745" s="47"/>
      <c r="K2745" s="143"/>
    </row>
    <row r="2746" spans="2:11" ht="24.9" customHeight="1" thickBot="1" x14ac:dyDescent="0.25">
      <c r="B2746" s="175" t="s">
        <v>1325</v>
      </c>
      <c r="C2746" s="108" t="str">
        <f>+'LISTA DE INSUMOS'!A116</f>
        <v>MAT074</v>
      </c>
      <c r="D2746" s="139" t="str">
        <f>+'LISTA DE INSUMOS'!B116</f>
        <v>Ventanería corrediza en aluminio, incluye vidrio de 4 mm</v>
      </c>
      <c r="E2746" s="108" t="str">
        <f>+'LISTA DE INSUMOS'!C116</f>
        <v>M2</v>
      </c>
      <c r="F2746" s="140">
        <v>1</v>
      </c>
      <c r="G2746" s="141">
        <f>'LISTA DE INSUMOS'!E116</f>
        <v>246520.28999999998</v>
      </c>
      <c r="H2746" s="108">
        <v>0</v>
      </c>
      <c r="I2746" s="141">
        <f>ROUND((F2746*G2746),0)</f>
        <v>246520</v>
      </c>
      <c r="J2746" s="47"/>
      <c r="K2746" s="143"/>
    </row>
    <row r="2747" spans="2:11" ht="24.9" customHeight="1" thickTop="1" thickBot="1" x14ac:dyDescent="0.25">
      <c r="B2747" s="250" t="s">
        <v>1034</v>
      </c>
      <c r="C2747" s="108" t="str">
        <f>+'LISTA DE INSUMOS'!A18</f>
        <v>MOB015</v>
      </c>
      <c r="D2747" s="139" t="str">
        <f>+'LISTA DE INSUMOS'!B18</f>
        <v>Cuadrilla E 1 Of + 1 Ay (jornal + prestaciones)</v>
      </c>
      <c r="E2747" s="108" t="str">
        <f>+'LISTA DE INSUMOS'!C18</f>
        <v>Día</v>
      </c>
      <c r="F2747" s="160">
        <v>1</v>
      </c>
      <c r="G2747" s="141">
        <f>'LISTA DE INSUMOS'!E18</f>
        <v>245584</v>
      </c>
      <c r="H2747" s="108">
        <f>1/5</f>
        <v>0.2</v>
      </c>
      <c r="I2747" s="141">
        <f>ROUND((F2747*G2747*H2747),0)</f>
        <v>49117</v>
      </c>
      <c r="J2747" s="47"/>
      <c r="K2747" s="143"/>
    </row>
    <row r="2748" spans="2:11" ht="24.9" customHeight="1" thickTop="1" thickBot="1" x14ac:dyDescent="0.25">
      <c r="B2748" s="150" t="s">
        <v>1033</v>
      </c>
      <c r="C2748" s="151" t="str">
        <f>+'LISTA DE INSUMOS'!A758</f>
        <v>EQU002</v>
      </c>
      <c r="D2748" s="146" t="str">
        <f>+'LISTA DE INSUMOS'!B758</f>
        <v>Herramienta menor (% mano obra)</v>
      </c>
      <c r="E2748" s="145" t="str">
        <f>+'LISTA DE INSUMOS'!C758</f>
        <v>%MO</v>
      </c>
      <c r="F2748" s="147">
        <v>0.1</v>
      </c>
      <c r="G2748" s="148">
        <f>I2747</f>
        <v>49117</v>
      </c>
      <c r="H2748" s="145">
        <v>0</v>
      </c>
      <c r="I2748" s="148">
        <f>ROUND((F2748*G2748),0)</f>
        <v>4912</v>
      </c>
      <c r="J2748" s="47"/>
      <c r="K2748" s="143"/>
    </row>
    <row r="2749" spans="2:11" ht="24.9" customHeight="1" x14ac:dyDescent="0.2">
      <c r="B2749" s="117" t="s">
        <v>2945</v>
      </c>
      <c r="C2749" s="117"/>
      <c r="D2749" s="112" t="s">
        <v>286</v>
      </c>
      <c r="E2749" s="117" t="s">
        <v>2585</v>
      </c>
      <c r="F2749" s="118"/>
      <c r="G2749" s="119">
        <f>ROUND(SUM(I2750:I2753),0)</f>
        <v>298277</v>
      </c>
      <c r="H2749" s="120"/>
      <c r="I2749" s="119"/>
      <c r="J2749" s="47"/>
      <c r="K2749" s="143"/>
    </row>
    <row r="2750" spans="2:11" ht="24.9" customHeight="1" x14ac:dyDescent="0.2">
      <c r="B2750" s="657" t="s">
        <v>1325</v>
      </c>
      <c r="C2750" s="108" t="str">
        <f>+'LISTA DE INSUMOS'!A362</f>
        <v>MAT355</v>
      </c>
      <c r="D2750" s="139" t="str">
        <f>+'LISTA DE INSUMOS'!B362</f>
        <v>División metálica en lamina doble C 20 h = 1,60 m, incluye anticorrosivo y anclajes</v>
      </c>
      <c r="E2750" s="108" t="str">
        <f>+'LISTA DE INSUMOS'!C362</f>
        <v>M2</v>
      </c>
      <c r="F2750" s="140">
        <v>1</v>
      </c>
      <c r="G2750" s="141">
        <f>'LISTA DE INSUMOS'!E362</f>
        <v>267151.50790884596</v>
      </c>
      <c r="H2750" s="108">
        <v>0</v>
      </c>
      <c r="I2750" s="141">
        <f>ROUND((F2750*G2750),0)</f>
        <v>267152</v>
      </c>
      <c r="J2750" s="47"/>
      <c r="K2750" s="143"/>
    </row>
    <row r="2751" spans="2:11" ht="24.9" customHeight="1" thickBot="1" x14ac:dyDescent="0.25">
      <c r="B2751" s="659"/>
      <c r="C2751" s="108" t="str">
        <f>+'LISTA DE INSUMOS'!A153</f>
        <v>MAT112</v>
      </c>
      <c r="D2751" s="139" t="str">
        <f>+'LISTA DE INSUMOS'!B153</f>
        <v>Pintura esmalte para exteriores</v>
      </c>
      <c r="E2751" s="108" t="str">
        <f>+'LISTA DE INSUMOS'!C153</f>
        <v>Gl</v>
      </c>
      <c r="F2751" s="140">
        <v>0.04</v>
      </c>
      <c r="G2751" s="141">
        <f>'LISTA DE INSUMOS'!E153</f>
        <v>99769.889999999985</v>
      </c>
      <c r="H2751" s="108">
        <v>1.03</v>
      </c>
      <c r="I2751" s="141">
        <f>ROUND((F2751*G2751*H2751),0)</f>
        <v>4111</v>
      </c>
      <c r="J2751" s="47"/>
      <c r="K2751" s="143"/>
    </row>
    <row r="2752" spans="2:11" ht="24.9" customHeight="1" thickTop="1" thickBot="1" x14ac:dyDescent="0.25">
      <c r="B2752" s="153" t="s">
        <v>1034</v>
      </c>
      <c r="C2752" s="108" t="str">
        <f>+'LISTA DE INSUMOS'!A18</f>
        <v>MOB015</v>
      </c>
      <c r="D2752" s="139" t="str">
        <f>+'LISTA DE INSUMOS'!B18</f>
        <v>Cuadrilla E 1 Of + 1 Ay (jornal + prestaciones)</v>
      </c>
      <c r="E2752" s="108" t="str">
        <f>+'LISTA DE INSUMOS'!C18</f>
        <v>Día</v>
      </c>
      <c r="F2752" s="140">
        <v>1</v>
      </c>
      <c r="G2752" s="141">
        <f>'LISTA DE INSUMOS'!E18</f>
        <v>245584</v>
      </c>
      <c r="H2752" s="108">
        <f>1/10</f>
        <v>0.1</v>
      </c>
      <c r="I2752" s="141">
        <f>ROUND((F2752*G2752*H2752),0)</f>
        <v>24558</v>
      </c>
      <c r="J2752" s="47"/>
      <c r="K2752" s="143"/>
    </row>
    <row r="2753" spans="2:11" ht="24.9" customHeight="1" thickTop="1" thickBot="1" x14ac:dyDescent="0.25">
      <c r="B2753" s="150" t="s">
        <v>1033</v>
      </c>
      <c r="C2753" s="151" t="str">
        <f>+'LISTA DE INSUMOS'!A758</f>
        <v>EQU002</v>
      </c>
      <c r="D2753" s="146" t="str">
        <f>+'LISTA DE INSUMOS'!B758</f>
        <v>Herramienta menor (% mano obra)</v>
      </c>
      <c r="E2753" s="145" t="str">
        <f>+'LISTA DE INSUMOS'!C758</f>
        <v>%MO</v>
      </c>
      <c r="F2753" s="147">
        <v>0.1</v>
      </c>
      <c r="G2753" s="148">
        <f>I2752</f>
        <v>24558</v>
      </c>
      <c r="H2753" s="145">
        <v>0</v>
      </c>
      <c r="I2753" s="148">
        <f>ROUND((F2753*G2753),0)</f>
        <v>2456</v>
      </c>
      <c r="J2753" s="47"/>
      <c r="K2753" s="143"/>
    </row>
    <row r="2754" spans="2:11" ht="24.9" customHeight="1" x14ac:dyDescent="0.2">
      <c r="B2754" s="117" t="s">
        <v>1828</v>
      </c>
      <c r="C2754" s="117"/>
      <c r="D2754" s="112" t="s">
        <v>1902</v>
      </c>
      <c r="E2754" s="117" t="s">
        <v>2585</v>
      </c>
      <c r="F2754" s="149"/>
      <c r="G2754" s="119">
        <f>ROUND(SUM(I2755:I2763),0)</f>
        <v>210832</v>
      </c>
      <c r="H2754" s="120"/>
      <c r="I2754" s="119"/>
      <c r="J2754" s="47"/>
      <c r="K2754" s="143"/>
    </row>
    <row r="2755" spans="2:11" ht="24.9" customHeight="1" x14ac:dyDescent="0.2">
      <c r="B2755" s="672" t="s">
        <v>1035</v>
      </c>
      <c r="C2755" s="108" t="str">
        <f>+'LISTA DE INSUMOS'!A250</f>
        <v>MAT219</v>
      </c>
      <c r="D2755" s="155" t="str">
        <f>+'LISTA DE INSUMOS'!B250</f>
        <v>Varilla cuadrada de 1/2" para reja</v>
      </c>
      <c r="E2755" s="108" t="str">
        <f>+'LISTA DE INSUMOS'!C250</f>
        <v>M</v>
      </c>
      <c r="F2755" s="140">
        <v>12.6</v>
      </c>
      <c r="G2755" s="141">
        <f>'LISTA DE INSUMOS'!E250</f>
        <v>8009.2552605779983</v>
      </c>
      <c r="H2755" s="108">
        <v>1.03</v>
      </c>
      <c r="I2755" s="141">
        <f>ROUND((F2755*G2755*H2755),0)</f>
        <v>103944</v>
      </c>
      <c r="J2755" s="47"/>
      <c r="K2755" s="143"/>
    </row>
    <row r="2756" spans="2:11" ht="24.9" customHeight="1" x14ac:dyDescent="0.2">
      <c r="B2756" s="672"/>
      <c r="C2756" s="108" t="str">
        <f>+'LISTA DE INSUMOS'!A213</f>
        <v>MAT177</v>
      </c>
      <c r="D2756" s="139" t="str">
        <f>+'LISTA DE INSUMOS'!B213</f>
        <v>Soldadura para hierro estructural</v>
      </c>
      <c r="E2756" s="108" t="str">
        <f>+'LISTA DE INSUMOS'!C213</f>
        <v>Kg</v>
      </c>
      <c r="F2756" s="140">
        <v>1</v>
      </c>
      <c r="G2756" s="141">
        <f>'LISTA DE INSUMOS'!E213</f>
        <v>14247.017999999998</v>
      </c>
      <c r="H2756" s="108">
        <v>0</v>
      </c>
      <c r="I2756" s="141">
        <f>ROUND((F2756*G2756),0)</f>
        <v>14247</v>
      </c>
      <c r="J2756" s="47"/>
      <c r="K2756" s="143"/>
    </row>
    <row r="2757" spans="2:11" ht="24.9" customHeight="1" x14ac:dyDescent="0.2">
      <c r="B2757" s="672"/>
      <c r="C2757" s="108" t="str">
        <f>+'LISTA DE INSUMOS'!A214</f>
        <v>MAT180</v>
      </c>
      <c r="D2757" s="139" t="str">
        <f>+'LISTA DE INSUMOS'!B214</f>
        <v>Anticorrosivo gris</v>
      </c>
      <c r="E2757" s="108" t="str">
        <f>+'LISTA DE INSUMOS'!C214</f>
        <v>Gl</v>
      </c>
      <c r="F2757" s="140">
        <v>0.1</v>
      </c>
      <c r="G2757" s="141">
        <f>'LISTA DE INSUMOS'!E214</f>
        <v>65120.489999999991</v>
      </c>
      <c r="H2757" s="108">
        <v>1.03</v>
      </c>
      <c r="I2757" s="141">
        <f>ROUND((F2757*G2757*H2757),0)</f>
        <v>6707</v>
      </c>
      <c r="J2757" s="47"/>
      <c r="K2757" s="143"/>
    </row>
    <row r="2758" spans="2:11" ht="24.9" customHeight="1" thickBot="1" x14ac:dyDescent="0.25">
      <c r="B2758" s="673"/>
      <c r="C2758" s="108" t="str">
        <f>+'LISTA DE INSUMOS'!A153</f>
        <v>MAT112</v>
      </c>
      <c r="D2758" s="139" t="str">
        <f>+'LISTA DE INSUMOS'!B153</f>
        <v>Pintura esmalte para exteriores</v>
      </c>
      <c r="E2758" s="108" t="str">
        <f>+'LISTA DE INSUMOS'!C153</f>
        <v>Gl</v>
      </c>
      <c r="F2758" s="140">
        <v>0.1</v>
      </c>
      <c r="G2758" s="141">
        <f>'LISTA DE INSUMOS'!E153</f>
        <v>99769.889999999985</v>
      </c>
      <c r="H2758" s="108">
        <v>1.03</v>
      </c>
      <c r="I2758" s="141">
        <f>ROUND((F2758*G2758*H2758),0)</f>
        <v>10276</v>
      </c>
      <c r="J2758" s="47"/>
      <c r="K2758" s="143"/>
    </row>
    <row r="2759" spans="2:11" ht="24.9" customHeight="1" thickTop="1" thickBot="1" x14ac:dyDescent="0.25">
      <c r="B2759" s="191" t="s">
        <v>1310</v>
      </c>
      <c r="C2759" s="108" t="str">
        <f>+B574</f>
        <v>ITE96</v>
      </c>
      <c r="D2759" s="139" t="str">
        <f>+D574</f>
        <v>Mortero 1:3 (producción)</v>
      </c>
      <c r="E2759" s="108" t="str">
        <f>+E574</f>
        <v>M3</v>
      </c>
      <c r="F2759" s="140">
        <v>0.02</v>
      </c>
      <c r="G2759" s="141">
        <f>G574</f>
        <v>580906</v>
      </c>
      <c r="H2759" s="108">
        <v>1.05</v>
      </c>
      <c r="I2759" s="141">
        <f>ROUND((F2759*G2759*H2759),0)</f>
        <v>12199</v>
      </c>
      <c r="J2759" s="47"/>
      <c r="K2759" s="143"/>
    </row>
    <row r="2760" spans="2:11" ht="24.9" customHeight="1" thickTop="1" x14ac:dyDescent="0.2">
      <c r="B2760" s="649" t="s">
        <v>1034</v>
      </c>
      <c r="C2760" s="108" t="str">
        <f>+'LISTA DE INSUMOS'!A18</f>
        <v>MOB015</v>
      </c>
      <c r="D2760" s="139" t="str">
        <f>+'LISTA DE INSUMOS'!B18</f>
        <v>Cuadrilla E 1 Of + 1 Ay (jornal + prestaciones)</v>
      </c>
      <c r="E2760" s="108" t="str">
        <f>+'LISTA DE INSUMOS'!C18</f>
        <v>Día</v>
      </c>
      <c r="F2760" s="140">
        <v>1</v>
      </c>
      <c r="G2760" s="141">
        <f>'LISTA DE INSUMOS'!E18</f>
        <v>245584</v>
      </c>
      <c r="H2760" s="108">
        <f>1/6</f>
        <v>0.16666666666666666</v>
      </c>
      <c r="I2760" s="141">
        <f>ROUND((F2760*G2760*H2760),0)</f>
        <v>40931</v>
      </c>
      <c r="J2760" s="47"/>
      <c r="K2760" s="143"/>
    </row>
    <row r="2761" spans="2:11" ht="24.9" customHeight="1" thickBot="1" x14ac:dyDescent="0.25">
      <c r="B2761" s="651"/>
      <c r="C2761" s="125" t="str">
        <f>+'LISTA DE INSUMOS'!A12</f>
        <v>MOB009</v>
      </c>
      <c r="D2761" s="155" t="str">
        <f>+'LISTA DE INSUMOS'!B12</f>
        <v>Cuadrilla S (1Sold.+1Ay práctico) (jornal + prestaciones)</v>
      </c>
      <c r="E2761" s="108" t="str">
        <f>+'LISTA DE INSUMOS'!C12</f>
        <v>Día</v>
      </c>
      <c r="F2761" s="140">
        <v>1</v>
      </c>
      <c r="G2761" s="141">
        <f>'LISTA DE INSUMOS'!E12</f>
        <v>261957</v>
      </c>
      <c r="H2761" s="108">
        <f>1/18</f>
        <v>5.5555555555555552E-2</v>
      </c>
      <c r="I2761" s="141">
        <f>ROUND((F2761*G2761*H2761),0)</f>
        <v>14553</v>
      </c>
      <c r="J2761" s="47"/>
      <c r="K2761" s="143"/>
    </row>
    <row r="2762" spans="2:11" ht="24.9" customHeight="1" thickTop="1" x14ac:dyDescent="0.2">
      <c r="B2762" s="647" t="s">
        <v>1033</v>
      </c>
      <c r="C2762" s="108" t="str">
        <f>+'LISTA DE INSUMOS'!A758</f>
        <v>EQU002</v>
      </c>
      <c r="D2762" s="139" t="str">
        <f>+'LISTA DE INSUMOS'!B758</f>
        <v>Herramienta menor (% mano obra)</v>
      </c>
      <c r="E2762" s="108" t="str">
        <f>+'LISTA DE INSUMOS'!C758</f>
        <v>%MO</v>
      </c>
      <c r="F2762" s="140">
        <v>0.1</v>
      </c>
      <c r="G2762" s="141">
        <f>I2760+I2761</f>
        <v>55484</v>
      </c>
      <c r="H2762" s="108">
        <v>0</v>
      </c>
      <c r="I2762" s="141">
        <f>ROUND((F2762*G2762),0)</f>
        <v>5548</v>
      </c>
      <c r="J2762" s="47"/>
      <c r="K2762" s="143"/>
    </row>
    <row r="2763" spans="2:11" ht="12.75" customHeight="1" thickBot="1" x14ac:dyDescent="0.25">
      <c r="B2763" s="704"/>
      <c r="C2763" s="194" t="str">
        <f>+'LISTA DE INSUMOS'!A796</f>
        <v>EQU039</v>
      </c>
      <c r="D2763" s="198" t="str">
        <f>+'LISTA DE INSUMOS'!B796</f>
        <v>Equipo soldadura eléctrica</v>
      </c>
      <c r="E2763" s="194" t="str">
        <f>+'LISTA DE INSUMOS'!C796</f>
        <v>Día</v>
      </c>
      <c r="F2763" s="147">
        <v>1</v>
      </c>
      <c r="G2763" s="235">
        <f>'LISTA DE INSUMOS'!E796</f>
        <v>43693.897103999996</v>
      </c>
      <c r="H2763" s="145">
        <f>1/18</f>
        <v>5.5555555555555552E-2</v>
      </c>
      <c r="I2763" s="148">
        <f>ROUND((F2763*G2763*H2763),0)</f>
        <v>2427</v>
      </c>
      <c r="J2763" s="47"/>
      <c r="K2763" s="143"/>
    </row>
    <row r="2764" spans="2:11" s="317" customFormat="1" ht="27.75" hidden="1" customHeight="1" x14ac:dyDescent="0.2">
      <c r="B2764" s="353" t="s">
        <v>1956</v>
      </c>
      <c r="C2764" s="319"/>
      <c r="D2764" s="320" t="s">
        <v>288</v>
      </c>
      <c r="E2764" s="319" t="s">
        <v>1412</v>
      </c>
      <c r="F2764" s="332"/>
      <c r="G2764" s="312">
        <f>ROUND(SUM(I2765:I2775),0)</f>
        <v>183224</v>
      </c>
      <c r="H2764" s="322"/>
      <c r="I2764" s="312"/>
      <c r="J2764" s="313"/>
      <c r="K2764" s="323"/>
    </row>
    <row r="2765" spans="2:11" s="317" customFormat="1" ht="19.5" hidden="1" customHeight="1" x14ac:dyDescent="0.2">
      <c r="B2765" s="691" t="s">
        <v>1035</v>
      </c>
      <c r="C2765" s="322" t="str">
        <f>+'LISTA DE INSUMOS'!A181</f>
        <v>MAT134</v>
      </c>
      <c r="D2765" s="324" t="str">
        <f>+'LISTA DE INSUMOS'!B181</f>
        <v>Ángulo de 1" x 1/8"</v>
      </c>
      <c r="E2765" s="322" t="str">
        <f>+'LISTA DE INSUMOS'!C181</f>
        <v>M</v>
      </c>
      <c r="F2765" s="325">
        <v>2.6</v>
      </c>
      <c r="G2765" s="312">
        <f>'LISTA DE INSUMOS'!E181</f>
        <v>8460.7605347429999</v>
      </c>
      <c r="H2765" s="322">
        <v>1.05</v>
      </c>
      <c r="I2765" s="312">
        <f>ROUND((F2765*G2765*H2765),0)</f>
        <v>23098</v>
      </c>
      <c r="J2765" s="313"/>
      <c r="K2765" s="323"/>
    </row>
    <row r="2766" spans="2:11" s="317" customFormat="1" ht="15" hidden="1" customHeight="1" x14ac:dyDescent="0.2">
      <c r="B2766" s="691"/>
      <c r="C2766" s="322" t="str">
        <f>+'LISTA DE INSUMOS'!A221</f>
        <v>MAT189</v>
      </c>
      <c r="D2766" s="324" t="str">
        <f>+'LISTA DE INSUMOS'!B221</f>
        <v>Ángulo de 1 1/2" x 1/8"</v>
      </c>
      <c r="E2766" s="322" t="str">
        <f>+'LISTA DE INSUMOS'!C221</f>
        <v>M</v>
      </c>
      <c r="F2766" s="325">
        <v>2.6</v>
      </c>
      <c r="G2766" s="312">
        <f>'LISTA DE INSUMOS'!E221</f>
        <v>12680.5736574</v>
      </c>
      <c r="H2766" s="322">
        <v>1.05</v>
      </c>
      <c r="I2766" s="312">
        <f>ROUND((F2766*G2766*H2766),0)</f>
        <v>34618</v>
      </c>
      <c r="J2766" s="313"/>
      <c r="K2766" s="323"/>
    </row>
    <row r="2767" spans="2:11" s="317" customFormat="1" ht="20.25" hidden="1" customHeight="1" x14ac:dyDescent="0.2">
      <c r="B2767" s="691"/>
      <c r="C2767" s="322" t="str">
        <f>+'LISTA DE INSUMOS'!A213</f>
        <v>MAT177</v>
      </c>
      <c r="D2767" s="324" t="str">
        <f>+'LISTA DE INSUMOS'!B213</f>
        <v>Soldadura para hierro estructural</v>
      </c>
      <c r="E2767" s="322" t="str">
        <f>+'LISTA DE INSUMOS'!C213</f>
        <v>Kg</v>
      </c>
      <c r="F2767" s="325">
        <v>0.5</v>
      </c>
      <c r="G2767" s="312">
        <f>'LISTA DE INSUMOS'!E213</f>
        <v>14247.017999999998</v>
      </c>
      <c r="H2767" s="322">
        <v>0</v>
      </c>
      <c r="I2767" s="312">
        <f>ROUND((F2767*G2767),0)</f>
        <v>7124</v>
      </c>
      <c r="J2767" s="313"/>
      <c r="K2767" s="323"/>
    </row>
    <row r="2768" spans="2:11" s="317" customFormat="1" ht="23.25" hidden="1" customHeight="1" x14ac:dyDescent="0.2">
      <c r="B2768" s="691"/>
      <c r="C2768" s="322" t="str">
        <f>+'LISTA DE INSUMOS'!A628</f>
        <v>MAT644</v>
      </c>
      <c r="D2768" s="324" t="str">
        <f>+'LISTA DE INSUMOS'!B628</f>
        <v>Bisagra de hierro para rejilla cañuela</v>
      </c>
      <c r="E2768" s="322" t="str">
        <f>+'LISTA DE INSUMOS'!C628</f>
        <v>Un</v>
      </c>
      <c r="F2768" s="325">
        <v>1</v>
      </c>
      <c r="G2768" s="312">
        <f>'LISTA DE INSUMOS'!E628</f>
        <v>21260.543068148996</v>
      </c>
      <c r="H2768" s="322">
        <v>0</v>
      </c>
      <c r="I2768" s="312">
        <f>ROUND((F2768*G2768),0)</f>
        <v>21261</v>
      </c>
      <c r="J2768" s="313"/>
      <c r="K2768" s="323"/>
    </row>
    <row r="2769" spans="2:11" s="317" customFormat="1" ht="21.75" hidden="1" customHeight="1" x14ac:dyDescent="0.2">
      <c r="B2769" s="691"/>
      <c r="C2769" s="322" t="str">
        <f>+'LISTA DE INSUMOS'!A214</f>
        <v>MAT180</v>
      </c>
      <c r="D2769" s="324" t="str">
        <f>+'LISTA DE INSUMOS'!B214</f>
        <v>Anticorrosivo gris</v>
      </c>
      <c r="E2769" s="322" t="str">
        <f>+'LISTA DE INSUMOS'!C214</f>
        <v>Gl</v>
      </c>
      <c r="F2769" s="325">
        <v>0.04</v>
      </c>
      <c r="G2769" s="312">
        <f>'LISTA DE INSUMOS'!E214</f>
        <v>65120.489999999991</v>
      </c>
      <c r="H2769" s="322">
        <v>1.03</v>
      </c>
      <c r="I2769" s="312">
        <f>ROUND((F2769*G2769*H2769),0)</f>
        <v>2683</v>
      </c>
      <c r="J2769" s="313"/>
      <c r="K2769" s="323"/>
    </row>
    <row r="2770" spans="2:11" s="317" customFormat="1" ht="19.5" hidden="1" customHeight="1" thickBot="1" x14ac:dyDescent="0.25">
      <c r="B2770" s="692"/>
      <c r="C2770" s="322" t="str">
        <f>+'LISTA DE INSUMOS'!A153</f>
        <v>MAT112</v>
      </c>
      <c r="D2770" s="324" t="str">
        <f>+'LISTA DE INSUMOS'!B153</f>
        <v>Pintura esmalte para exteriores</v>
      </c>
      <c r="E2770" s="322" t="str">
        <f>+'LISTA DE INSUMOS'!C153</f>
        <v>Gl</v>
      </c>
      <c r="F2770" s="325">
        <v>0.04</v>
      </c>
      <c r="G2770" s="312">
        <f>'LISTA DE INSUMOS'!E153</f>
        <v>99769.889999999985</v>
      </c>
      <c r="H2770" s="322">
        <v>1.03</v>
      </c>
      <c r="I2770" s="312">
        <f>ROUND((F2770*G2770*H2770),0)</f>
        <v>4111</v>
      </c>
      <c r="J2770" s="313"/>
      <c r="K2770" s="323"/>
    </row>
    <row r="2771" spans="2:11" s="317" customFormat="1" ht="21.75" hidden="1" customHeight="1" thickTop="1" thickBot="1" x14ac:dyDescent="0.25">
      <c r="B2771" s="347" t="s">
        <v>1310</v>
      </c>
      <c r="C2771" s="322" t="str">
        <f>+B587</f>
        <v>ITE98</v>
      </c>
      <c r="D2771" s="324" t="str">
        <f>+D587</f>
        <v>Acero Fy = 60.000 psi d&gt;1/4"</v>
      </c>
      <c r="E2771" s="322" t="str">
        <f>+E587</f>
        <v>Kg</v>
      </c>
      <c r="F2771" s="321">
        <v>1.2</v>
      </c>
      <c r="G2771" s="312">
        <f>G587</f>
        <v>7240</v>
      </c>
      <c r="H2771" s="349">
        <v>0</v>
      </c>
      <c r="I2771" s="312">
        <f>ROUND((F2771*G2771),0)</f>
        <v>8688</v>
      </c>
      <c r="J2771" s="313"/>
      <c r="K2771" s="323"/>
    </row>
    <row r="2772" spans="2:11" s="317" customFormat="1" ht="21.75" hidden="1" customHeight="1" thickTop="1" x14ac:dyDescent="0.2">
      <c r="B2772" s="655" t="s">
        <v>1034</v>
      </c>
      <c r="C2772" s="322" t="str">
        <f>+'LISTA DE INSUMOS'!A20</f>
        <v>MOB017</v>
      </c>
      <c r="D2772" s="324" t="str">
        <f>+'LISTA DE INSUMOS'!B20</f>
        <v>Cuadrilla G 1 Of + 2 Ay (jornal + prestaciones)</v>
      </c>
      <c r="E2772" s="322" t="str">
        <f>+'LISTA DE INSUMOS'!C20</f>
        <v>Día</v>
      </c>
      <c r="F2772" s="325">
        <v>1</v>
      </c>
      <c r="G2772" s="312">
        <f>'LISTA DE INSUMOS'!E20</f>
        <v>327445</v>
      </c>
      <c r="H2772" s="322">
        <f>1/5</f>
        <v>0.2</v>
      </c>
      <c r="I2772" s="312">
        <f>ROUND((F2772*G2772*H2772),0)</f>
        <v>65489</v>
      </c>
      <c r="J2772" s="313"/>
      <c r="K2772" s="323"/>
    </row>
    <row r="2773" spans="2:11" s="317" customFormat="1" ht="18" hidden="1" customHeight="1" thickBot="1" x14ac:dyDescent="0.25">
      <c r="B2773" s="669"/>
      <c r="C2773" s="338" t="str">
        <f>+'LISTA DE INSUMOS'!A12</f>
        <v>MOB009</v>
      </c>
      <c r="D2773" s="339" t="str">
        <f>+'LISTA DE INSUMOS'!B12</f>
        <v>Cuadrilla S (1Sold.+1Ay práctico) (jornal + prestaciones)</v>
      </c>
      <c r="E2773" s="322" t="str">
        <f>+'LISTA DE INSUMOS'!C12</f>
        <v>Día</v>
      </c>
      <c r="F2773" s="325">
        <v>1</v>
      </c>
      <c r="G2773" s="312">
        <f>'LISTA DE INSUMOS'!E12</f>
        <v>261957</v>
      </c>
      <c r="H2773" s="322">
        <f>1/20</f>
        <v>0.05</v>
      </c>
      <c r="I2773" s="312">
        <f>ROUND((F2773*G2773*H2773),0)</f>
        <v>13098</v>
      </c>
      <c r="J2773" s="313"/>
      <c r="K2773" s="323"/>
    </row>
    <row r="2774" spans="2:11" s="317" customFormat="1" ht="23.25" hidden="1" customHeight="1" thickTop="1" x14ac:dyDescent="0.2">
      <c r="B2774" s="652" t="s">
        <v>1033</v>
      </c>
      <c r="C2774" s="322" t="str">
        <f>+'LISTA DE INSUMOS'!A758</f>
        <v>EQU002</v>
      </c>
      <c r="D2774" s="324" t="str">
        <f>+'LISTA DE INSUMOS'!B758</f>
        <v>Herramienta menor (% mano obra)</v>
      </c>
      <c r="E2774" s="322" t="str">
        <f>+'LISTA DE INSUMOS'!C758</f>
        <v>%MO</v>
      </c>
      <c r="F2774" s="332">
        <v>0.1</v>
      </c>
      <c r="G2774" s="312">
        <f>I2771</f>
        <v>8688</v>
      </c>
      <c r="H2774" s="322">
        <v>0</v>
      </c>
      <c r="I2774" s="312">
        <f>ROUND((F2774*G2774),0)</f>
        <v>869</v>
      </c>
      <c r="J2774" s="313"/>
      <c r="K2774" s="323"/>
    </row>
    <row r="2775" spans="2:11" s="317" customFormat="1" ht="23.25" hidden="1" customHeight="1" thickBot="1" x14ac:dyDescent="0.25">
      <c r="B2775" s="653"/>
      <c r="C2775" s="365" t="str">
        <f>+'LISTA DE INSUMOS'!A796</f>
        <v>EQU039</v>
      </c>
      <c r="D2775" s="367" t="str">
        <f>+'LISTA DE INSUMOS'!B796</f>
        <v>Equipo soldadura eléctrica</v>
      </c>
      <c r="E2775" s="365" t="str">
        <f>+'LISTA DE INSUMOS'!C796</f>
        <v>Día</v>
      </c>
      <c r="F2775" s="330">
        <v>1</v>
      </c>
      <c r="G2775" s="371">
        <f>'LISTA DE INSUMOS'!E796</f>
        <v>43693.897103999996</v>
      </c>
      <c r="H2775" s="329">
        <f>1/20</f>
        <v>0.05</v>
      </c>
      <c r="I2775" s="331">
        <f>ROUND((F2775*G2775*H2775),0)</f>
        <v>2185</v>
      </c>
      <c r="J2775" s="313"/>
      <c r="K2775" s="323"/>
    </row>
    <row r="2776" spans="2:11" s="317" customFormat="1" ht="22.5" hidden="1" customHeight="1" x14ac:dyDescent="0.2">
      <c r="B2776" s="319" t="s">
        <v>1957</v>
      </c>
      <c r="C2776" s="319"/>
      <c r="D2776" s="320" t="s">
        <v>290</v>
      </c>
      <c r="E2776" s="319" t="s">
        <v>1412</v>
      </c>
      <c r="F2776" s="321"/>
      <c r="G2776" s="312">
        <f>ROUND(SUM(I2777:I2780),0)</f>
        <v>216484</v>
      </c>
      <c r="H2776" s="322"/>
      <c r="I2776" s="312"/>
      <c r="J2776" s="313"/>
      <c r="K2776" s="323"/>
    </row>
    <row r="2777" spans="2:11" s="317" customFormat="1" ht="20.25" hidden="1" customHeight="1" x14ac:dyDescent="0.2">
      <c r="B2777" s="658" t="s">
        <v>1325</v>
      </c>
      <c r="C2777" s="322" t="str">
        <f>+'LISTA DE INSUMOS'!A251</f>
        <v>MAT220</v>
      </c>
      <c r="D2777" s="324" t="str">
        <f>+'LISTA DE INSUMOS'!B251</f>
        <v>Cercha metálica 5 - 12 m, incluye anticorrosivo</v>
      </c>
      <c r="E2777" s="322" t="str">
        <f>+'LISTA DE INSUMOS'!C251</f>
        <v>M</v>
      </c>
      <c r="F2777" s="325">
        <v>1</v>
      </c>
      <c r="G2777" s="312">
        <f>'LISTA DE INSUMOS'!E251</f>
        <v>179966.80011710397</v>
      </c>
      <c r="H2777" s="322">
        <v>0</v>
      </c>
      <c r="I2777" s="312">
        <f>ROUND((F2777*G2777),0)</f>
        <v>179967</v>
      </c>
      <c r="J2777" s="313"/>
      <c r="K2777" s="323"/>
    </row>
    <row r="2778" spans="2:11" s="317" customFormat="1" ht="22.5" hidden="1" customHeight="1" thickBot="1" x14ac:dyDescent="0.25">
      <c r="B2778" s="668"/>
      <c r="C2778" s="322" t="str">
        <f>+'LISTA DE INSUMOS'!A153</f>
        <v>MAT112</v>
      </c>
      <c r="D2778" s="324" t="str">
        <f>+'LISTA DE INSUMOS'!B153</f>
        <v>Pintura esmalte para exteriores</v>
      </c>
      <c r="E2778" s="322" t="str">
        <f>+'LISTA DE INSUMOS'!C153</f>
        <v>Gl</v>
      </c>
      <c r="F2778" s="325">
        <v>0.1</v>
      </c>
      <c r="G2778" s="312">
        <f>'LISTA DE INSUMOS'!E153</f>
        <v>99769.889999999985</v>
      </c>
      <c r="H2778" s="322">
        <f>1/20</f>
        <v>0.05</v>
      </c>
      <c r="I2778" s="312">
        <f>ROUND((F2778*G2778*H2778),0)</f>
        <v>499</v>
      </c>
      <c r="J2778" s="313"/>
      <c r="K2778" s="323"/>
    </row>
    <row r="2779" spans="2:11" s="317" customFormat="1" ht="30.75" hidden="1" customHeight="1" thickTop="1" thickBot="1" x14ac:dyDescent="0.25">
      <c r="B2779" s="363" t="s">
        <v>1034</v>
      </c>
      <c r="C2779" s="322" t="str">
        <f>+'LISTA DE INSUMOS'!A9</f>
        <v>MOB006</v>
      </c>
      <c r="D2779" s="324" t="str">
        <f>+'LISTA DE INSUMOS'!B9</f>
        <v>Cuadrilla A 1 Of + 4 Ay (jornal + prestaciones)</v>
      </c>
      <c r="E2779" s="322" t="str">
        <f>+'LISTA DE INSUMOS'!C9</f>
        <v>Día</v>
      </c>
      <c r="F2779" s="325">
        <v>1</v>
      </c>
      <c r="G2779" s="312">
        <f>'LISTA DE INSUMOS'!E9</f>
        <v>491167</v>
      </c>
      <c r="H2779" s="322">
        <f>1/15</f>
        <v>6.6666666666666666E-2</v>
      </c>
      <c r="I2779" s="312">
        <f>ROUND((F2779*G2779*H2779),0)</f>
        <v>32744</v>
      </c>
      <c r="J2779" s="313"/>
      <c r="K2779" s="323"/>
    </row>
    <row r="2780" spans="2:11" s="317" customFormat="1" ht="32.25" hidden="1" customHeight="1" thickTop="1" thickBot="1" x14ac:dyDescent="0.25">
      <c r="B2780" s="255" t="s">
        <v>1033</v>
      </c>
      <c r="C2780" s="327" t="str">
        <f>+'LISTA DE INSUMOS'!A762</f>
        <v>EQU006</v>
      </c>
      <c r="D2780" s="328" t="str">
        <f>+'LISTA DE INSUMOS'!B762</f>
        <v>Andamio (% mano obra)</v>
      </c>
      <c r="E2780" s="329" t="str">
        <f>+'LISTA DE INSUMOS'!C762</f>
        <v>%MO</v>
      </c>
      <c r="F2780" s="330">
        <v>0.1</v>
      </c>
      <c r="G2780" s="331">
        <f>I2779</f>
        <v>32744</v>
      </c>
      <c r="H2780" s="329">
        <v>0</v>
      </c>
      <c r="I2780" s="331">
        <f>ROUND((F2780*G2780),0)</f>
        <v>3274</v>
      </c>
      <c r="J2780" s="313"/>
      <c r="K2780" s="323"/>
    </row>
    <row r="2781" spans="2:11" s="317" customFormat="1" ht="24.75" hidden="1" customHeight="1" x14ac:dyDescent="0.2">
      <c r="B2781" s="319" t="s">
        <v>1818</v>
      </c>
      <c r="C2781" s="319"/>
      <c r="D2781" s="313" t="s">
        <v>649</v>
      </c>
      <c r="E2781" s="319" t="s">
        <v>1435</v>
      </c>
      <c r="F2781" s="321"/>
      <c r="G2781" s="312">
        <f>ROUND(SUM(I2782:I2788),0)</f>
        <v>539548</v>
      </c>
      <c r="H2781" s="322"/>
      <c r="I2781" s="312"/>
      <c r="J2781" s="313"/>
      <c r="K2781" s="323"/>
    </row>
    <row r="2782" spans="2:11" s="317" customFormat="1" ht="24.75" hidden="1" customHeight="1" x14ac:dyDescent="0.2">
      <c r="B2782" s="691" t="s">
        <v>1035</v>
      </c>
      <c r="C2782" s="322" t="str">
        <f>+'LISTA DE INSUMOS'!A365</f>
        <v>MAT358</v>
      </c>
      <c r="D2782" s="368" t="str">
        <f>+'LISTA DE INSUMOS'!B365</f>
        <v>Puerta para división en lamina doble C 20 h = 1,60 m, incluye anticorrosivo</v>
      </c>
      <c r="E2782" s="322" t="str">
        <f>+'LISTA DE INSUMOS'!C365</f>
        <v>M2</v>
      </c>
      <c r="F2782" s="325">
        <v>1.6</v>
      </c>
      <c r="G2782" s="312">
        <f>'LISTA DE INSUMOS'!E365</f>
        <v>256591.40795748896</v>
      </c>
      <c r="H2782" s="322">
        <v>1.05</v>
      </c>
      <c r="I2782" s="312">
        <f>ROUND((F2782*G2782*H2782),0)</f>
        <v>431074</v>
      </c>
      <c r="J2782" s="313"/>
      <c r="K2782" s="323"/>
    </row>
    <row r="2783" spans="2:11" s="317" customFormat="1" ht="30" hidden="1" customHeight="1" x14ac:dyDescent="0.2">
      <c r="B2783" s="691"/>
      <c r="C2783" s="322" t="str">
        <f>+'LISTA DE INSUMOS'!A37</f>
        <v>MAT008</v>
      </c>
      <c r="D2783" s="324" t="str">
        <f>+'LISTA DE INSUMOS'!B37</f>
        <v>Manija (asa) para puerta</v>
      </c>
      <c r="E2783" s="322" t="str">
        <f>+'LISTA DE INSUMOS'!C37</f>
        <v>Un</v>
      </c>
      <c r="F2783" s="325">
        <v>1</v>
      </c>
      <c r="G2783" s="312">
        <f>'LISTA DE INSUMOS'!E37</f>
        <v>15900</v>
      </c>
      <c r="H2783" s="322">
        <v>0</v>
      </c>
      <c r="I2783" s="312">
        <f>ROUND((F2783*G2783),0)</f>
        <v>15900</v>
      </c>
      <c r="J2783" s="313"/>
      <c r="K2783" s="323"/>
    </row>
    <row r="2784" spans="2:11" s="317" customFormat="1" ht="15" hidden="1" customHeight="1" x14ac:dyDescent="0.2">
      <c r="B2784" s="691"/>
      <c r="C2784" s="338" t="str">
        <f>+'LISTA DE INSUMOS'!A166</f>
        <v>MAT121</v>
      </c>
      <c r="D2784" s="339" t="str">
        <f>+'LISTA DE INSUMOS'!B166</f>
        <v>Bisagra de acero 2"</v>
      </c>
      <c r="E2784" s="338" t="str">
        <f>+'LISTA DE INSUMOS'!C166</f>
        <v>Un</v>
      </c>
      <c r="F2784" s="325">
        <v>3</v>
      </c>
      <c r="G2784" s="341">
        <f>+'LISTA DE INSUMOS'!E166</f>
        <v>12127.289999999999</v>
      </c>
      <c r="H2784" s="322">
        <v>0</v>
      </c>
      <c r="I2784" s="312">
        <f>ROUND((F2784*G2784),0)</f>
        <v>36382</v>
      </c>
      <c r="J2784" s="313"/>
      <c r="K2784" s="323"/>
    </row>
    <row r="2785" spans="2:11" s="317" customFormat="1" ht="25.5" hidden="1" customHeight="1" x14ac:dyDescent="0.2">
      <c r="B2785" s="691"/>
      <c r="C2785" s="338" t="str">
        <f>+'LISTA DE INSUMOS'!A604</f>
        <v>MAT621</v>
      </c>
      <c r="D2785" s="339" t="str">
        <f>+'LISTA DE INSUMOS'!B604</f>
        <v>Seguro para puerta en lámina</v>
      </c>
      <c r="E2785" s="322" t="str">
        <f>+'LISTA DE INSUMOS'!C604</f>
        <v>Un</v>
      </c>
      <c r="F2785" s="325">
        <v>1</v>
      </c>
      <c r="G2785" s="312">
        <f>'LISTA DE INSUMOS'!E604</f>
        <v>7056.9092863499991</v>
      </c>
      <c r="H2785" s="322">
        <v>0</v>
      </c>
      <c r="I2785" s="312">
        <f>ROUND((F2785*G2785),0)</f>
        <v>7057</v>
      </c>
      <c r="J2785" s="313"/>
      <c r="K2785" s="323"/>
    </row>
    <row r="2786" spans="2:11" s="317" customFormat="1" ht="27.75" hidden="1" customHeight="1" thickBot="1" x14ac:dyDescent="0.25">
      <c r="B2786" s="692"/>
      <c r="C2786" s="322" t="str">
        <f>+'LISTA DE INSUMOS'!A153</f>
        <v>MAT112</v>
      </c>
      <c r="D2786" s="324" t="str">
        <f>+'LISTA DE INSUMOS'!B153</f>
        <v>Pintura esmalte para exteriores</v>
      </c>
      <c r="E2786" s="322" t="str">
        <f>+'LISTA DE INSUMOS'!C153</f>
        <v>Gl</v>
      </c>
      <c r="F2786" s="325">
        <v>0.04</v>
      </c>
      <c r="G2786" s="312">
        <f>+'LISTA DE INSUMOS'!E153</f>
        <v>99769.889999999985</v>
      </c>
      <c r="H2786" s="322">
        <v>1.03</v>
      </c>
      <c r="I2786" s="312">
        <f>ROUND((F2786*G2786*H2786),0)</f>
        <v>4111</v>
      </c>
      <c r="J2786" s="313"/>
      <c r="K2786" s="323"/>
    </row>
    <row r="2787" spans="2:11" s="317" customFormat="1" ht="27" hidden="1" customHeight="1" thickTop="1" thickBot="1" x14ac:dyDescent="0.25">
      <c r="B2787" s="363" t="s">
        <v>1034</v>
      </c>
      <c r="C2787" s="322" t="str">
        <f>+'LISTA DE INSUMOS'!A18</f>
        <v>MOB015</v>
      </c>
      <c r="D2787" s="324" t="str">
        <f>+'LISTA DE INSUMOS'!B18</f>
        <v>Cuadrilla E 1 Of + 1 Ay (jornal + prestaciones)</v>
      </c>
      <c r="E2787" s="322" t="str">
        <f>+'LISTA DE INSUMOS'!C18</f>
        <v>Día</v>
      </c>
      <c r="F2787" s="325">
        <v>1</v>
      </c>
      <c r="G2787" s="312">
        <f>'LISTA DE INSUMOS'!E18</f>
        <v>245584</v>
      </c>
      <c r="H2787" s="322">
        <f>1/6</f>
        <v>0.16666666666666666</v>
      </c>
      <c r="I2787" s="312">
        <f>ROUND((F2787*G2787*H2787),0)</f>
        <v>40931</v>
      </c>
      <c r="J2787" s="313"/>
      <c r="K2787" s="323"/>
    </row>
    <row r="2788" spans="2:11" s="317" customFormat="1" ht="21.75" hidden="1" customHeight="1" thickTop="1" thickBot="1" x14ac:dyDescent="0.25">
      <c r="B2788" s="255" t="s">
        <v>1033</v>
      </c>
      <c r="C2788" s="327" t="str">
        <f>+'LISTA DE INSUMOS'!A758</f>
        <v>EQU002</v>
      </c>
      <c r="D2788" s="328" t="str">
        <f>+'LISTA DE INSUMOS'!B758</f>
        <v>Herramienta menor (% mano obra)</v>
      </c>
      <c r="E2788" s="329" t="str">
        <f>+'LISTA DE INSUMOS'!C758</f>
        <v>%MO</v>
      </c>
      <c r="F2788" s="330">
        <v>0.1</v>
      </c>
      <c r="G2788" s="331">
        <f>I2787</f>
        <v>40931</v>
      </c>
      <c r="H2788" s="329">
        <v>0</v>
      </c>
      <c r="I2788" s="331">
        <f>ROUND((F2788*G2788),0)</f>
        <v>4093</v>
      </c>
      <c r="J2788" s="313"/>
      <c r="K2788" s="323"/>
    </row>
    <row r="2789" spans="2:11" ht="24.9" customHeight="1" x14ac:dyDescent="0.2">
      <c r="B2789" s="117" t="s">
        <v>1829</v>
      </c>
      <c r="C2789" s="117"/>
      <c r="D2789" s="112" t="s">
        <v>366</v>
      </c>
      <c r="E2789" s="117" t="s">
        <v>2585</v>
      </c>
      <c r="F2789" s="149"/>
      <c r="G2789" s="119">
        <f>ROUND(SUM(I2790:I2790),0)</f>
        <v>252203</v>
      </c>
      <c r="H2789" s="120"/>
      <c r="I2789" s="119"/>
      <c r="J2789" s="47"/>
      <c r="K2789" s="143"/>
    </row>
    <row r="2790" spans="2:11" ht="24.9" customHeight="1" thickBot="1" x14ac:dyDescent="0.25">
      <c r="B2790" s="252" t="s">
        <v>1325</v>
      </c>
      <c r="C2790" s="145" t="str">
        <f>+'LISTA DE INSUMOS'!A350</f>
        <v>MAT343</v>
      </c>
      <c r="D2790" s="146" t="str">
        <f>+'LISTA DE INSUMOS'!B350</f>
        <v>División para baño en aluminio anoloc y acrílico</v>
      </c>
      <c r="E2790" s="145" t="str">
        <f>+'LISTA DE INSUMOS'!C350</f>
        <v>M2</v>
      </c>
      <c r="F2790" s="147">
        <v>1</v>
      </c>
      <c r="G2790" s="148">
        <f>'LISTA DE INSUMOS'!E350</f>
        <v>252202.52051939993</v>
      </c>
      <c r="H2790" s="145">
        <v>0</v>
      </c>
      <c r="I2790" s="148">
        <f>ROUND((F2790*G2790),0)</f>
        <v>252203</v>
      </c>
      <c r="J2790" s="47"/>
      <c r="K2790" s="143"/>
    </row>
    <row r="2791" spans="2:11" s="317" customFormat="1" ht="24.9" hidden="1" customHeight="1" thickBot="1" x14ac:dyDescent="0.25">
      <c r="B2791" s="319" t="s">
        <v>1808</v>
      </c>
      <c r="C2791" s="319"/>
      <c r="D2791" s="320" t="s">
        <v>1898</v>
      </c>
      <c r="E2791" s="319" t="s">
        <v>2585</v>
      </c>
      <c r="F2791" s="332"/>
      <c r="G2791" s="312">
        <f>ROUND(SUM(I2792:I2792),0)</f>
        <v>35083</v>
      </c>
      <c r="H2791" s="322"/>
      <c r="I2791" s="312"/>
      <c r="J2791" s="313"/>
      <c r="K2791" s="323"/>
    </row>
    <row r="2792" spans="2:11" s="317" customFormat="1" ht="24.9" hidden="1" customHeight="1" thickTop="1" thickBot="1" x14ac:dyDescent="0.25">
      <c r="B2792" s="363" t="s">
        <v>1034</v>
      </c>
      <c r="C2792" s="329" t="str">
        <f>+'LISTA DE INSUMOS'!A18</f>
        <v>MOB015</v>
      </c>
      <c r="D2792" s="328" t="str">
        <f>+'LISTA DE INSUMOS'!B18</f>
        <v>Cuadrilla E 1 Of + 1 Ay (jornal + prestaciones)</v>
      </c>
      <c r="E2792" s="329" t="str">
        <f>+'LISTA DE INSUMOS'!C18</f>
        <v>Día</v>
      </c>
      <c r="F2792" s="330">
        <v>1</v>
      </c>
      <c r="G2792" s="331">
        <f>'LISTA DE INSUMOS'!E18</f>
        <v>245584</v>
      </c>
      <c r="H2792" s="329">
        <f>1/7</f>
        <v>0.14285714285714285</v>
      </c>
      <c r="I2792" s="331">
        <f>ROUND((F2792*G2792*H2792),0)</f>
        <v>35083</v>
      </c>
      <c r="J2792" s="313"/>
      <c r="K2792" s="323"/>
    </row>
    <row r="2793" spans="2:11" ht="24.9" customHeight="1" x14ac:dyDescent="0.2">
      <c r="B2793" s="193" t="s">
        <v>1846</v>
      </c>
      <c r="C2793" s="117"/>
      <c r="D2793" s="112" t="s">
        <v>1807</v>
      </c>
      <c r="E2793" s="117" t="s">
        <v>1435</v>
      </c>
      <c r="F2793" s="118"/>
      <c r="G2793" s="119">
        <f>ROUND(SUM(I2794:I2798),0)</f>
        <v>24161</v>
      </c>
      <c r="H2793" s="120"/>
      <c r="I2793" s="119"/>
      <c r="J2793" s="47"/>
      <c r="K2793" s="143"/>
    </row>
    <row r="2794" spans="2:11" ht="24.9" customHeight="1" x14ac:dyDescent="0.2">
      <c r="B2794" s="657" t="s">
        <v>1325</v>
      </c>
      <c r="C2794" s="108" t="str">
        <f>+'LISTA DE INSUMOS'!A214</f>
        <v>MAT180</v>
      </c>
      <c r="D2794" s="139" t="str">
        <f>+'LISTA DE INSUMOS'!B214</f>
        <v>Anticorrosivo gris</v>
      </c>
      <c r="E2794" s="108" t="str">
        <f>+'LISTA DE INSUMOS'!C214</f>
        <v>Gl</v>
      </c>
      <c r="F2794" s="152">
        <v>2E-3</v>
      </c>
      <c r="G2794" s="141">
        <f>'LISTA DE INSUMOS'!E214</f>
        <v>65120.489999999991</v>
      </c>
      <c r="H2794" s="108">
        <v>1.03</v>
      </c>
      <c r="I2794" s="141">
        <f>ROUND((F2794*G2794*H2794),0)</f>
        <v>134</v>
      </c>
      <c r="J2794" s="47"/>
      <c r="K2794" s="143"/>
    </row>
    <row r="2795" spans="2:11" ht="24.9" customHeight="1" thickBot="1" x14ac:dyDescent="0.25">
      <c r="B2795" s="659"/>
      <c r="C2795" s="125" t="str">
        <f>+'LISTA DE INSUMOS'!A605</f>
        <v>MAT622</v>
      </c>
      <c r="D2795" s="155" t="str">
        <f>+'LISTA DE INSUMOS'!B605</f>
        <v>Mortero epóxico para anclaje</v>
      </c>
      <c r="E2795" s="108" t="str">
        <f>+'LISTA DE INSUMOS'!C605</f>
        <v>Kg</v>
      </c>
      <c r="F2795" s="140">
        <v>0.1</v>
      </c>
      <c r="G2795" s="141">
        <f>+'LISTA DE INSUMOS'!E605</f>
        <v>33184.367827049995</v>
      </c>
      <c r="H2795" s="108">
        <v>1.05</v>
      </c>
      <c r="I2795" s="141">
        <f>ROUND((F2795*G2795*H2795),0)</f>
        <v>3484</v>
      </c>
      <c r="J2795" s="47"/>
      <c r="K2795" s="143"/>
    </row>
    <row r="2796" spans="2:11" ht="24.9" customHeight="1" thickTop="1" thickBot="1" x14ac:dyDescent="0.25">
      <c r="B2796" s="191" t="s">
        <v>1310</v>
      </c>
      <c r="C2796" s="108" t="str">
        <f>+B587</f>
        <v>ITE98</v>
      </c>
      <c r="D2796" s="139" t="str">
        <f>+D587</f>
        <v>Acero Fy = 60.000 psi d&gt;1/4"</v>
      </c>
      <c r="E2796" s="108" t="str">
        <f>+E587</f>
        <v>Kg</v>
      </c>
      <c r="F2796" s="176">
        <v>2.34</v>
      </c>
      <c r="G2796" s="141">
        <f>G587</f>
        <v>7240</v>
      </c>
      <c r="H2796" s="205">
        <v>0</v>
      </c>
      <c r="I2796" s="141">
        <f>ROUND((F2796*G2796),0)</f>
        <v>16942</v>
      </c>
      <c r="J2796" s="47"/>
      <c r="K2796" s="143"/>
    </row>
    <row r="2797" spans="2:11" ht="24.9" customHeight="1" thickTop="1" thickBot="1" x14ac:dyDescent="0.25">
      <c r="B2797" s="153" t="s">
        <v>1034</v>
      </c>
      <c r="C2797" s="108" t="str">
        <f>+'LISTA DE INSUMOS'!A5</f>
        <v>MOB002</v>
      </c>
      <c r="D2797" s="139" t="str">
        <f>+'LISTA DE INSUMOS'!B5</f>
        <v>Oficial (jornal + prestaciones)</v>
      </c>
      <c r="E2797" s="108" t="str">
        <f>+'LISTA DE INSUMOS'!C5</f>
        <v>Día</v>
      </c>
      <c r="F2797" s="140">
        <v>1</v>
      </c>
      <c r="G2797" s="141">
        <f>+'LISTA DE INSUMOS'!E5</f>
        <v>163723</v>
      </c>
      <c r="H2797" s="108">
        <v>0.02</v>
      </c>
      <c r="I2797" s="141">
        <f>ROUND((F2797*G2797*H2797),0)</f>
        <v>3274</v>
      </c>
      <c r="J2797" s="47"/>
      <c r="K2797" s="143"/>
    </row>
    <row r="2798" spans="2:11" ht="24.9" customHeight="1" thickTop="1" thickBot="1" x14ac:dyDescent="0.25">
      <c r="B2798" s="150" t="s">
        <v>1033</v>
      </c>
      <c r="C2798" s="145" t="str">
        <f>+'LISTA DE INSUMOS'!A758</f>
        <v>EQU002</v>
      </c>
      <c r="D2798" s="146" t="str">
        <f>+'LISTA DE INSUMOS'!B758</f>
        <v>Herramienta menor (% mano obra)</v>
      </c>
      <c r="E2798" s="145" t="str">
        <f>+'LISTA DE INSUMOS'!C758</f>
        <v>%MO</v>
      </c>
      <c r="F2798" s="147">
        <v>0.1</v>
      </c>
      <c r="G2798" s="148">
        <f>I2797</f>
        <v>3274</v>
      </c>
      <c r="H2798" s="145">
        <v>0</v>
      </c>
      <c r="I2798" s="148">
        <f>ROUND((F2798*G2798),0)</f>
        <v>327</v>
      </c>
      <c r="J2798" s="47"/>
      <c r="K2798" s="143"/>
    </row>
    <row r="2799" spans="2:11" ht="24.9" customHeight="1" x14ac:dyDescent="0.2">
      <c r="B2799" s="117" t="s">
        <v>1682</v>
      </c>
      <c r="C2799" s="193"/>
      <c r="D2799" s="221" t="s">
        <v>293</v>
      </c>
      <c r="E2799" s="193" t="s">
        <v>1412</v>
      </c>
      <c r="F2799" s="253"/>
      <c r="G2799" s="223">
        <f>ROUND(SUM(I2800:I2802),0)</f>
        <v>39764</v>
      </c>
      <c r="H2799" s="224"/>
      <c r="I2799" s="223"/>
      <c r="J2799" s="47"/>
      <c r="K2799" s="143"/>
    </row>
    <row r="2800" spans="2:11" ht="24.9" customHeight="1" x14ac:dyDescent="0.2">
      <c r="B2800" s="657" t="s">
        <v>1325</v>
      </c>
      <c r="C2800" s="108" t="str">
        <f>+'LISTA DE INSUMOS'!A173</f>
        <v>MAT127</v>
      </c>
      <c r="D2800" s="139" t="str">
        <f>+'LISTA DE INSUMOS'!B173</f>
        <v>Pirlán de bronce</v>
      </c>
      <c r="E2800" s="108" t="str">
        <f>+'LISTA DE INSUMOS'!C173</f>
        <v>M</v>
      </c>
      <c r="F2800" s="140">
        <v>1</v>
      </c>
      <c r="G2800" s="141">
        <f>'LISTA DE INSUMOS'!E173</f>
        <v>31278.748354919993</v>
      </c>
      <c r="H2800" s="108">
        <v>0</v>
      </c>
      <c r="I2800" s="141">
        <f>ROUND((F2800*G2800),0)</f>
        <v>31279</v>
      </c>
      <c r="J2800" s="47"/>
      <c r="K2800" s="143"/>
    </row>
    <row r="2801" spans="2:11" ht="24.9" customHeight="1" thickBot="1" x14ac:dyDescent="0.25">
      <c r="B2801" s="659"/>
      <c r="C2801" s="108" t="str">
        <f>+'LISTA DE INSUMOS'!A31</f>
        <v>MAT002</v>
      </c>
      <c r="D2801" s="139" t="str">
        <f>+'LISTA DE INSUMOS'!B31</f>
        <v>Cemento blanco</v>
      </c>
      <c r="E2801" s="108" t="str">
        <f>+'LISTA DE INSUMOS'!C31</f>
        <v>Kg</v>
      </c>
      <c r="F2801" s="140">
        <v>0.1</v>
      </c>
      <c r="G2801" s="141">
        <f>'LISTA DE INSUMOS'!E31</f>
        <v>2900</v>
      </c>
      <c r="H2801" s="108">
        <v>1.03</v>
      </c>
      <c r="I2801" s="141">
        <f>ROUND((F2801*G2801*H2801),0)</f>
        <v>299</v>
      </c>
      <c r="J2801" s="47"/>
      <c r="K2801" s="143"/>
    </row>
    <row r="2802" spans="2:11" ht="24.9" customHeight="1" thickTop="1" thickBot="1" x14ac:dyDescent="0.25">
      <c r="B2802" s="153" t="s">
        <v>1034</v>
      </c>
      <c r="C2802" s="145" t="str">
        <f>+'LISTA DE INSUMOS'!A5</f>
        <v>MOB002</v>
      </c>
      <c r="D2802" s="146" t="str">
        <f>+'LISTA DE INSUMOS'!B5</f>
        <v>Oficial (jornal + prestaciones)</v>
      </c>
      <c r="E2802" s="145" t="str">
        <f>+'LISTA DE INSUMOS'!C5</f>
        <v>Día</v>
      </c>
      <c r="F2802" s="147">
        <v>1</v>
      </c>
      <c r="G2802" s="148">
        <f>'LISTA DE INSUMOS'!E5</f>
        <v>163723</v>
      </c>
      <c r="H2802" s="145">
        <f>1/20</f>
        <v>0.05</v>
      </c>
      <c r="I2802" s="148">
        <f>ROUND((F2802*G2802*H2802),0)</f>
        <v>8186</v>
      </c>
      <c r="J2802" s="47"/>
      <c r="K2802" s="143"/>
    </row>
    <row r="2803" spans="2:11" s="317" customFormat="1" ht="24.9" hidden="1" customHeight="1" x14ac:dyDescent="0.2">
      <c r="B2803" s="353" t="s">
        <v>1741</v>
      </c>
      <c r="C2803" s="319"/>
      <c r="D2803" s="320" t="s">
        <v>455</v>
      </c>
      <c r="E2803" s="319" t="s">
        <v>1412</v>
      </c>
      <c r="F2803" s="321"/>
      <c r="G2803" s="312">
        <f>ROUND(SUM(I2804:I2806),0)</f>
        <v>35226</v>
      </c>
      <c r="H2803" s="322"/>
      <c r="I2803" s="312"/>
      <c r="J2803" s="313"/>
      <c r="K2803" s="323"/>
    </row>
    <row r="2804" spans="2:11" s="317" customFormat="1" ht="35.25" hidden="1" customHeight="1" thickBot="1" x14ac:dyDescent="0.25">
      <c r="B2804" s="347" t="s">
        <v>1325</v>
      </c>
      <c r="C2804" s="322" t="str">
        <f>+'LISTA DE INSUMOS'!A349</f>
        <v>MAT341</v>
      </c>
      <c r="D2804" s="324" t="str">
        <f>+'LISTA DE INSUMOS'!B349</f>
        <v>Ángulo de 2" x 3/16"</v>
      </c>
      <c r="E2804" s="322" t="str">
        <f>+'LISTA DE INSUMOS'!C349</f>
        <v>M</v>
      </c>
      <c r="F2804" s="325">
        <v>1</v>
      </c>
      <c r="G2804" s="312">
        <f>'LISTA DE INSUMOS'!E349</f>
        <v>24421.401528844319</v>
      </c>
      <c r="H2804" s="322">
        <v>0</v>
      </c>
      <c r="I2804" s="312">
        <f>ROUND((F2804*G2804),0)</f>
        <v>24421</v>
      </c>
      <c r="J2804" s="313"/>
      <c r="K2804" s="323"/>
    </row>
    <row r="2805" spans="2:11" s="317" customFormat="1" ht="24.9" hidden="1" customHeight="1" thickTop="1" thickBot="1" x14ac:dyDescent="0.25">
      <c r="B2805" s="372" t="s">
        <v>1034</v>
      </c>
      <c r="C2805" s="322" t="str">
        <f>+'LISTA DE INSUMOS'!A18</f>
        <v>MOB015</v>
      </c>
      <c r="D2805" s="324" t="str">
        <f>+'LISTA DE INSUMOS'!B18</f>
        <v>Cuadrilla E 1 Of + 1 Ay (jornal + prestaciones)</v>
      </c>
      <c r="E2805" s="322" t="str">
        <f>+'LISTA DE INSUMOS'!C18</f>
        <v>Día</v>
      </c>
      <c r="F2805" s="325">
        <v>1</v>
      </c>
      <c r="G2805" s="312">
        <f>'LISTA DE INSUMOS'!E18</f>
        <v>245584</v>
      </c>
      <c r="H2805" s="322">
        <f>1/25</f>
        <v>0.04</v>
      </c>
      <c r="I2805" s="312">
        <f>ROUND((F2805*G2805*H2805),0)</f>
        <v>9823</v>
      </c>
      <c r="J2805" s="313"/>
      <c r="K2805" s="323"/>
    </row>
    <row r="2806" spans="2:11" s="317" customFormat="1" ht="24.9" hidden="1" customHeight="1" thickTop="1" thickBot="1" x14ac:dyDescent="0.25">
      <c r="B2806" s="373" t="s">
        <v>1033</v>
      </c>
      <c r="C2806" s="327" t="str">
        <f>+'LISTA DE INSUMOS'!A758</f>
        <v>EQU002</v>
      </c>
      <c r="D2806" s="328" t="str">
        <f>+'LISTA DE INSUMOS'!B758</f>
        <v>Herramienta menor (% mano obra)</v>
      </c>
      <c r="E2806" s="329" t="str">
        <f>+'LISTA DE INSUMOS'!C758</f>
        <v>%MO</v>
      </c>
      <c r="F2806" s="330">
        <v>0.1</v>
      </c>
      <c r="G2806" s="331">
        <f>I2805</f>
        <v>9823</v>
      </c>
      <c r="H2806" s="329">
        <v>0</v>
      </c>
      <c r="I2806" s="331">
        <f>ROUND((F2806*G2806),0)</f>
        <v>982</v>
      </c>
      <c r="J2806" s="313"/>
      <c r="K2806" s="323"/>
    </row>
    <row r="2807" spans="2:11" ht="24.9" customHeight="1" x14ac:dyDescent="0.2">
      <c r="B2807" s="193" t="s">
        <v>1834</v>
      </c>
      <c r="C2807" s="117"/>
      <c r="D2807" s="112" t="s">
        <v>1796</v>
      </c>
      <c r="E2807" s="117" t="s">
        <v>1412</v>
      </c>
      <c r="F2807" s="118"/>
      <c r="G2807" s="119">
        <f>ROUND(SUM(I2808:I2817),0)</f>
        <v>243313</v>
      </c>
      <c r="H2807" s="120"/>
      <c r="I2807" s="119"/>
      <c r="J2807" s="47"/>
      <c r="K2807" s="143"/>
    </row>
    <row r="2808" spans="2:11" ht="24.9" customHeight="1" x14ac:dyDescent="0.2">
      <c r="B2808" s="672" t="s">
        <v>1035</v>
      </c>
      <c r="C2808" s="108" t="str">
        <f>+'LISTA DE INSUMOS'!A55</f>
        <v>MAT024</v>
      </c>
      <c r="D2808" s="139" t="str">
        <f>+'LISTA DE INSUMOS'!B55</f>
        <v>Tubería de HG de 2" de 1,5 mm</v>
      </c>
      <c r="E2808" s="108" t="str">
        <f>+'LISTA DE INSUMOS'!C55</f>
        <v>M</v>
      </c>
      <c r="F2808" s="140">
        <v>3</v>
      </c>
      <c r="G2808" s="141">
        <f>'LISTA DE INSUMOS'!E55</f>
        <v>24104.904833954999</v>
      </c>
      <c r="H2808" s="108">
        <v>1.03</v>
      </c>
      <c r="I2808" s="141">
        <f>ROUND((F2808*G2808*H2808),0)</f>
        <v>74484</v>
      </c>
      <c r="J2808" s="47"/>
      <c r="K2808" s="143"/>
    </row>
    <row r="2809" spans="2:11" ht="24.9" customHeight="1" x14ac:dyDescent="0.2">
      <c r="B2809" s="672"/>
      <c r="C2809" s="108" t="str">
        <f>+'LISTA DE INSUMOS'!A92</f>
        <v>MAT050</v>
      </c>
      <c r="D2809" s="139" t="str">
        <f>+'LISTA DE INSUMOS'!B92</f>
        <v>Cruces de HG 2"</v>
      </c>
      <c r="E2809" s="108" t="str">
        <f>+'LISTA DE INSUMOS'!C92</f>
        <v>Un</v>
      </c>
      <c r="F2809" s="140">
        <v>0.3</v>
      </c>
      <c r="G2809" s="141">
        <f>'LISTA DE INSUMOS'!E92</f>
        <v>20432.954999999998</v>
      </c>
      <c r="H2809" s="108">
        <v>0</v>
      </c>
      <c r="I2809" s="141">
        <f>ROUND((F2809*G2809),0)</f>
        <v>6130</v>
      </c>
      <c r="J2809" s="47"/>
      <c r="K2809" s="143"/>
    </row>
    <row r="2810" spans="2:11" ht="24.9" customHeight="1" x14ac:dyDescent="0.2">
      <c r="B2810" s="672"/>
      <c r="C2810" s="108" t="str">
        <f>+'LISTA DE INSUMOS'!A386</f>
        <v>MAT379</v>
      </c>
      <c r="D2810" s="139" t="str">
        <f>+'LISTA DE INSUMOS'!B386</f>
        <v>Codo de HG 2" x 90º</v>
      </c>
      <c r="E2810" s="108" t="str">
        <f>+'LISTA DE INSUMOS'!C386</f>
        <v>Un</v>
      </c>
      <c r="F2810" s="140">
        <v>0.2</v>
      </c>
      <c r="G2810" s="141">
        <f>'LISTA DE INSUMOS'!E386</f>
        <v>12734.3339454043</v>
      </c>
      <c r="H2810" s="108">
        <v>0</v>
      </c>
      <c r="I2810" s="141">
        <f>ROUND((F2810*G2810),0)</f>
        <v>2547</v>
      </c>
      <c r="J2810" s="47"/>
      <c r="K2810" s="143"/>
    </row>
    <row r="2811" spans="2:11" ht="24.9" customHeight="1" x14ac:dyDescent="0.2">
      <c r="B2811" s="672"/>
      <c r="C2811" s="108" t="str">
        <f>+'LISTA DE INSUMOS'!A384</f>
        <v>MAT378</v>
      </c>
      <c r="D2811" s="139" t="str">
        <f>+'LISTA DE INSUMOS'!B384</f>
        <v>Tee de HG 2"</v>
      </c>
      <c r="E2811" s="108" t="str">
        <f>+'LISTA DE INSUMOS'!C384</f>
        <v>Un</v>
      </c>
      <c r="F2811" s="140">
        <v>0.5</v>
      </c>
      <c r="G2811" s="141">
        <f>'LISTA DE INSUMOS'!E384</f>
        <v>17095.503884368602</v>
      </c>
      <c r="H2811" s="108">
        <v>0</v>
      </c>
      <c r="I2811" s="141">
        <f>ROUND((F2811*G2811),0)</f>
        <v>8548</v>
      </c>
      <c r="J2811" s="47"/>
      <c r="K2811" s="143"/>
    </row>
    <row r="2812" spans="2:11" ht="24.9" customHeight="1" x14ac:dyDescent="0.2">
      <c r="B2812" s="672"/>
      <c r="C2812" s="108" t="str">
        <f>+'LISTA DE INSUMOS'!A153</f>
        <v>MAT112</v>
      </c>
      <c r="D2812" s="139" t="str">
        <f>+'LISTA DE INSUMOS'!B153</f>
        <v>Pintura esmalte para exteriores</v>
      </c>
      <c r="E2812" s="108" t="str">
        <f>+'LISTA DE INSUMOS'!C153</f>
        <v>Gl</v>
      </c>
      <c r="F2812" s="140">
        <v>1</v>
      </c>
      <c r="G2812" s="141">
        <f>'LISTA DE INSUMOS'!E153</f>
        <v>99769.889999999985</v>
      </c>
      <c r="H2812" s="108">
        <v>1.03</v>
      </c>
      <c r="I2812" s="141">
        <f>ROUND((F2812*G2812*H2812),0)</f>
        <v>102763</v>
      </c>
      <c r="J2812" s="47"/>
      <c r="K2812" s="143"/>
    </row>
    <row r="2813" spans="2:11" ht="24.9" customHeight="1" thickBot="1" x14ac:dyDescent="0.25">
      <c r="B2813" s="673"/>
      <c r="C2813" s="108" t="str">
        <f>+'LISTA DE INSUMOS'!A213</f>
        <v>MAT177</v>
      </c>
      <c r="D2813" s="139" t="str">
        <f>+'LISTA DE INSUMOS'!B213</f>
        <v>Soldadura para hierro estructural</v>
      </c>
      <c r="E2813" s="108" t="str">
        <f>+'LISTA DE INSUMOS'!C213</f>
        <v>Kg</v>
      </c>
      <c r="F2813" s="160">
        <v>0.5</v>
      </c>
      <c r="G2813" s="141">
        <f>'LISTA DE INSUMOS'!E213</f>
        <v>14247.017999999998</v>
      </c>
      <c r="H2813" s="108">
        <v>0</v>
      </c>
      <c r="I2813" s="141">
        <f>ROUND((F2813*G2813),0)</f>
        <v>7124</v>
      </c>
      <c r="J2813" s="47"/>
      <c r="K2813" s="143"/>
    </row>
    <row r="2814" spans="2:11" ht="24.9" customHeight="1" thickTop="1" thickBot="1" x14ac:dyDescent="0.25">
      <c r="B2814" s="191" t="s">
        <v>1310</v>
      </c>
      <c r="C2814" s="108" t="str">
        <f>+B544</f>
        <v>ITE092</v>
      </c>
      <c r="D2814" s="139" t="str">
        <f>+D544</f>
        <v>Concreto de 20,7 Mpa (3000 psi) (producción)</v>
      </c>
      <c r="E2814" s="108" t="str">
        <f>+E544</f>
        <v>M3</v>
      </c>
      <c r="F2814" s="176">
        <v>0.02</v>
      </c>
      <c r="G2814" s="141">
        <f>G544</f>
        <v>596118</v>
      </c>
      <c r="H2814" s="108">
        <v>1.05</v>
      </c>
      <c r="I2814" s="141">
        <f>ROUND((F2814*G2814*H2814),0)</f>
        <v>12518</v>
      </c>
      <c r="J2814" s="47"/>
      <c r="K2814" s="143"/>
    </row>
    <row r="2815" spans="2:11" ht="24.9" customHeight="1" thickTop="1" thickBot="1" x14ac:dyDescent="0.25">
      <c r="B2815" s="250" t="s">
        <v>1034</v>
      </c>
      <c r="C2815" s="108" t="str">
        <f>+'LISTA DE INSUMOS'!A18</f>
        <v>MOB015</v>
      </c>
      <c r="D2815" s="139" t="str">
        <f>+'LISTA DE INSUMOS'!B18</f>
        <v>Cuadrilla E 1 Of + 1 Ay (jornal + prestaciones)</v>
      </c>
      <c r="E2815" s="108" t="str">
        <f>+'LISTA DE INSUMOS'!C18</f>
        <v>Día</v>
      </c>
      <c r="F2815" s="140">
        <v>1</v>
      </c>
      <c r="G2815" s="141">
        <f>'LISTA DE INSUMOS'!E18</f>
        <v>245584</v>
      </c>
      <c r="H2815" s="108">
        <f>1/10</f>
        <v>0.1</v>
      </c>
      <c r="I2815" s="141">
        <f>ROUND((F2815*G2815*H2815),0)</f>
        <v>24558</v>
      </c>
      <c r="J2815" s="47"/>
      <c r="K2815" s="143"/>
    </row>
    <row r="2816" spans="2:11" ht="24.9" customHeight="1" thickTop="1" x14ac:dyDescent="0.2">
      <c r="B2816" s="647" t="s">
        <v>1033</v>
      </c>
      <c r="C2816" s="108" t="str">
        <f>+'LISTA DE INSUMOS'!A758</f>
        <v>EQU002</v>
      </c>
      <c r="D2816" s="139" t="str">
        <f>+'LISTA DE INSUMOS'!B758</f>
        <v>Herramienta menor (% mano obra)</v>
      </c>
      <c r="E2816" s="108" t="str">
        <f>+'LISTA DE INSUMOS'!C758</f>
        <v>%MO</v>
      </c>
      <c r="F2816" s="160">
        <v>0.1</v>
      </c>
      <c r="G2816" s="141">
        <f>I2815</f>
        <v>24558</v>
      </c>
      <c r="H2816" s="108">
        <v>0</v>
      </c>
      <c r="I2816" s="141">
        <f>ROUND((F2816*G2816),0)</f>
        <v>2456</v>
      </c>
      <c r="J2816" s="47"/>
      <c r="K2816" s="143"/>
    </row>
    <row r="2817" spans="2:11" ht="24.9" customHeight="1" thickBot="1" x14ac:dyDescent="0.25">
      <c r="B2817" s="704"/>
      <c r="C2817" s="194" t="str">
        <f>+'LISTA DE INSUMOS'!A796</f>
        <v>EQU039</v>
      </c>
      <c r="D2817" s="198" t="str">
        <f>+'LISTA DE INSUMOS'!B796</f>
        <v>Equipo soldadura eléctrica</v>
      </c>
      <c r="E2817" s="194" t="str">
        <f>+'LISTA DE INSUMOS'!C796</f>
        <v>Día</v>
      </c>
      <c r="F2817" s="147">
        <v>1</v>
      </c>
      <c r="G2817" s="235">
        <f>'LISTA DE INSUMOS'!E796</f>
        <v>43693.897103999996</v>
      </c>
      <c r="H2817" s="145">
        <f>1/20</f>
        <v>0.05</v>
      </c>
      <c r="I2817" s="148">
        <f>ROUND((F2817*G2817*H2817),0)</f>
        <v>2185</v>
      </c>
      <c r="J2817" s="47"/>
      <c r="K2817" s="143"/>
    </row>
    <row r="2818" spans="2:11" ht="24.9" customHeight="1" x14ac:dyDescent="0.2">
      <c r="B2818" s="117" t="s">
        <v>1672</v>
      </c>
      <c r="C2818" s="117"/>
      <c r="D2818" s="112" t="s">
        <v>1797</v>
      </c>
      <c r="E2818" s="117" t="s">
        <v>1412</v>
      </c>
      <c r="F2818" s="118"/>
      <c r="G2818" s="119">
        <f>ROUND(SUM(I2819:I2828),0)</f>
        <v>227792</v>
      </c>
      <c r="H2818" s="120"/>
      <c r="I2818" s="119"/>
      <c r="J2818" s="47"/>
      <c r="K2818" s="143"/>
    </row>
    <row r="2819" spans="2:11" ht="24.9" customHeight="1" x14ac:dyDescent="0.2">
      <c r="B2819" s="672" t="s">
        <v>1035</v>
      </c>
      <c r="C2819" s="108" t="str">
        <f>+'LISTA DE INSUMOS'!A184</f>
        <v>MAT138</v>
      </c>
      <c r="D2819" s="139" t="str">
        <f>+'LISTA DE INSUMOS'!B184</f>
        <v>Tubería de HG de 3" de 1,9 mm</v>
      </c>
      <c r="E2819" s="108" t="str">
        <f>+'LISTA DE INSUMOS'!C184</f>
        <v>M</v>
      </c>
      <c r="F2819" s="140">
        <v>3</v>
      </c>
      <c r="G2819" s="141">
        <f>'LISTA DE INSUMOS'!E184</f>
        <v>29244.840698378179</v>
      </c>
      <c r="H2819" s="108">
        <v>1.03</v>
      </c>
      <c r="I2819" s="141">
        <f>ROUND((F2819*G2819*H2819),0)</f>
        <v>90367</v>
      </c>
      <c r="J2819" s="47"/>
      <c r="K2819" s="143"/>
    </row>
    <row r="2820" spans="2:11" ht="24.9" customHeight="1" x14ac:dyDescent="0.2">
      <c r="B2820" s="672"/>
      <c r="C2820" s="108" t="str">
        <f>+'LISTA DE INSUMOS'!A595</f>
        <v>MAT612</v>
      </c>
      <c r="D2820" s="139" t="str">
        <f>+'LISTA DE INSUMOS'!B595</f>
        <v>Cruces de HG 3"</v>
      </c>
      <c r="E2820" s="108" t="str">
        <f>+'LISTA DE INSUMOS'!C595</f>
        <v>Un</v>
      </c>
      <c r="F2820" s="140">
        <v>0.3</v>
      </c>
      <c r="G2820" s="141">
        <f>'LISTA DE INSUMOS'!E595</f>
        <v>46275.637451869945</v>
      </c>
      <c r="H2820" s="108">
        <v>0</v>
      </c>
      <c r="I2820" s="141">
        <f>ROUND((F2820*G2820),0)</f>
        <v>13883</v>
      </c>
      <c r="J2820" s="47"/>
      <c r="K2820" s="143"/>
    </row>
    <row r="2821" spans="2:11" ht="24.9" customHeight="1" x14ac:dyDescent="0.2">
      <c r="B2821" s="672"/>
      <c r="C2821" s="108" t="str">
        <f>+'LISTA DE INSUMOS'!A262</f>
        <v>MAT232</v>
      </c>
      <c r="D2821" s="139" t="str">
        <f>+'LISTA DE INSUMOS'!B262</f>
        <v>Codo de HG 3" x 90º</v>
      </c>
      <c r="E2821" s="108" t="str">
        <f>+'LISTA DE INSUMOS'!C262</f>
        <v>Un</v>
      </c>
      <c r="F2821" s="140">
        <v>0.4</v>
      </c>
      <c r="G2821" s="141">
        <f>'LISTA DE INSUMOS'!E262</f>
        <v>29421.074086709756</v>
      </c>
      <c r="H2821" s="108">
        <v>0</v>
      </c>
      <c r="I2821" s="141">
        <f>ROUND((F2821*G2821),0)</f>
        <v>11768</v>
      </c>
      <c r="J2821" s="47"/>
      <c r="K2821" s="143"/>
    </row>
    <row r="2822" spans="2:11" ht="24.9" customHeight="1" x14ac:dyDescent="0.2">
      <c r="B2822" s="672"/>
      <c r="C2822" s="108" t="str">
        <f>+'LISTA DE INSUMOS'!A263</f>
        <v>MAT233</v>
      </c>
      <c r="D2822" s="139" t="str">
        <f>+'LISTA DE INSUMOS'!B263</f>
        <v>Tee de HG 3"</v>
      </c>
      <c r="E2822" s="108" t="str">
        <f>+'LISTA DE INSUMOS'!C263</f>
        <v>Un</v>
      </c>
      <c r="F2822" s="140">
        <v>0.5</v>
      </c>
      <c r="G2822" s="141">
        <f>'LISTA DE INSUMOS'!E263</f>
        <v>35925.777583487994</v>
      </c>
      <c r="H2822" s="108">
        <v>0</v>
      </c>
      <c r="I2822" s="141">
        <f>ROUND((F2822*G2822),0)</f>
        <v>17963</v>
      </c>
      <c r="J2822" s="47"/>
      <c r="K2822" s="143"/>
    </row>
    <row r="2823" spans="2:11" ht="24.9" customHeight="1" x14ac:dyDescent="0.2">
      <c r="B2823" s="672"/>
      <c r="C2823" s="108" t="str">
        <f>+'LISTA DE INSUMOS'!A153</f>
        <v>MAT112</v>
      </c>
      <c r="D2823" s="139" t="str">
        <f>+'LISTA DE INSUMOS'!B153</f>
        <v>Pintura esmalte para exteriores</v>
      </c>
      <c r="E2823" s="108" t="str">
        <f>+'LISTA DE INSUMOS'!C153</f>
        <v>Gl</v>
      </c>
      <c r="F2823" s="140">
        <v>1</v>
      </c>
      <c r="G2823" s="141">
        <f>'LISTA DE INSUMOS'!E153</f>
        <v>99769.889999999985</v>
      </c>
      <c r="H2823" s="108">
        <f>1/10</f>
        <v>0.1</v>
      </c>
      <c r="I2823" s="141">
        <f>ROUND((F2823*G2823*H2823),0)</f>
        <v>9977</v>
      </c>
      <c r="J2823" s="47"/>
      <c r="K2823" s="143"/>
    </row>
    <row r="2824" spans="2:11" ht="24.9" customHeight="1" thickBot="1" x14ac:dyDescent="0.25">
      <c r="B2824" s="673"/>
      <c r="C2824" s="108" t="str">
        <f>+'LISTA DE INSUMOS'!A213</f>
        <v>MAT177</v>
      </c>
      <c r="D2824" s="139" t="str">
        <f>+'LISTA DE INSUMOS'!B213</f>
        <v>Soldadura para hierro estructural</v>
      </c>
      <c r="E2824" s="108" t="str">
        <f>+'LISTA DE INSUMOS'!C213</f>
        <v>Kg</v>
      </c>
      <c r="F2824" s="160">
        <v>0.6</v>
      </c>
      <c r="G2824" s="141">
        <f>'LISTA DE INSUMOS'!E213</f>
        <v>14247.017999999998</v>
      </c>
      <c r="H2824" s="108">
        <v>0</v>
      </c>
      <c r="I2824" s="141">
        <f>ROUND((F2824*G2824),0)</f>
        <v>8548</v>
      </c>
      <c r="J2824" s="47"/>
      <c r="K2824" s="143"/>
    </row>
    <row r="2825" spans="2:11" ht="24.9" customHeight="1" thickTop="1" thickBot="1" x14ac:dyDescent="0.25">
      <c r="B2825" s="191" t="s">
        <v>1310</v>
      </c>
      <c r="C2825" s="108" t="str">
        <f>+B544</f>
        <v>ITE092</v>
      </c>
      <c r="D2825" s="139" t="str">
        <f>+D544</f>
        <v>Concreto de 20,7 Mpa (3000 psi) (producción)</v>
      </c>
      <c r="E2825" s="108" t="str">
        <f>+E544</f>
        <v>M3</v>
      </c>
      <c r="F2825" s="176">
        <v>0.02</v>
      </c>
      <c r="G2825" s="141">
        <f>G544</f>
        <v>596118</v>
      </c>
      <c r="H2825" s="108">
        <v>1.05</v>
      </c>
      <c r="I2825" s="141">
        <f>ROUND((F2825*G2825*H2825),0)</f>
        <v>12518</v>
      </c>
      <c r="J2825" s="47"/>
      <c r="K2825" s="143"/>
    </row>
    <row r="2826" spans="2:11" ht="24.9" customHeight="1" thickTop="1" thickBot="1" x14ac:dyDescent="0.25">
      <c r="B2826" s="250" t="s">
        <v>1034</v>
      </c>
      <c r="C2826" s="108" t="str">
        <f>+'LISTA DE INSUMOS'!A18</f>
        <v>MOB015</v>
      </c>
      <c r="D2826" s="139" t="str">
        <f>+'LISTA DE INSUMOS'!B18</f>
        <v>Cuadrilla E 1 Of + 1 Ay (jornal + prestaciones)</v>
      </c>
      <c r="E2826" s="108" t="str">
        <f>+'LISTA DE INSUMOS'!C18</f>
        <v>Día</v>
      </c>
      <c r="F2826" s="140">
        <v>1</v>
      </c>
      <c r="G2826" s="141">
        <f>'LISTA DE INSUMOS'!E18</f>
        <v>245584</v>
      </c>
      <c r="H2826" s="108">
        <f>1/5</f>
        <v>0.2</v>
      </c>
      <c r="I2826" s="141">
        <f>ROUND((F2826*G2826*H2826),0)</f>
        <v>49117</v>
      </c>
      <c r="J2826" s="47"/>
      <c r="K2826" s="143"/>
    </row>
    <row r="2827" spans="2:11" ht="24.9" customHeight="1" thickTop="1" x14ac:dyDescent="0.2">
      <c r="B2827" s="647" t="s">
        <v>1033</v>
      </c>
      <c r="C2827" s="108" t="str">
        <f>+'LISTA DE INSUMOS'!A758</f>
        <v>EQU002</v>
      </c>
      <c r="D2827" s="139" t="str">
        <f>+'LISTA DE INSUMOS'!B758</f>
        <v>Herramienta menor (% mano obra)</v>
      </c>
      <c r="E2827" s="108" t="str">
        <f>+'LISTA DE INSUMOS'!C758</f>
        <v>%MO</v>
      </c>
      <c r="F2827" s="160">
        <v>0.1</v>
      </c>
      <c r="G2827" s="141">
        <f>I2826</f>
        <v>49117</v>
      </c>
      <c r="H2827" s="108">
        <v>0</v>
      </c>
      <c r="I2827" s="141">
        <f>ROUND((F2827*G2827),0)</f>
        <v>4912</v>
      </c>
      <c r="J2827" s="47"/>
      <c r="K2827" s="143"/>
    </row>
    <row r="2828" spans="2:11" ht="24.9" customHeight="1" thickBot="1" x14ac:dyDescent="0.25">
      <c r="B2828" s="704"/>
      <c r="C2828" s="194" t="str">
        <f>+'LISTA DE INSUMOS'!A796</f>
        <v>EQU039</v>
      </c>
      <c r="D2828" s="198" t="str">
        <f>+'LISTA DE INSUMOS'!B796</f>
        <v>Equipo soldadura eléctrica</v>
      </c>
      <c r="E2828" s="194" t="str">
        <f>+'LISTA DE INSUMOS'!C796</f>
        <v>Día</v>
      </c>
      <c r="F2828" s="147">
        <v>1</v>
      </c>
      <c r="G2828" s="235">
        <f>'LISTA DE INSUMOS'!E796</f>
        <v>43693.897103999996</v>
      </c>
      <c r="H2828" s="145">
        <f>1/5</f>
        <v>0.2</v>
      </c>
      <c r="I2828" s="148">
        <f>ROUND((F2828*G2828*H2828),0)</f>
        <v>8739</v>
      </c>
      <c r="J2828" s="47"/>
      <c r="K2828" s="143"/>
    </row>
    <row r="2829" spans="2:11" s="317" customFormat="1" ht="24.9" hidden="1" customHeight="1" x14ac:dyDescent="0.2">
      <c r="B2829" s="353" t="s">
        <v>1932</v>
      </c>
      <c r="C2829" s="319"/>
      <c r="D2829" s="320" t="s">
        <v>1952</v>
      </c>
      <c r="E2829" s="319" t="s">
        <v>1435</v>
      </c>
      <c r="F2829" s="332"/>
      <c r="G2829" s="312">
        <f>ROUND(SUM(I2830:I2831),0)</f>
        <v>886018</v>
      </c>
      <c r="H2829" s="322"/>
      <c r="I2829" s="312"/>
      <c r="J2829" s="313"/>
      <c r="K2829" s="323"/>
    </row>
    <row r="2830" spans="2:11" s="317" customFormat="1" ht="24.9" hidden="1" customHeight="1" thickBot="1" x14ac:dyDescent="0.25">
      <c r="B2830" s="347" t="s">
        <v>1325</v>
      </c>
      <c r="C2830" s="322" t="str">
        <f>+'LISTA DE INSUMOS'!A43</f>
        <v>MAT014</v>
      </c>
      <c r="D2830" s="324" t="str">
        <f>+'LISTA DE INSUMOS'!B43</f>
        <v>Suministro de TAPA y CUELLO MH 70 MACIZA en polipropileno 100% recuperado COLOR VERDES</v>
      </c>
      <c r="E2830" s="322" t="str">
        <f>+'LISTA DE INSUMOS'!C43</f>
        <v>Un</v>
      </c>
      <c r="F2830" s="325">
        <v>1</v>
      </c>
      <c r="G2830" s="312">
        <f>'LISTA DE INSUMOS'!E43</f>
        <v>850935.47531337105</v>
      </c>
      <c r="H2830" s="322">
        <v>0</v>
      </c>
      <c r="I2830" s="312">
        <f>IF(H2830&gt;=0,(F2830*G2830*(1+H2830/100)),ABS(F2830*G2830/H2830))</f>
        <v>850935.47531337105</v>
      </c>
      <c r="J2830" s="313"/>
      <c r="K2830" s="323"/>
    </row>
    <row r="2831" spans="2:11" s="317" customFormat="1" ht="24" hidden="1" customHeight="1" thickTop="1" thickBot="1" x14ac:dyDescent="0.25">
      <c r="B2831" s="363" t="s">
        <v>1034</v>
      </c>
      <c r="C2831" s="329" t="str">
        <f>+'LISTA DE INSUMOS'!A18</f>
        <v>MOB015</v>
      </c>
      <c r="D2831" s="328" t="str">
        <f>+'LISTA DE INSUMOS'!B18</f>
        <v>Cuadrilla E 1 Of + 1 Ay (jornal + prestaciones)</v>
      </c>
      <c r="E2831" s="329" t="str">
        <f>+'LISTA DE INSUMOS'!C18</f>
        <v>Día</v>
      </c>
      <c r="F2831" s="330">
        <v>1</v>
      </c>
      <c r="G2831" s="331">
        <f>'LISTA DE INSUMOS'!E18</f>
        <v>245584</v>
      </c>
      <c r="H2831" s="329">
        <f>1/7</f>
        <v>0.14285714285714285</v>
      </c>
      <c r="I2831" s="331">
        <f>ROUND((F2831*G2831*H2831),0)</f>
        <v>35083</v>
      </c>
      <c r="J2831" s="313"/>
      <c r="K2831" s="323"/>
    </row>
    <row r="2832" spans="2:11" ht="24.9" customHeight="1" x14ac:dyDescent="0.2">
      <c r="B2832" s="117" t="s">
        <v>282</v>
      </c>
      <c r="C2832" s="117"/>
      <c r="D2832" s="112" t="s">
        <v>179</v>
      </c>
      <c r="E2832" s="117" t="s">
        <v>2586</v>
      </c>
      <c r="F2832" s="149"/>
      <c r="G2832" s="119">
        <f>ROUND(SUM(I2833:I2840),0)</f>
        <v>1287685</v>
      </c>
      <c r="H2832" s="120"/>
      <c r="I2832" s="119"/>
      <c r="J2832" s="47"/>
      <c r="K2832" s="143"/>
    </row>
    <row r="2833" spans="2:11" ht="24.9" customHeight="1" thickBot="1" x14ac:dyDescent="0.25">
      <c r="B2833" s="175" t="s">
        <v>1325</v>
      </c>
      <c r="C2833" s="108" t="str">
        <f>+'LISTA DE INSUMOS'!A357</f>
        <v>MAT350</v>
      </c>
      <c r="D2833" s="139" t="str">
        <f>+'LISTA DE INSUMOS'!B357</f>
        <v>Mezcla asfáltica MDC 2</v>
      </c>
      <c r="E2833" s="108" t="str">
        <f>+'LISTA DE INSUMOS'!C357</f>
        <v>M3</v>
      </c>
      <c r="F2833" s="140">
        <v>1</v>
      </c>
      <c r="G2833" s="141">
        <f>'LISTA DE INSUMOS'!E357</f>
        <v>807273.28828563448</v>
      </c>
      <c r="H2833" s="108">
        <v>1.35</v>
      </c>
      <c r="I2833" s="141">
        <f>ROUND((F2833*G2833*H2833),0)</f>
        <v>1089819</v>
      </c>
      <c r="J2833" s="47"/>
      <c r="K2833" s="143"/>
    </row>
    <row r="2834" spans="2:11" ht="24.9" customHeight="1" thickTop="1" x14ac:dyDescent="0.2">
      <c r="B2834" s="702" t="s">
        <v>1310</v>
      </c>
      <c r="C2834" s="108" t="str">
        <f>+B338</f>
        <v>ITE057</v>
      </c>
      <c r="D2834" s="139" t="str">
        <f>+D338</f>
        <v>Transporte material asfáltico</v>
      </c>
      <c r="E2834" s="108" t="s">
        <v>2587</v>
      </c>
      <c r="F2834" s="140">
        <v>40</v>
      </c>
      <c r="G2834" s="141">
        <f>G338</f>
        <v>1707</v>
      </c>
      <c r="H2834" s="108">
        <v>1.25</v>
      </c>
      <c r="I2834" s="141">
        <f>ROUND((F2834*G2834*H2834),0)</f>
        <v>85350</v>
      </c>
      <c r="J2834" s="47"/>
      <c r="K2834" s="143"/>
    </row>
    <row r="2835" spans="2:11" ht="24.9" customHeight="1" thickBot="1" x14ac:dyDescent="0.25">
      <c r="B2835" s="703"/>
      <c r="C2835" s="166" t="str">
        <f>+B417</f>
        <v>ITE068</v>
      </c>
      <c r="D2835" s="167" t="str">
        <f>+D417</f>
        <v>Transporte maquinaría pesada</v>
      </c>
      <c r="E2835" s="108" t="s">
        <v>1906</v>
      </c>
      <c r="F2835" s="160">
        <v>60</v>
      </c>
      <c r="G2835" s="141">
        <f>G417</f>
        <v>26702</v>
      </c>
      <c r="H2835" s="500">
        <f>1/100</f>
        <v>0.01</v>
      </c>
      <c r="I2835" s="141">
        <f>ROUND((F2835*G2835*H2835),0)</f>
        <v>16021</v>
      </c>
      <c r="J2835" s="47"/>
      <c r="K2835" s="143"/>
    </row>
    <row r="2836" spans="2:11" ht="24.9" customHeight="1" thickTop="1" thickBot="1" x14ac:dyDescent="0.25">
      <c r="B2836" s="158" t="s">
        <v>1034</v>
      </c>
      <c r="C2836" s="108" t="str">
        <f>+'LISTA DE INSUMOS'!A19</f>
        <v>MOB016</v>
      </c>
      <c r="D2836" s="139" t="str">
        <f>+'LISTA DE INSUMOS'!B19</f>
        <v>Cuadrilla F 6 Of + 4 Ay (jornal + prestaciones)</v>
      </c>
      <c r="E2836" s="108" t="str">
        <f>+'LISTA DE INSUMOS'!C19</f>
        <v>Día</v>
      </c>
      <c r="F2836" s="140">
        <v>1</v>
      </c>
      <c r="G2836" s="141">
        <f>'LISTA DE INSUMOS'!E19</f>
        <v>1309782</v>
      </c>
      <c r="H2836" s="108">
        <f>1/20</f>
        <v>0.05</v>
      </c>
      <c r="I2836" s="141">
        <f>ROUND((F2836*G2836*H2836),0)</f>
        <v>65489</v>
      </c>
      <c r="J2836" s="47"/>
      <c r="K2836" s="143"/>
    </row>
    <row r="2837" spans="2:11" ht="24.9" customHeight="1" thickTop="1" x14ac:dyDescent="0.2">
      <c r="B2837" s="674" t="s">
        <v>1033</v>
      </c>
      <c r="C2837" s="108" t="str">
        <f>+'LISTA DE INSUMOS'!A758</f>
        <v>EQU002</v>
      </c>
      <c r="D2837" s="139" t="str">
        <f>+'LISTA DE INSUMOS'!B758</f>
        <v>Herramienta menor (% mano obra)</v>
      </c>
      <c r="E2837" s="108" t="str">
        <f>+'LISTA DE INSUMOS'!C758</f>
        <v>%MO</v>
      </c>
      <c r="F2837" s="140">
        <v>0.1</v>
      </c>
      <c r="G2837" s="141">
        <f>I2836</f>
        <v>65489</v>
      </c>
      <c r="H2837" s="108">
        <v>0</v>
      </c>
      <c r="I2837" s="141">
        <f>ROUND((F2837*G2837),0)</f>
        <v>6549</v>
      </c>
      <c r="J2837" s="47"/>
      <c r="K2837" s="143"/>
    </row>
    <row r="2838" spans="2:11" ht="24.9" customHeight="1" x14ac:dyDescent="0.2">
      <c r="B2838" s="679"/>
      <c r="C2838" s="108" t="str">
        <f>+'LISTA DE INSUMOS'!A770</f>
        <v>EQU013</v>
      </c>
      <c r="D2838" s="139" t="str">
        <f>+'LISTA DE INSUMOS'!B770</f>
        <v>Cilindro compactador vibratorio Dynapac 7 ton</v>
      </c>
      <c r="E2838" s="108" t="str">
        <f>+'LISTA DE INSUMOS'!C770</f>
        <v>Hr</v>
      </c>
      <c r="F2838" s="140">
        <v>1</v>
      </c>
      <c r="G2838" s="141">
        <f>'LISTA DE INSUMOS'!E770</f>
        <v>108633.95167481998</v>
      </c>
      <c r="H2838" s="108">
        <f>1/20</f>
        <v>0.05</v>
      </c>
      <c r="I2838" s="141">
        <f>ROUND((F2838*G2838*H2838),0)</f>
        <v>5432</v>
      </c>
      <c r="J2838" s="47"/>
      <c r="K2838" s="143"/>
    </row>
    <row r="2839" spans="2:11" ht="24.9" customHeight="1" x14ac:dyDescent="0.2">
      <c r="B2839" s="679"/>
      <c r="C2839" s="125" t="str">
        <f>+'LISTA DE INSUMOS'!A779</f>
        <v>EQU022</v>
      </c>
      <c r="D2839" s="155" t="str">
        <f>+'LISTA DE INSUMOS'!B779</f>
        <v>Compactador neumático  con tractor</v>
      </c>
      <c r="E2839" s="125" t="str">
        <f>+'LISTA DE INSUMOS'!C779</f>
        <v>Hr</v>
      </c>
      <c r="F2839" s="159">
        <v>1</v>
      </c>
      <c r="G2839" s="170">
        <f>'LISTA DE INSUMOS'!E779</f>
        <v>153535.49954600004</v>
      </c>
      <c r="H2839" s="108">
        <f>1/20</f>
        <v>0.05</v>
      </c>
      <c r="I2839" s="141">
        <f>ROUND((F2839*G2839*H2839),0)</f>
        <v>7677</v>
      </c>
      <c r="J2839" s="47"/>
      <c r="K2839" s="143"/>
    </row>
    <row r="2840" spans="2:11" ht="24.9" customHeight="1" thickBot="1" x14ac:dyDescent="0.25">
      <c r="B2840" s="709"/>
      <c r="C2840" s="145" t="str">
        <f>+'LISTA DE INSUMOS'!A776</f>
        <v>EQU019</v>
      </c>
      <c r="D2840" s="146" t="str">
        <f>+'LISTA DE INSUMOS'!B776</f>
        <v>Finisher (pavimentadora) con operario</v>
      </c>
      <c r="E2840" s="145" t="str">
        <f>+'LISTA DE INSUMOS'!C776</f>
        <v>Hr</v>
      </c>
      <c r="F2840" s="147">
        <v>1</v>
      </c>
      <c r="G2840" s="148">
        <f>'LISTA DE INSUMOS'!E776</f>
        <v>226965.521068</v>
      </c>
      <c r="H2840" s="145">
        <f>1/20</f>
        <v>0.05</v>
      </c>
      <c r="I2840" s="148">
        <f>ROUND((F2840*G2840*H2840),0)</f>
        <v>11348</v>
      </c>
      <c r="J2840" s="47"/>
      <c r="K2840" s="143"/>
    </row>
    <row r="2841" spans="2:11" ht="24.9" customHeight="1" x14ac:dyDescent="0.2">
      <c r="B2841" s="117" t="s">
        <v>2319</v>
      </c>
      <c r="C2841" s="117"/>
      <c r="D2841" s="112" t="s">
        <v>1690</v>
      </c>
      <c r="E2841" s="117" t="s">
        <v>2585</v>
      </c>
      <c r="F2841" s="149"/>
      <c r="G2841" s="119">
        <f>ROUND(SUM(I2842:I2845),0)</f>
        <v>23238</v>
      </c>
      <c r="H2841" s="120"/>
      <c r="I2841" s="119"/>
      <c r="J2841" s="47"/>
      <c r="K2841" s="143"/>
    </row>
    <row r="2842" spans="2:11" ht="24.9" customHeight="1" thickBot="1" x14ac:dyDescent="0.25">
      <c r="B2842" s="175" t="s">
        <v>1325</v>
      </c>
      <c r="C2842" s="108" t="str">
        <f>+'LISTA DE INSUMOS'!A98</f>
        <v>MAT057</v>
      </c>
      <c r="D2842" s="139" t="str">
        <f>+'LISTA DE INSUMOS'!B98</f>
        <v>Asfalto líquido MC-70 para imprimar</v>
      </c>
      <c r="E2842" s="108" t="str">
        <f>+'LISTA DE INSUMOS'!C98</f>
        <v>Gl</v>
      </c>
      <c r="F2842" s="140">
        <f>1/2</f>
        <v>0.5</v>
      </c>
      <c r="G2842" s="141">
        <f>'LISTA DE INSUMOS'!E98</f>
        <v>41783.1</v>
      </c>
      <c r="H2842" s="108">
        <v>1.05</v>
      </c>
      <c r="I2842" s="141">
        <f>ROUND((F2842*G2842*H2842),0)</f>
        <v>21936</v>
      </c>
      <c r="J2842" s="47"/>
      <c r="K2842" s="143"/>
    </row>
    <row r="2843" spans="2:11" ht="24.9" customHeight="1" thickTop="1" thickBot="1" x14ac:dyDescent="0.25">
      <c r="B2843" s="158" t="s">
        <v>1034</v>
      </c>
      <c r="C2843" s="108" t="str">
        <f>+'LISTA DE INSUMOS'!A7</f>
        <v>MOB004</v>
      </c>
      <c r="D2843" s="139" t="str">
        <f>+'LISTA DE INSUMOS'!B7</f>
        <v>Ayudante (jornal + prestaciones)</v>
      </c>
      <c r="E2843" s="108" t="str">
        <f>+'LISTA DE INSUMOS'!C7</f>
        <v>Dia</v>
      </c>
      <c r="F2843" s="140">
        <v>1</v>
      </c>
      <c r="G2843" s="141">
        <f>+'LISTA DE INSUMOS'!E7</f>
        <v>81861</v>
      </c>
      <c r="H2843" s="142">
        <v>5.0000000000000001E-3</v>
      </c>
      <c r="I2843" s="141">
        <f>ROUND((F2843*G2843*H2843),0)</f>
        <v>409</v>
      </c>
      <c r="J2843" s="47"/>
      <c r="K2843" s="143"/>
    </row>
    <row r="2844" spans="2:11" ht="24.9" customHeight="1" thickTop="1" x14ac:dyDescent="0.2">
      <c r="B2844" s="647" t="s">
        <v>1033</v>
      </c>
      <c r="C2844" s="108" t="str">
        <f>+'LISTA DE INSUMOS'!A758</f>
        <v>EQU002</v>
      </c>
      <c r="D2844" s="139" t="str">
        <f>+'LISTA DE INSUMOS'!B758</f>
        <v>Herramienta menor (% mano obra)</v>
      </c>
      <c r="E2844" s="108" t="str">
        <f>+'LISTA DE INSUMOS'!C758</f>
        <v>%MO</v>
      </c>
      <c r="F2844" s="140">
        <v>0.1</v>
      </c>
      <c r="G2844" s="141">
        <f>I2843</f>
        <v>409</v>
      </c>
      <c r="H2844" s="108">
        <v>0</v>
      </c>
      <c r="I2844" s="141">
        <f>ROUND((F2844*G2844),0)</f>
        <v>41</v>
      </c>
      <c r="J2844" s="47"/>
      <c r="K2844" s="143"/>
    </row>
    <row r="2845" spans="2:11" ht="24.9" customHeight="1" thickBot="1" x14ac:dyDescent="0.25">
      <c r="B2845" s="704"/>
      <c r="C2845" s="145" t="str">
        <f>+'LISTA DE INSUMOS'!A777</f>
        <v>EQU020</v>
      </c>
      <c r="D2845" s="146" t="str">
        <f>+'LISTA DE INSUMOS'!B777</f>
        <v>Carrotanque asfalto</v>
      </c>
      <c r="E2845" s="145" t="str">
        <f>+'LISTA DE INSUMOS'!C777</f>
        <v>Hr</v>
      </c>
      <c r="F2845" s="147">
        <v>1</v>
      </c>
      <c r="G2845" s="148">
        <f>'LISTA DE INSUMOS'!E777</f>
        <v>127804.64902919998</v>
      </c>
      <c r="H2845" s="145">
        <f>1/150</f>
        <v>6.6666666666666671E-3</v>
      </c>
      <c r="I2845" s="148">
        <f>ROUND((F2845*G2845*H2845),0)</f>
        <v>852</v>
      </c>
      <c r="J2845" s="47"/>
      <c r="K2845" s="143"/>
    </row>
    <row r="2846" spans="2:11" ht="24.9" customHeight="1" x14ac:dyDescent="0.2">
      <c r="B2846" s="193" t="s">
        <v>1827</v>
      </c>
      <c r="C2846" s="117"/>
      <c r="D2846" s="112" t="s">
        <v>1702</v>
      </c>
      <c r="E2846" s="117" t="s">
        <v>1412</v>
      </c>
      <c r="F2846" s="118"/>
      <c r="G2846" s="119">
        <f>ROUND(SUM(I2847:I2849),0)</f>
        <v>22960</v>
      </c>
      <c r="H2846" s="120"/>
      <c r="I2846" s="119"/>
      <c r="J2846" s="47"/>
      <c r="K2846" s="143"/>
    </row>
    <row r="2847" spans="2:11" ht="24.9" customHeight="1" thickBot="1" x14ac:dyDescent="0.25">
      <c r="B2847" s="175" t="s">
        <v>1325</v>
      </c>
      <c r="C2847" s="108" t="str">
        <f>+'LISTA DE INSUMOS'!A311</f>
        <v>MAT285</v>
      </c>
      <c r="D2847" s="139" t="str">
        <f>+'LISTA DE INSUMOS'!B311</f>
        <v>Tubería PVC sanitaria de 3"</v>
      </c>
      <c r="E2847" s="108" t="str">
        <f>+'LISTA DE INSUMOS'!C311</f>
        <v>M</v>
      </c>
      <c r="F2847" s="140">
        <v>1</v>
      </c>
      <c r="G2847" s="141">
        <f>'LISTA DE INSUMOS'!E311</f>
        <v>19582.621824427199</v>
      </c>
      <c r="H2847" s="108">
        <v>0</v>
      </c>
      <c r="I2847" s="141">
        <f>ROUND((F2847*G2847),0)</f>
        <v>19583</v>
      </c>
      <c r="J2847" s="47"/>
      <c r="K2847" s="143"/>
    </row>
    <row r="2848" spans="2:11" ht="24.9" customHeight="1" thickTop="1" thickBot="1" x14ac:dyDescent="0.25">
      <c r="B2848" s="250" t="s">
        <v>1034</v>
      </c>
      <c r="C2848" s="108" t="str">
        <f>+'LISTA DE INSUMOS'!A18</f>
        <v>MOB015</v>
      </c>
      <c r="D2848" s="139" t="str">
        <f>+'LISTA DE INSUMOS'!B18</f>
        <v>Cuadrilla E 1 Of + 1 Ay (jornal + prestaciones)</v>
      </c>
      <c r="E2848" s="108" t="str">
        <f>+'LISTA DE INSUMOS'!C18</f>
        <v>Día</v>
      </c>
      <c r="F2848" s="140">
        <v>1</v>
      </c>
      <c r="G2848" s="141">
        <f>'LISTA DE INSUMOS'!E18</f>
        <v>245584</v>
      </c>
      <c r="H2848" s="108">
        <v>1.2500000000000001E-2</v>
      </c>
      <c r="I2848" s="141">
        <f>ROUND((F2848*G2848*H2848),0)</f>
        <v>3070</v>
      </c>
      <c r="J2848" s="47"/>
      <c r="K2848" s="143"/>
    </row>
    <row r="2849" spans="2:11" ht="24.9" customHeight="1" thickTop="1" thickBot="1" x14ac:dyDescent="0.25">
      <c r="B2849" s="150" t="s">
        <v>1033</v>
      </c>
      <c r="C2849" s="151" t="str">
        <f>+'LISTA DE INSUMOS'!A758</f>
        <v>EQU002</v>
      </c>
      <c r="D2849" s="146" t="str">
        <f>+'LISTA DE INSUMOS'!B758</f>
        <v>Herramienta menor (% mano obra)</v>
      </c>
      <c r="E2849" s="145" t="str">
        <f>+'LISTA DE INSUMOS'!C758</f>
        <v>%MO</v>
      </c>
      <c r="F2849" s="147">
        <v>0.1</v>
      </c>
      <c r="G2849" s="148">
        <f>I2848</f>
        <v>3070</v>
      </c>
      <c r="H2849" s="145">
        <v>0</v>
      </c>
      <c r="I2849" s="148">
        <f>ROUND((F2849*G2849),0)</f>
        <v>307</v>
      </c>
      <c r="J2849" s="47"/>
      <c r="K2849" s="143"/>
    </row>
    <row r="2850" spans="2:11" ht="24.9" customHeight="1" x14ac:dyDescent="0.2">
      <c r="B2850" s="117" t="s">
        <v>1488</v>
      </c>
      <c r="C2850" s="117"/>
      <c r="D2850" s="112" t="s">
        <v>1701</v>
      </c>
      <c r="E2850" s="117" t="s">
        <v>2585</v>
      </c>
      <c r="F2850" s="118"/>
      <c r="G2850" s="119">
        <f>ROUND(SUM(I2851:I2852),0)</f>
        <v>17374</v>
      </c>
      <c r="H2850" s="120"/>
      <c r="I2850" s="119"/>
      <c r="J2850" s="47"/>
      <c r="K2850" s="143"/>
    </row>
    <row r="2851" spans="2:11" ht="24.9" customHeight="1" thickBot="1" x14ac:dyDescent="0.25">
      <c r="B2851" s="175" t="s">
        <v>1325</v>
      </c>
      <c r="C2851" s="108" t="str">
        <f>+'LISTA DE INSUMOS'!A208</f>
        <v>MAT168</v>
      </c>
      <c r="D2851" s="139" t="str">
        <f>+'LISTA DE INSUMOS'!B208</f>
        <v>Icopor e = 1"</v>
      </c>
      <c r="E2851" s="108" t="str">
        <f>+'LISTA DE INSUMOS'!C208</f>
        <v>M2</v>
      </c>
      <c r="F2851" s="140">
        <v>1</v>
      </c>
      <c r="G2851" s="141">
        <f>'LISTA DE INSUMOS'!E208</f>
        <v>4631.5338146985587</v>
      </c>
      <c r="H2851" s="108">
        <v>1.1000000000000001</v>
      </c>
      <c r="I2851" s="141">
        <f>ROUND((F2851*G2851*H2851),0)</f>
        <v>5095</v>
      </c>
      <c r="J2851" s="47"/>
      <c r="K2851" s="143"/>
    </row>
    <row r="2852" spans="2:11" ht="24.9" customHeight="1" thickTop="1" thickBot="1" x14ac:dyDescent="0.25">
      <c r="B2852" s="153" t="s">
        <v>1034</v>
      </c>
      <c r="C2852" s="145" t="str">
        <f>+'LISTA DE INSUMOS'!A18</f>
        <v>MOB015</v>
      </c>
      <c r="D2852" s="146" t="str">
        <f>+'LISTA DE INSUMOS'!B18</f>
        <v>Cuadrilla E 1 Of + 1 Ay (jornal + prestaciones)</v>
      </c>
      <c r="E2852" s="145" t="str">
        <f>+'LISTA DE INSUMOS'!C18</f>
        <v>Día</v>
      </c>
      <c r="F2852" s="147">
        <v>1</v>
      </c>
      <c r="G2852" s="148">
        <f>'LISTA DE INSUMOS'!E18</f>
        <v>245584</v>
      </c>
      <c r="H2852" s="145">
        <f>1/20</f>
        <v>0.05</v>
      </c>
      <c r="I2852" s="148">
        <f>ROUND((F2852*G2852*H2852),0)</f>
        <v>12279</v>
      </c>
      <c r="J2852" s="47"/>
      <c r="K2852" s="143"/>
    </row>
    <row r="2853" spans="2:11" s="317" customFormat="1" ht="24.9" hidden="1" customHeight="1" x14ac:dyDescent="0.2">
      <c r="B2853" s="319" t="s">
        <v>1815</v>
      </c>
      <c r="C2853" s="319"/>
      <c r="D2853" s="320" t="s">
        <v>1860</v>
      </c>
      <c r="E2853" s="319" t="s">
        <v>1435</v>
      </c>
      <c r="F2853" s="332"/>
      <c r="G2853" s="312">
        <f>ROUND(SUM(I2854:I2857),0)</f>
        <v>306865</v>
      </c>
      <c r="H2853" s="322"/>
      <c r="I2853" s="312"/>
      <c r="J2853" s="313"/>
      <c r="K2853" s="323"/>
    </row>
    <row r="2854" spans="2:11" s="317" customFormat="1" ht="24.9" hidden="1" customHeight="1" x14ac:dyDescent="0.2">
      <c r="B2854" s="658" t="s">
        <v>1325</v>
      </c>
      <c r="C2854" s="338" t="str">
        <f>+'LISTA DE INSUMOS'!A234</f>
        <v>MAT202</v>
      </c>
      <c r="D2854" s="339" t="str">
        <f>+'LISTA DE INSUMOS'!B234</f>
        <v>Lavaplatos en aluminio de 0,4 x 0,6 m</v>
      </c>
      <c r="E2854" s="322" t="str">
        <f>+'LISTA DE INSUMOS'!C234</f>
        <v>Un</v>
      </c>
      <c r="F2854" s="325">
        <v>1</v>
      </c>
      <c r="G2854" s="312">
        <f>'LISTA DE INSUMOS'!E234</f>
        <v>116075.48999999999</v>
      </c>
      <c r="H2854" s="322">
        <v>0</v>
      </c>
      <c r="I2854" s="312">
        <f>ROUND((F2854*G2854),0)</f>
        <v>116075</v>
      </c>
      <c r="J2854" s="313"/>
      <c r="K2854" s="323"/>
    </row>
    <row r="2855" spans="2:11" s="317" customFormat="1" ht="24.9" hidden="1" customHeight="1" thickBot="1" x14ac:dyDescent="0.25">
      <c r="B2855" s="668"/>
      <c r="C2855" s="322" t="str">
        <f>+'LISTA DE INSUMOS'!A279</f>
        <v>MAT251</v>
      </c>
      <c r="D2855" s="324" t="str">
        <f>+'LISTA DE INSUMOS'!B279</f>
        <v>Grifería (llave, canastilla y sifón)</v>
      </c>
      <c r="E2855" s="322" t="str">
        <f>+'LISTA DE INSUMOS'!C279</f>
        <v>Un</v>
      </c>
      <c r="F2855" s="325">
        <v>1</v>
      </c>
      <c r="G2855" s="312">
        <f>'LISTA DE INSUMOS'!E279</f>
        <v>55719.491632107383</v>
      </c>
      <c r="H2855" s="322">
        <v>0</v>
      </c>
      <c r="I2855" s="312">
        <f>ROUND((F2855*G2855),0)</f>
        <v>55719</v>
      </c>
      <c r="J2855" s="313"/>
      <c r="K2855" s="323"/>
    </row>
    <row r="2856" spans="2:11" s="317" customFormat="1" ht="24.9" hidden="1" customHeight="1" thickTop="1" thickBot="1" x14ac:dyDescent="0.25">
      <c r="B2856" s="363" t="s">
        <v>1034</v>
      </c>
      <c r="C2856" s="322" t="str">
        <f>+'LISTA DE INSUMOS'!A18</f>
        <v>MOB015</v>
      </c>
      <c r="D2856" s="324" t="str">
        <f>+'LISTA DE INSUMOS'!B18</f>
        <v>Cuadrilla E 1 Of + 1 Ay (jornal + prestaciones)</v>
      </c>
      <c r="E2856" s="322" t="str">
        <f>+'LISTA DE INSUMOS'!C18</f>
        <v>Día</v>
      </c>
      <c r="F2856" s="325">
        <v>1</v>
      </c>
      <c r="G2856" s="312">
        <f>'LISTA DE INSUMOS'!E18</f>
        <v>245584</v>
      </c>
      <c r="H2856" s="322">
        <f>1/2</f>
        <v>0.5</v>
      </c>
      <c r="I2856" s="312">
        <f>ROUND((F2856*G2856*H2856),0)</f>
        <v>122792</v>
      </c>
      <c r="J2856" s="313"/>
      <c r="K2856" s="323"/>
    </row>
    <row r="2857" spans="2:11" s="317" customFormat="1" ht="24.9" hidden="1" customHeight="1" thickTop="1" thickBot="1" x14ac:dyDescent="0.25">
      <c r="B2857" s="255" t="s">
        <v>1033</v>
      </c>
      <c r="C2857" s="327" t="str">
        <f>+'LISTA DE INSUMOS'!A758</f>
        <v>EQU002</v>
      </c>
      <c r="D2857" s="328" t="str">
        <f>+'LISTA DE INSUMOS'!B758</f>
        <v>Herramienta menor (% mano obra)</v>
      </c>
      <c r="E2857" s="329" t="str">
        <f>+'LISTA DE INSUMOS'!C758</f>
        <v>%MO</v>
      </c>
      <c r="F2857" s="330">
        <v>0.1</v>
      </c>
      <c r="G2857" s="331">
        <f>I2856</f>
        <v>122792</v>
      </c>
      <c r="H2857" s="329">
        <v>0</v>
      </c>
      <c r="I2857" s="331">
        <f>ROUND((F2857*G2857),0)</f>
        <v>12279</v>
      </c>
      <c r="J2857" s="313"/>
      <c r="K2857" s="323"/>
    </row>
    <row r="2858" spans="2:11" ht="24.9" customHeight="1" x14ac:dyDescent="0.2">
      <c r="B2858" s="117" t="s">
        <v>1454</v>
      </c>
      <c r="C2858" s="117"/>
      <c r="D2858" s="112" t="s">
        <v>9</v>
      </c>
      <c r="E2858" s="117" t="s">
        <v>2585</v>
      </c>
      <c r="F2858" s="149"/>
      <c r="G2858" s="119">
        <f>ROUND(SUM(I2859:I2861),0)</f>
        <v>134032</v>
      </c>
      <c r="H2858" s="120"/>
      <c r="I2858" s="119"/>
      <c r="J2858" s="47"/>
      <c r="K2858" s="143"/>
    </row>
    <row r="2859" spans="2:11" ht="24.9" customHeight="1" thickBot="1" x14ac:dyDescent="0.25">
      <c r="B2859" s="175" t="s">
        <v>1325</v>
      </c>
      <c r="C2859" s="108" t="str">
        <f>+'LISTA DE INSUMOS'!A219</f>
        <v>MAT187</v>
      </c>
      <c r="D2859" s="139" t="str">
        <f>+'LISTA DE INSUMOS'!B219</f>
        <v>Espejo de 4 mm biselado, incluye accesorios de instalación</v>
      </c>
      <c r="E2859" s="108" t="str">
        <f>+'LISTA DE INSUMOS'!C219</f>
        <v>M2</v>
      </c>
      <c r="F2859" s="140">
        <v>1</v>
      </c>
      <c r="G2859" s="141">
        <f>'LISTA DE INSUMOS'!E219</f>
        <v>118471.33744782335</v>
      </c>
      <c r="H2859" s="108">
        <v>1.03</v>
      </c>
      <c r="I2859" s="141">
        <f>ROUND((F2859*G2859*H2859),0)</f>
        <v>122025</v>
      </c>
      <c r="J2859" s="47"/>
      <c r="K2859" s="143"/>
    </row>
    <row r="2860" spans="2:11" ht="24.9" customHeight="1" thickTop="1" thickBot="1" x14ac:dyDescent="0.25">
      <c r="B2860" s="250" t="s">
        <v>1034</v>
      </c>
      <c r="C2860" s="108" t="s">
        <v>2082</v>
      </c>
      <c r="D2860" s="139" t="s">
        <v>2083</v>
      </c>
      <c r="E2860" s="108" t="s">
        <v>2065</v>
      </c>
      <c r="F2860" s="140">
        <v>1</v>
      </c>
      <c r="G2860" s="141">
        <f>'LISTA DE INSUMOS'!E5</f>
        <v>163723</v>
      </c>
      <c r="H2860" s="142">
        <f>1/15</f>
        <v>6.6666666666666666E-2</v>
      </c>
      <c r="I2860" s="141">
        <f>ROUND((F2860*G2860*H2860),0)</f>
        <v>10915</v>
      </c>
      <c r="J2860" s="47"/>
      <c r="K2860" s="143"/>
    </row>
    <row r="2861" spans="2:11" ht="24.9" customHeight="1" thickTop="1" thickBot="1" x14ac:dyDescent="0.25">
      <c r="B2861" s="150" t="s">
        <v>1033</v>
      </c>
      <c r="C2861" s="151" t="str">
        <f>+'LISTA DE INSUMOS'!A758</f>
        <v>EQU002</v>
      </c>
      <c r="D2861" s="146" t="str">
        <f>+'LISTA DE INSUMOS'!B758</f>
        <v>Herramienta menor (% mano obra)</v>
      </c>
      <c r="E2861" s="145" t="str">
        <f>+'LISTA DE INSUMOS'!C758</f>
        <v>%MO</v>
      </c>
      <c r="F2861" s="147">
        <v>0.1</v>
      </c>
      <c r="G2861" s="148">
        <f>I2860</f>
        <v>10915</v>
      </c>
      <c r="H2861" s="145">
        <v>0</v>
      </c>
      <c r="I2861" s="148">
        <f>ROUND((F2861*G2861),0)</f>
        <v>1092</v>
      </c>
      <c r="J2861" s="47"/>
      <c r="K2861" s="143"/>
    </row>
    <row r="2862" spans="2:11" ht="24.9" customHeight="1" x14ac:dyDescent="0.2">
      <c r="B2862" s="117" t="s">
        <v>1909</v>
      </c>
      <c r="C2862" s="117"/>
      <c r="D2862" s="112" t="s">
        <v>2048</v>
      </c>
      <c r="E2862" s="117" t="s">
        <v>2585</v>
      </c>
      <c r="F2862" s="149"/>
      <c r="G2862" s="119">
        <f>ROUND(SUM(I2863:I2866),0)</f>
        <v>83038</v>
      </c>
      <c r="H2862" s="120"/>
      <c r="I2862" s="119"/>
      <c r="J2862" s="47"/>
      <c r="K2862" s="143"/>
    </row>
    <row r="2863" spans="2:11" ht="24.9" customHeight="1" x14ac:dyDescent="0.2">
      <c r="B2863" s="657" t="s">
        <v>1325</v>
      </c>
      <c r="C2863" s="108" t="str">
        <f>+'LISTA DE INSUMOS'!A120</f>
        <v>MAT078</v>
      </c>
      <c r="D2863" s="139" t="str">
        <f>+'LISTA DE INSUMOS'!B120</f>
        <v>Vidrio de 4 mm templado</v>
      </c>
      <c r="E2863" s="108" t="str">
        <f>+'LISTA DE INSUMOS'!C120</f>
        <v>M2</v>
      </c>
      <c r="F2863" s="140">
        <v>1</v>
      </c>
      <c r="G2863" s="141">
        <f>'LISTA DE INSUMOS'!E120</f>
        <v>68842.243199999997</v>
      </c>
      <c r="H2863" s="108">
        <v>1.03</v>
      </c>
      <c r="I2863" s="141">
        <f>ROUND((F2863*G2863*H2863),0)</f>
        <v>70908</v>
      </c>
      <c r="J2863" s="47"/>
      <c r="K2863" s="143"/>
    </row>
    <row r="2864" spans="2:11" ht="24.9" customHeight="1" thickBot="1" x14ac:dyDescent="0.25">
      <c r="B2864" s="659"/>
      <c r="C2864" s="108" t="str">
        <f>+'LISTA DE INSUMOS'!A223</f>
        <v>MAT191</v>
      </c>
      <c r="D2864" s="139" t="str">
        <f>+'LISTA DE INSUMOS'!B223</f>
        <v>Silicona transparente sellador de vidrios</v>
      </c>
      <c r="E2864" s="108" t="str">
        <f>+'LISTA DE INSUMOS'!C223</f>
        <v>kg</v>
      </c>
      <c r="F2864" s="140">
        <v>8.0000000000000002E-3</v>
      </c>
      <c r="G2864" s="141">
        <f>'LISTA DE INSUMOS'!E223</f>
        <v>15365.09217672</v>
      </c>
      <c r="H2864" s="108">
        <v>0</v>
      </c>
      <c r="I2864" s="141">
        <f>ROUND((F2864*G2864),0)</f>
        <v>123</v>
      </c>
      <c r="J2864" s="47"/>
      <c r="K2864" s="143"/>
    </row>
    <row r="2865" spans="2:11" ht="24.9" customHeight="1" thickTop="1" thickBot="1" x14ac:dyDescent="0.25">
      <c r="B2865" s="153" t="s">
        <v>1034</v>
      </c>
      <c r="C2865" s="108" t="str">
        <f>+'LISTA DE INSUMOS'!A5</f>
        <v>MOB002</v>
      </c>
      <c r="D2865" s="139" t="str">
        <f>+'LISTA DE INSUMOS'!B5</f>
        <v>Oficial (jornal + prestaciones)</v>
      </c>
      <c r="E2865" s="108" t="str">
        <f>+'LISTA DE INSUMOS'!C5</f>
        <v>Día</v>
      </c>
      <c r="F2865" s="140">
        <v>1</v>
      </c>
      <c r="G2865" s="141">
        <f>'LISTA DE INSUMOS'!E5</f>
        <v>163723</v>
      </c>
      <c r="H2865" s="108">
        <f>1/15</f>
        <v>6.6666666666666666E-2</v>
      </c>
      <c r="I2865" s="141">
        <f>ROUND((F2865*G2865*H2865),0)</f>
        <v>10915</v>
      </c>
      <c r="J2865" s="47"/>
      <c r="K2865" s="143"/>
    </row>
    <row r="2866" spans="2:11" ht="24.9" customHeight="1" thickTop="1" thickBot="1" x14ac:dyDescent="0.25">
      <c r="B2866" s="150" t="s">
        <v>1033</v>
      </c>
      <c r="C2866" s="151" t="str">
        <f>+'LISTA DE INSUMOS'!A758</f>
        <v>EQU002</v>
      </c>
      <c r="D2866" s="146" t="str">
        <f>+'LISTA DE INSUMOS'!B758</f>
        <v>Herramienta menor (% mano obra)</v>
      </c>
      <c r="E2866" s="145" t="str">
        <f>+'LISTA DE INSUMOS'!C758</f>
        <v>%MO</v>
      </c>
      <c r="F2866" s="147">
        <v>0.1</v>
      </c>
      <c r="G2866" s="148">
        <f>I2865</f>
        <v>10915</v>
      </c>
      <c r="H2866" s="145">
        <v>0</v>
      </c>
      <c r="I2866" s="148">
        <f>ROUND((F2866*G2866),0)</f>
        <v>1092</v>
      </c>
      <c r="J2866" s="47"/>
      <c r="K2866" s="143"/>
    </row>
    <row r="2867" spans="2:11" ht="24.9" customHeight="1" x14ac:dyDescent="0.2">
      <c r="B2867" s="117" t="s">
        <v>1784</v>
      </c>
      <c r="C2867" s="117"/>
      <c r="D2867" s="112" t="s">
        <v>2046</v>
      </c>
      <c r="E2867" s="117" t="s">
        <v>2585</v>
      </c>
      <c r="F2867" s="149"/>
      <c r="G2867" s="119">
        <f>ROUND(SUM(I2868:I2871),0)</f>
        <v>63646</v>
      </c>
      <c r="H2867" s="120"/>
      <c r="I2867" s="119"/>
      <c r="J2867" s="47"/>
      <c r="K2867" s="143"/>
    </row>
    <row r="2868" spans="2:11" ht="24.9" customHeight="1" x14ac:dyDescent="0.2">
      <c r="B2868" s="657" t="s">
        <v>1325</v>
      </c>
      <c r="C2868" s="108" t="str">
        <f>+'LISTA DE INSUMOS'!A280</f>
        <v>MAT252</v>
      </c>
      <c r="D2868" s="139" t="str">
        <f>+'LISTA DE INSUMOS'!B280</f>
        <v>Vidrio de 4 mm esmerilado</v>
      </c>
      <c r="E2868" s="108" t="str">
        <f>+'LISTA DE INSUMOS'!C280</f>
        <v>M2</v>
      </c>
      <c r="F2868" s="140">
        <v>1</v>
      </c>
      <c r="G2868" s="141">
        <f>'LISTA DE INSUMOS'!E280</f>
        <v>50015.786596775986</v>
      </c>
      <c r="H2868" s="108">
        <v>1.03</v>
      </c>
      <c r="I2868" s="141">
        <f>ROUND((F2868*G2868*H2868),0)</f>
        <v>51516</v>
      </c>
      <c r="J2868" s="47"/>
      <c r="K2868" s="143"/>
    </row>
    <row r="2869" spans="2:11" ht="24.9" customHeight="1" thickBot="1" x14ac:dyDescent="0.25">
      <c r="B2869" s="659"/>
      <c r="C2869" s="108" t="str">
        <f>+'LISTA DE INSUMOS'!A223</f>
        <v>MAT191</v>
      </c>
      <c r="D2869" s="139" t="str">
        <f>+'LISTA DE INSUMOS'!B223</f>
        <v>Silicona transparente sellador de vidrios</v>
      </c>
      <c r="E2869" s="108" t="str">
        <f>+'LISTA DE INSUMOS'!C223</f>
        <v>kg</v>
      </c>
      <c r="F2869" s="140">
        <v>8.0000000000000002E-3</v>
      </c>
      <c r="G2869" s="141">
        <f>'LISTA DE INSUMOS'!E223</f>
        <v>15365.09217672</v>
      </c>
      <c r="H2869" s="108">
        <v>0</v>
      </c>
      <c r="I2869" s="141">
        <f>ROUND((F2869*G2869),0)</f>
        <v>123</v>
      </c>
      <c r="J2869" s="47"/>
      <c r="K2869" s="143"/>
    </row>
    <row r="2870" spans="2:11" ht="24.9" customHeight="1" thickTop="1" thickBot="1" x14ac:dyDescent="0.25">
      <c r="B2870" s="153" t="s">
        <v>1034</v>
      </c>
      <c r="C2870" s="108" t="str">
        <f>+'LISTA DE INSUMOS'!A5</f>
        <v>MOB002</v>
      </c>
      <c r="D2870" s="139" t="str">
        <f>+'LISTA DE INSUMOS'!B5</f>
        <v>Oficial (jornal + prestaciones)</v>
      </c>
      <c r="E2870" s="108" t="str">
        <f>+'LISTA DE INSUMOS'!C5</f>
        <v>Día</v>
      </c>
      <c r="F2870" s="140">
        <v>1</v>
      </c>
      <c r="G2870" s="141">
        <f>'LISTA DE INSUMOS'!E5</f>
        <v>163723</v>
      </c>
      <c r="H2870" s="108">
        <f>1/15</f>
        <v>6.6666666666666666E-2</v>
      </c>
      <c r="I2870" s="141">
        <f>ROUND((F2870*G2870*H2870),0)</f>
        <v>10915</v>
      </c>
      <c r="J2870" s="47"/>
      <c r="K2870" s="143"/>
    </row>
    <row r="2871" spans="2:11" ht="24.9" customHeight="1" thickTop="1" thickBot="1" x14ac:dyDescent="0.25">
      <c r="B2871" s="150" t="s">
        <v>1033</v>
      </c>
      <c r="C2871" s="151" t="str">
        <f>+'LISTA DE INSUMOS'!A758</f>
        <v>EQU002</v>
      </c>
      <c r="D2871" s="146" t="str">
        <f>+'LISTA DE INSUMOS'!B758</f>
        <v>Herramienta menor (% mano obra)</v>
      </c>
      <c r="E2871" s="145" t="str">
        <f>+'LISTA DE INSUMOS'!C758</f>
        <v>%MO</v>
      </c>
      <c r="F2871" s="147">
        <v>0.1</v>
      </c>
      <c r="G2871" s="148">
        <f>I2870</f>
        <v>10915</v>
      </c>
      <c r="H2871" s="145">
        <v>0</v>
      </c>
      <c r="I2871" s="148">
        <f>ROUND((F2871*G2871),0)</f>
        <v>1092</v>
      </c>
      <c r="J2871" s="47"/>
      <c r="K2871" s="143"/>
    </row>
    <row r="2872" spans="2:11" ht="24.9" customHeight="1" x14ac:dyDescent="0.2">
      <c r="B2872" s="117" t="s">
        <v>1782</v>
      </c>
      <c r="C2872" s="117"/>
      <c r="D2872" s="112" t="s">
        <v>1752</v>
      </c>
      <c r="E2872" s="117" t="s">
        <v>2586</v>
      </c>
      <c r="F2872" s="149"/>
      <c r="G2872" s="119">
        <f>ROUND(SUM(I2873:I2879),0)</f>
        <v>1236715</v>
      </c>
      <c r="H2872" s="120"/>
      <c r="I2872" s="119"/>
      <c r="J2872" s="47"/>
      <c r="K2872" s="143"/>
    </row>
    <row r="2873" spans="2:11" ht="24.9" customHeight="1" thickBot="1" x14ac:dyDescent="0.25">
      <c r="B2873" s="175" t="s">
        <v>1325</v>
      </c>
      <c r="C2873" s="125" t="str">
        <f>+'LISTA DE INSUMOS'!A603</f>
        <v>MAT620</v>
      </c>
      <c r="D2873" s="155" t="str">
        <f>+'LISTA DE INSUMOS'!B603</f>
        <v>Mezcla asfáltica MDC 1</v>
      </c>
      <c r="E2873" s="125" t="str">
        <f>+'LISTA DE INSUMOS'!C603</f>
        <v>M3</v>
      </c>
      <c r="F2873" s="140">
        <v>1</v>
      </c>
      <c r="G2873" s="141">
        <f>'LISTA DE INSUMOS'!E603</f>
        <v>813890.89365091198</v>
      </c>
      <c r="H2873" s="108">
        <v>1.25</v>
      </c>
      <c r="I2873" s="141">
        <f>ROUND((F2873*G2873*H2873),0)</f>
        <v>1017364</v>
      </c>
      <c r="J2873" s="47"/>
      <c r="K2873" s="143"/>
    </row>
    <row r="2874" spans="2:11" ht="24.9" customHeight="1" thickTop="1" x14ac:dyDescent="0.2">
      <c r="B2874" s="702" t="s">
        <v>1310</v>
      </c>
      <c r="C2874" s="108" t="str">
        <f>+B338</f>
        <v>ITE057</v>
      </c>
      <c r="D2874" s="139" t="str">
        <f>+D338</f>
        <v>Transporte material asfáltico</v>
      </c>
      <c r="E2874" s="108" t="str">
        <f>+E338</f>
        <v>M3-Km</v>
      </c>
      <c r="F2874" s="140">
        <v>40</v>
      </c>
      <c r="G2874" s="141">
        <f>G338</f>
        <v>1707</v>
      </c>
      <c r="H2874" s="108">
        <v>1.25</v>
      </c>
      <c r="I2874" s="141">
        <f>ROUND((F2874*G2874*H2874),0)</f>
        <v>85350</v>
      </c>
      <c r="J2874" s="47"/>
      <c r="K2874" s="143"/>
    </row>
    <row r="2875" spans="2:11" ht="24.9" customHeight="1" thickBot="1" x14ac:dyDescent="0.25">
      <c r="B2875" s="703"/>
      <c r="C2875" s="166" t="str">
        <f>+B417</f>
        <v>ITE068</v>
      </c>
      <c r="D2875" s="167" t="str">
        <f>+D417</f>
        <v>Transporte maquinaría pesada</v>
      </c>
      <c r="E2875" s="108" t="str">
        <f>+E417</f>
        <v>Km</v>
      </c>
      <c r="F2875" s="160">
        <v>60</v>
      </c>
      <c r="G2875" s="141">
        <f>G417</f>
        <v>26702</v>
      </c>
      <c r="H2875" s="168">
        <f>1/200</f>
        <v>5.0000000000000001E-3</v>
      </c>
      <c r="I2875" s="141">
        <f>ROUND((F2875*G2875*H2875),0)</f>
        <v>8011</v>
      </c>
      <c r="J2875" s="47"/>
      <c r="K2875" s="143"/>
    </row>
    <row r="2876" spans="2:11" ht="24.9" customHeight="1" thickTop="1" thickBot="1" x14ac:dyDescent="0.25">
      <c r="B2876" s="158" t="s">
        <v>1034</v>
      </c>
      <c r="C2876" s="108" t="str">
        <f>+'LISTA DE INSUMOS'!A19</f>
        <v>MOB016</v>
      </c>
      <c r="D2876" s="139" t="str">
        <f>+'LISTA DE INSUMOS'!B19</f>
        <v>Cuadrilla F 6 Of + 4 Ay (jornal + prestaciones)</v>
      </c>
      <c r="E2876" s="108" t="str">
        <f>+'LISTA DE INSUMOS'!C19</f>
        <v>Día</v>
      </c>
      <c r="F2876" s="140">
        <v>1</v>
      </c>
      <c r="G2876" s="141">
        <f>'LISTA DE INSUMOS'!E19</f>
        <v>1309782</v>
      </c>
      <c r="H2876" s="108">
        <f>1/15</f>
        <v>6.6666666666666666E-2</v>
      </c>
      <c r="I2876" s="141">
        <f>ROUND((F2876*G2876*H2876),0)</f>
        <v>87319</v>
      </c>
      <c r="J2876" s="47"/>
      <c r="K2876" s="143"/>
    </row>
    <row r="2877" spans="2:11" ht="24.9" customHeight="1" thickTop="1" x14ac:dyDescent="0.2">
      <c r="B2877" s="674" t="s">
        <v>1033</v>
      </c>
      <c r="C2877" s="108" t="str">
        <f>+'LISTA DE INSUMOS'!A758</f>
        <v>EQU002</v>
      </c>
      <c r="D2877" s="139" t="str">
        <f>+'LISTA DE INSUMOS'!B758</f>
        <v>Herramienta menor (% mano obra)</v>
      </c>
      <c r="E2877" s="108" t="str">
        <f>+'LISTA DE INSUMOS'!C758</f>
        <v>%MO</v>
      </c>
      <c r="F2877" s="140">
        <v>0.1</v>
      </c>
      <c r="G2877" s="141">
        <f>+I2876</f>
        <v>87319</v>
      </c>
      <c r="H2877" s="108">
        <v>0</v>
      </c>
      <c r="I2877" s="141">
        <f>IF(H2877&gt;=0,(F2877*G2877*(1+H2877/100)),ABS(F2877*G2877/H2877))</f>
        <v>8731.9</v>
      </c>
      <c r="J2877" s="47"/>
      <c r="K2877" s="143"/>
    </row>
    <row r="2878" spans="2:11" ht="24.9" customHeight="1" x14ac:dyDescent="0.2">
      <c r="B2878" s="679"/>
      <c r="C2878" s="108" t="str">
        <f>+'LISTA DE INSUMOS'!A770</f>
        <v>EQU013</v>
      </c>
      <c r="D2878" s="139" t="str">
        <f>+'LISTA DE INSUMOS'!B770</f>
        <v>Cilindro compactador vibratorio Dynapac 7 ton</v>
      </c>
      <c r="E2878" s="108" t="str">
        <f>+'LISTA DE INSUMOS'!C770</f>
        <v>Hr</v>
      </c>
      <c r="F2878" s="140">
        <v>1</v>
      </c>
      <c r="G2878" s="141">
        <f>'LISTA DE INSUMOS'!E770</f>
        <v>108633.95167481998</v>
      </c>
      <c r="H2878" s="108">
        <f>1/15</f>
        <v>6.6666666666666666E-2</v>
      </c>
      <c r="I2878" s="141">
        <f>ROUND((F2878*G2878*H2878),0)</f>
        <v>7242</v>
      </c>
      <c r="J2878" s="47"/>
      <c r="K2878" s="143"/>
    </row>
    <row r="2879" spans="2:11" ht="24.9" customHeight="1" thickBot="1" x14ac:dyDescent="0.25">
      <c r="B2879" s="709"/>
      <c r="C2879" s="145" t="str">
        <f>+'LISTA DE INSUMOS'!A776</f>
        <v>EQU019</v>
      </c>
      <c r="D2879" s="146" t="str">
        <f>+'LISTA DE INSUMOS'!B776</f>
        <v>Finisher (pavimentadora) con operario</v>
      </c>
      <c r="E2879" s="145" t="str">
        <f>+'LISTA DE INSUMOS'!C776</f>
        <v>Hr</v>
      </c>
      <c r="F2879" s="147">
        <v>1</v>
      </c>
      <c r="G2879" s="148">
        <f>+'LISTA DE INSUMOS'!E776</f>
        <v>226965.521068</v>
      </c>
      <c r="H2879" s="145">
        <f>1/10</f>
        <v>0.1</v>
      </c>
      <c r="I2879" s="148">
        <f>ROUND((F2879*G2879*H2879),0)</f>
        <v>22697</v>
      </c>
      <c r="J2879" s="47"/>
      <c r="K2879" s="143"/>
    </row>
    <row r="2880" spans="2:11" ht="24.9" customHeight="1" x14ac:dyDescent="0.2">
      <c r="B2880" s="117" t="s">
        <v>1785</v>
      </c>
      <c r="C2880" s="117"/>
      <c r="D2880" s="112" t="s">
        <v>1306</v>
      </c>
      <c r="E2880" s="117" t="s">
        <v>1435</v>
      </c>
      <c r="F2880" s="149"/>
      <c r="G2880" s="119">
        <f>ROUND(SUM(I2881:I2885),0)</f>
        <v>170844</v>
      </c>
      <c r="H2880" s="120"/>
      <c r="I2880" s="119"/>
      <c r="J2880" s="47"/>
      <c r="K2880" s="143"/>
    </row>
    <row r="2881" spans="2:11" ht="24.9" customHeight="1" x14ac:dyDescent="0.2">
      <c r="B2881" s="657" t="s">
        <v>1325</v>
      </c>
      <c r="C2881" s="108" t="str">
        <f>+'LISTA DE INSUMOS'!A73</f>
        <v>MAT040</v>
      </c>
      <c r="D2881" s="139" t="str">
        <f>+'LISTA DE INSUMOS'!B73</f>
        <v>Barniz intemperie brillante</v>
      </c>
      <c r="E2881" s="108" t="str">
        <f>+'LISTA DE INSUMOS'!C73</f>
        <v>Gl</v>
      </c>
      <c r="F2881" s="140">
        <v>0.22</v>
      </c>
      <c r="G2881" s="141">
        <f>'LISTA DE INSUMOS'!E73</f>
        <v>69711.851420999985</v>
      </c>
      <c r="H2881" s="108">
        <v>1.03</v>
      </c>
      <c r="I2881" s="141">
        <f>ROUND((F2881*G2881*H2881),0)</f>
        <v>15797</v>
      </c>
      <c r="J2881" s="47"/>
      <c r="K2881" s="143"/>
    </row>
    <row r="2882" spans="2:11" ht="24.9" customHeight="1" thickBot="1" x14ac:dyDescent="0.25">
      <c r="B2882" s="659"/>
      <c r="C2882" s="108" t="str">
        <f>+'LISTA DE INSUMOS'!A153</f>
        <v>MAT112</v>
      </c>
      <c r="D2882" s="139" t="str">
        <f>+'LISTA DE INSUMOS'!B153</f>
        <v>Pintura esmalte para exteriores</v>
      </c>
      <c r="E2882" s="108" t="str">
        <f>+'LISTA DE INSUMOS'!C153</f>
        <v>Gl</v>
      </c>
      <c r="F2882" s="140">
        <v>4.5999999999999999E-2</v>
      </c>
      <c r="G2882" s="141">
        <f>'LISTA DE INSUMOS'!E153</f>
        <v>99769.889999999985</v>
      </c>
      <c r="H2882" s="108">
        <v>1.03</v>
      </c>
      <c r="I2882" s="141">
        <f>ROUND((F2882*G2882*H2882),0)</f>
        <v>4727</v>
      </c>
      <c r="J2882" s="47"/>
      <c r="K2882" s="143"/>
    </row>
    <row r="2883" spans="2:11" ht="24.9" customHeight="1" thickTop="1" thickBot="1" x14ac:dyDescent="0.25">
      <c r="B2883" s="191" t="s">
        <v>1310</v>
      </c>
      <c r="C2883" s="108" t="str">
        <f>+B574</f>
        <v>ITE96</v>
      </c>
      <c r="D2883" s="139" t="str">
        <f>+D574</f>
        <v>Mortero 1:3 (producción)</v>
      </c>
      <c r="E2883" s="108" t="str">
        <f>+E574</f>
        <v>M3</v>
      </c>
      <c r="F2883" s="140">
        <v>2.5000000000000001E-2</v>
      </c>
      <c r="G2883" s="141">
        <f>G574</f>
        <v>580906</v>
      </c>
      <c r="H2883" s="108">
        <v>1.05</v>
      </c>
      <c r="I2883" s="141">
        <f>ROUND((F2883*G2883*H2883),0)</f>
        <v>15249</v>
      </c>
      <c r="J2883" s="47"/>
      <c r="K2883" s="143"/>
    </row>
    <row r="2884" spans="2:11" ht="24.9" customHeight="1" thickTop="1" thickBot="1" x14ac:dyDescent="0.25">
      <c r="B2884" s="250" t="s">
        <v>1034</v>
      </c>
      <c r="C2884" s="108" t="str">
        <f>+'LISTA DE INSUMOS'!A18</f>
        <v>MOB015</v>
      </c>
      <c r="D2884" s="139" t="str">
        <f>+'LISTA DE INSUMOS'!B18</f>
        <v>Cuadrilla E 1 Of + 1 Ay (jornal + prestaciones)</v>
      </c>
      <c r="E2884" s="108" t="str">
        <f>+'LISTA DE INSUMOS'!C18</f>
        <v>Día</v>
      </c>
      <c r="F2884" s="140">
        <v>1</v>
      </c>
      <c r="G2884" s="141">
        <f>'LISTA DE INSUMOS'!E18</f>
        <v>245584</v>
      </c>
      <c r="H2884" s="108">
        <f>1/2</f>
        <v>0.5</v>
      </c>
      <c r="I2884" s="141">
        <f>ROUND((F2884*G2884*H2884),0)</f>
        <v>122792</v>
      </c>
      <c r="J2884" s="47"/>
      <c r="K2884" s="143"/>
    </row>
    <row r="2885" spans="2:11" ht="24.9" customHeight="1" thickTop="1" thickBot="1" x14ac:dyDescent="0.25">
      <c r="B2885" s="150" t="s">
        <v>1033</v>
      </c>
      <c r="C2885" s="151" t="str">
        <f>+'LISTA DE INSUMOS'!A758</f>
        <v>EQU002</v>
      </c>
      <c r="D2885" s="146" t="str">
        <f>+'LISTA DE INSUMOS'!B758</f>
        <v>Herramienta menor (% mano obra)</v>
      </c>
      <c r="E2885" s="145" t="str">
        <f>+'LISTA DE INSUMOS'!C758</f>
        <v>%MO</v>
      </c>
      <c r="F2885" s="147">
        <v>0.1</v>
      </c>
      <c r="G2885" s="148">
        <f>I2884</f>
        <v>122792</v>
      </c>
      <c r="H2885" s="145">
        <v>0</v>
      </c>
      <c r="I2885" s="148">
        <f>ROUND((F2885*G2885),0)</f>
        <v>12279</v>
      </c>
      <c r="J2885" s="47"/>
      <c r="K2885" s="143"/>
    </row>
    <row r="2886" spans="2:11" ht="24.9" customHeight="1" x14ac:dyDescent="0.2">
      <c r="B2886" s="117" t="s">
        <v>1507</v>
      </c>
      <c r="C2886" s="117"/>
      <c r="D2886" s="112" t="s">
        <v>460</v>
      </c>
      <c r="E2886" s="117" t="s">
        <v>1435</v>
      </c>
      <c r="F2886" s="118"/>
      <c r="G2886" s="119">
        <f>ROUND(SUM(I2887:I2890),0)</f>
        <v>177655</v>
      </c>
      <c r="H2886" s="120"/>
      <c r="I2886" s="119"/>
      <c r="J2886" s="47"/>
      <c r="K2886" s="143"/>
    </row>
    <row r="2887" spans="2:11" ht="24.9" customHeight="1" thickBot="1" x14ac:dyDescent="0.25">
      <c r="B2887" s="175" t="s">
        <v>1325</v>
      </c>
      <c r="C2887" s="108" t="str">
        <f>+'LISTA DE INSUMOS'!A153</f>
        <v>MAT112</v>
      </c>
      <c r="D2887" s="139" t="str">
        <f>+'LISTA DE INSUMOS'!B153</f>
        <v>Pintura esmalte para exteriores</v>
      </c>
      <c r="E2887" s="108" t="str">
        <f>+'LISTA DE INSUMOS'!C153</f>
        <v>Gl</v>
      </c>
      <c r="F2887" s="140">
        <v>0.26600000000000001</v>
      </c>
      <c r="G2887" s="141">
        <f>'LISTA DE INSUMOS'!E153</f>
        <v>99769.889999999985</v>
      </c>
      <c r="H2887" s="108">
        <v>1.03</v>
      </c>
      <c r="I2887" s="141">
        <f>ROUND((F2887*G2887*H2887),0)</f>
        <v>27335</v>
      </c>
      <c r="J2887" s="47"/>
      <c r="K2887" s="143"/>
    </row>
    <row r="2888" spans="2:11" ht="24.9" customHeight="1" thickTop="1" thickBot="1" x14ac:dyDescent="0.25">
      <c r="B2888" s="191" t="s">
        <v>1310</v>
      </c>
      <c r="C2888" s="108" t="str">
        <f>+B574</f>
        <v>ITE96</v>
      </c>
      <c r="D2888" s="139" t="str">
        <f>+D574</f>
        <v>Mortero 1:3 (producción)</v>
      </c>
      <c r="E2888" s="108" t="str">
        <f>+E574</f>
        <v>M3</v>
      </c>
      <c r="F2888" s="140">
        <v>2.5000000000000001E-2</v>
      </c>
      <c r="G2888" s="141">
        <f>G574</f>
        <v>580906</v>
      </c>
      <c r="H2888" s="108">
        <v>1.05</v>
      </c>
      <c r="I2888" s="141">
        <f>ROUND((F2888*G2888*H2888),0)</f>
        <v>15249</v>
      </c>
      <c r="J2888" s="47"/>
      <c r="K2888" s="143"/>
    </row>
    <row r="2889" spans="2:11" ht="24.9" customHeight="1" thickTop="1" thickBot="1" x14ac:dyDescent="0.25">
      <c r="B2889" s="250" t="s">
        <v>1034</v>
      </c>
      <c r="C2889" s="108" t="str">
        <f>+'LISTA DE INSUMOS'!A18</f>
        <v>MOB015</v>
      </c>
      <c r="D2889" s="139" t="str">
        <f>+'LISTA DE INSUMOS'!B18</f>
        <v>Cuadrilla E 1 Of + 1 Ay (jornal + prestaciones)</v>
      </c>
      <c r="E2889" s="108" t="str">
        <f>+'LISTA DE INSUMOS'!C18</f>
        <v>Día</v>
      </c>
      <c r="F2889" s="160">
        <v>1</v>
      </c>
      <c r="G2889" s="141">
        <f>'LISTA DE INSUMOS'!E18</f>
        <v>245584</v>
      </c>
      <c r="H2889" s="108">
        <f>1/2</f>
        <v>0.5</v>
      </c>
      <c r="I2889" s="141">
        <f>ROUND((F2889*G2889*H2889),0)</f>
        <v>122792</v>
      </c>
      <c r="J2889" s="47"/>
      <c r="K2889" s="143"/>
    </row>
    <row r="2890" spans="2:11" ht="24.9" customHeight="1" thickTop="1" thickBot="1" x14ac:dyDescent="0.25">
      <c r="B2890" s="150" t="s">
        <v>1033</v>
      </c>
      <c r="C2890" s="145" t="str">
        <f>+'LISTA DE INSUMOS'!A758</f>
        <v>EQU002</v>
      </c>
      <c r="D2890" s="146" t="str">
        <f>+'LISTA DE INSUMOS'!B758</f>
        <v>Herramienta menor (% mano obra)</v>
      </c>
      <c r="E2890" s="145" t="str">
        <f>+'LISTA DE INSUMOS'!C758</f>
        <v>%MO</v>
      </c>
      <c r="F2890" s="147">
        <v>0.1</v>
      </c>
      <c r="G2890" s="148">
        <f>I2889</f>
        <v>122792</v>
      </c>
      <c r="H2890" s="145">
        <v>0</v>
      </c>
      <c r="I2890" s="148">
        <f>ROUND((F2890*G2890),0)</f>
        <v>12279</v>
      </c>
      <c r="J2890" s="47"/>
      <c r="K2890" s="143"/>
    </row>
    <row r="2891" spans="2:11" s="317" customFormat="1" ht="24.9" hidden="1" customHeight="1" x14ac:dyDescent="0.2">
      <c r="B2891" s="319" t="s">
        <v>2331</v>
      </c>
      <c r="C2891" s="319"/>
      <c r="D2891" s="320" t="s">
        <v>1305</v>
      </c>
      <c r="E2891" s="319" t="s">
        <v>1435</v>
      </c>
      <c r="F2891" s="321"/>
      <c r="G2891" s="312">
        <f>ROUND(SUM(I2892:I2895),0)</f>
        <v>189145</v>
      </c>
      <c r="H2891" s="322"/>
      <c r="I2891" s="312"/>
      <c r="J2891" s="313"/>
      <c r="K2891" s="323"/>
    </row>
    <row r="2892" spans="2:11" s="317" customFormat="1" ht="24.9" hidden="1" customHeight="1" thickBot="1" x14ac:dyDescent="0.25">
      <c r="B2892" s="347" t="s">
        <v>1325</v>
      </c>
      <c r="C2892" s="322" t="str">
        <f>+'LISTA DE INSUMOS'!A153</f>
        <v>MAT112</v>
      </c>
      <c r="D2892" s="324" t="str">
        <f>+'LISTA DE INSUMOS'!B153</f>
        <v>Pintura esmalte para exteriores</v>
      </c>
      <c r="E2892" s="322" t="str">
        <f>+'LISTA DE INSUMOS'!C153</f>
        <v>Gl</v>
      </c>
      <c r="F2892" s="325">
        <v>0.36</v>
      </c>
      <c r="G2892" s="312">
        <f>'LISTA DE INSUMOS'!E153</f>
        <v>99769.889999999985</v>
      </c>
      <c r="H2892" s="322">
        <v>1.03</v>
      </c>
      <c r="I2892" s="312">
        <f>ROUND((F2892*G2892*H2892),0)</f>
        <v>36995</v>
      </c>
      <c r="J2892" s="313"/>
      <c r="K2892" s="323"/>
    </row>
    <row r="2893" spans="2:11" s="317" customFormat="1" ht="24.9" hidden="1" customHeight="1" thickTop="1" thickBot="1" x14ac:dyDescent="0.25">
      <c r="B2893" s="347" t="s">
        <v>1310</v>
      </c>
      <c r="C2893" s="322" t="str">
        <f>+B574</f>
        <v>ITE96</v>
      </c>
      <c r="D2893" s="324" t="str">
        <f>+D574</f>
        <v>Mortero 1:3 (producción)</v>
      </c>
      <c r="E2893" s="322" t="str">
        <f>+E574</f>
        <v>M3</v>
      </c>
      <c r="F2893" s="325">
        <v>2.8000000000000001E-2</v>
      </c>
      <c r="G2893" s="312">
        <f>G574</f>
        <v>580906</v>
      </c>
      <c r="H2893" s="322">
        <v>1.05</v>
      </c>
      <c r="I2893" s="312">
        <f>ROUND((F2893*G2893*H2893),0)</f>
        <v>17079</v>
      </c>
      <c r="J2893" s="313"/>
      <c r="K2893" s="323"/>
    </row>
    <row r="2894" spans="2:11" s="317" customFormat="1" ht="24.9" hidden="1" customHeight="1" thickTop="1" thickBot="1" x14ac:dyDescent="0.25">
      <c r="B2894" s="372" t="s">
        <v>1034</v>
      </c>
      <c r="C2894" s="322" t="str">
        <f>+'LISTA DE INSUMOS'!A18</f>
        <v>MOB015</v>
      </c>
      <c r="D2894" s="324" t="str">
        <f>+'LISTA DE INSUMOS'!B18</f>
        <v>Cuadrilla E 1 Of + 1 Ay (jornal + prestaciones)</v>
      </c>
      <c r="E2894" s="322" t="str">
        <f>+'LISTA DE INSUMOS'!C18</f>
        <v>Día</v>
      </c>
      <c r="F2894" s="325">
        <v>1</v>
      </c>
      <c r="G2894" s="312">
        <f>'LISTA DE INSUMOS'!E18</f>
        <v>245584</v>
      </c>
      <c r="H2894" s="322">
        <f>1/2</f>
        <v>0.5</v>
      </c>
      <c r="I2894" s="312">
        <f>ROUND((F2894*G2894*H2894),0)</f>
        <v>122792</v>
      </c>
      <c r="J2894" s="313"/>
      <c r="K2894" s="323"/>
    </row>
    <row r="2895" spans="2:11" s="317" customFormat="1" ht="24.9" hidden="1" customHeight="1" thickTop="1" thickBot="1" x14ac:dyDescent="0.25">
      <c r="B2895" s="255" t="s">
        <v>1033</v>
      </c>
      <c r="C2895" s="327" t="str">
        <f>+'LISTA DE INSUMOS'!A758</f>
        <v>EQU002</v>
      </c>
      <c r="D2895" s="328" t="str">
        <f>+'LISTA DE INSUMOS'!B758</f>
        <v>Herramienta menor (% mano obra)</v>
      </c>
      <c r="E2895" s="329" t="str">
        <f>+'LISTA DE INSUMOS'!C758</f>
        <v>%MO</v>
      </c>
      <c r="F2895" s="330">
        <v>0.1</v>
      </c>
      <c r="G2895" s="331">
        <f>I2894</f>
        <v>122792</v>
      </c>
      <c r="H2895" s="329">
        <v>0</v>
      </c>
      <c r="I2895" s="331">
        <f>ROUND((F2895*G2895),0)</f>
        <v>12279</v>
      </c>
      <c r="J2895" s="313"/>
      <c r="K2895" s="323"/>
    </row>
    <row r="2896" spans="2:11" s="317" customFormat="1" ht="24.9" hidden="1" customHeight="1" x14ac:dyDescent="0.2">
      <c r="B2896" s="319" t="s">
        <v>2332</v>
      </c>
      <c r="C2896" s="319"/>
      <c r="D2896" s="320" t="s">
        <v>1900</v>
      </c>
      <c r="E2896" s="319" t="s">
        <v>2585</v>
      </c>
      <c r="F2896" s="332"/>
      <c r="G2896" s="312">
        <f>ROUND(SUM(I2897:I2901),0)</f>
        <v>80783</v>
      </c>
      <c r="H2896" s="322"/>
      <c r="I2896" s="312"/>
      <c r="J2896" s="313"/>
      <c r="K2896" s="323"/>
    </row>
    <row r="2897" spans="2:11" s="317" customFormat="1" ht="24.9" hidden="1" customHeight="1" x14ac:dyDescent="0.2">
      <c r="B2897" s="658" t="s">
        <v>1325</v>
      </c>
      <c r="C2897" s="322" t="str">
        <f>+'LISTA DE INSUMOS'!A223</f>
        <v>MAT191</v>
      </c>
      <c r="D2897" s="324" t="str">
        <f>+'LISTA DE INSUMOS'!B223</f>
        <v>Silicona transparente sellador de vidrios</v>
      </c>
      <c r="E2897" s="322" t="str">
        <f>+'LISTA DE INSUMOS'!C223</f>
        <v>kg</v>
      </c>
      <c r="F2897" s="325">
        <v>8.0000000000000002E-3</v>
      </c>
      <c r="G2897" s="312">
        <f>'LISTA DE INSUMOS'!E223</f>
        <v>15365.09217672</v>
      </c>
      <c r="H2897" s="322">
        <v>0</v>
      </c>
      <c r="I2897" s="312">
        <f>IF(H2897&gt;=0,(F2897*G2897*(1+H2897/100)),ABS(F2897*G2897/H2897))</f>
        <v>122.92073741375999</v>
      </c>
      <c r="J2897" s="313"/>
      <c r="K2897" s="323"/>
    </row>
    <row r="2898" spans="2:11" s="317" customFormat="1" ht="24.9" hidden="1" customHeight="1" thickBot="1" x14ac:dyDescent="0.25">
      <c r="B2898" s="668"/>
      <c r="C2898" s="322" t="str">
        <f>+'LISTA DE INSUMOS'!A153</f>
        <v>MAT112</v>
      </c>
      <c r="D2898" s="324" t="str">
        <f>+'LISTA DE INSUMOS'!B153</f>
        <v>Pintura esmalte para exteriores</v>
      </c>
      <c r="E2898" s="322" t="str">
        <f>+'LISTA DE INSUMOS'!C153</f>
        <v>Gl</v>
      </c>
      <c r="F2898" s="325">
        <v>0.05</v>
      </c>
      <c r="G2898" s="312">
        <f>'LISTA DE INSUMOS'!E153</f>
        <v>99769.889999999985</v>
      </c>
      <c r="H2898" s="322">
        <v>1.03</v>
      </c>
      <c r="I2898" s="312">
        <f>ROUND((F2898*G2898*H2898),0)</f>
        <v>5138</v>
      </c>
      <c r="J2898" s="313"/>
      <c r="K2898" s="323"/>
    </row>
    <row r="2899" spans="2:11" s="317" customFormat="1" ht="24.9" hidden="1" customHeight="1" thickTop="1" thickBot="1" x14ac:dyDescent="0.25">
      <c r="B2899" s="347" t="s">
        <v>1310</v>
      </c>
      <c r="C2899" s="322" t="str">
        <f>+B574</f>
        <v>ITE96</v>
      </c>
      <c r="D2899" s="324" t="str">
        <f>+D574</f>
        <v>Mortero 1:3 (producción)</v>
      </c>
      <c r="E2899" s="322" t="str">
        <f>+E574</f>
        <v>M3</v>
      </c>
      <c r="F2899" s="325">
        <v>0.05</v>
      </c>
      <c r="G2899" s="312">
        <f>G574</f>
        <v>580906</v>
      </c>
      <c r="H2899" s="322">
        <v>1.05</v>
      </c>
      <c r="I2899" s="312">
        <f>ROUND((F2899*G2899*H2899),0)</f>
        <v>30498</v>
      </c>
      <c r="J2899" s="313"/>
      <c r="K2899" s="323"/>
    </row>
    <row r="2900" spans="2:11" s="317" customFormat="1" ht="24.9" hidden="1" customHeight="1" thickTop="1" thickBot="1" x14ac:dyDescent="0.25">
      <c r="B2900" s="372" t="s">
        <v>1034</v>
      </c>
      <c r="C2900" s="322" t="str">
        <f>+'LISTA DE INSUMOS'!A18</f>
        <v>MOB015</v>
      </c>
      <c r="D2900" s="324" t="str">
        <f>+'LISTA DE INSUMOS'!B18</f>
        <v>Cuadrilla E 1 Of + 1 Ay (jornal + prestaciones)</v>
      </c>
      <c r="E2900" s="322" t="str">
        <f>+'LISTA DE INSUMOS'!C18</f>
        <v>Día</v>
      </c>
      <c r="F2900" s="325">
        <v>1</v>
      </c>
      <c r="G2900" s="312">
        <f>'LISTA DE INSUMOS'!E18</f>
        <v>245584</v>
      </c>
      <c r="H2900" s="322">
        <f>1/6</f>
        <v>0.16666666666666666</v>
      </c>
      <c r="I2900" s="312">
        <f>ROUND((F2900*G2900*H2900),0)</f>
        <v>40931</v>
      </c>
      <c r="J2900" s="313"/>
      <c r="K2900" s="323"/>
    </row>
    <row r="2901" spans="2:11" s="317" customFormat="1" ht="24.9" hidden="1" customHeight="1" thickTop="1" thickBot="1" x14ac:dyDescent="0.25">
      <c r="B2901" s="255" t="s">
        <v>1033</v>
      </c>
      <c r="C2901" s="327" t="str">
        <f>+'LISTA DE INSUMOS'!A758</f>
        <v>EQU002</v>
      </c>
      <c r="D2901" s="328" t="str">
        <f>+'LISTA DE INSUMOS'!B758</f>
        <v>Herramienta menor (% mano obra)</v>
      </c>
      <c r="E2901" s="329" t="str">
        <f>+'LISTA DE INSUMOS'!C758</f>
        <v>%MO</v>
      </c>
      <c r="F2901" s="330">
        <v>0.1</v>
      </c>
      <c r="G2901" s="331">
        <f>I2900</f>
        <v>40931</v>
      </c>
      <c r="H2901" s="329">
        <v>0</v>
      </c>
      <c r="I2901" s="331">
        <f>ROUND((F2901*G2901),0)</f>
        <v>4093</v>
      </c>
      <c r="J2901" s="313"/>
      <c r="K2901" s="323"/>
    </row>
    <row r="2902" spans="2:11" ht="24.9" customHeight="1" x14ac:dyDescent="0.2">
      <c r="B2902" s="117" t="s">
        <v>1840</v>
      </c>
      <c r="C2902" s="117"/>
      <c r="D2902" s="112" t="s">
        <v>1685</v>
      </c>
      <c r="E2902" s="117" t="s">
        <v>1412</v>
      </c>
      <c r="F2902" s="149"/>
      <c r="G2902" s="119">
        <f>ROUND(SUM(I2903:I2907),0)</f>
        <v>34786</v>
      </c>
      <c r="H2902" s="120"/>
      <c r="I2902" s="119"/>
      <c r="J2902" s="47"/>
      <c r="K2902" s="143"/>
    </row>
    <row r="2903" spans="2:11" ht="24.9" customHeight="1" x14ac:dyDescent="0.2">
      <c r="B2903" s="657" t="s">
        <v>1325</v>
      </c>
      <c r="C2903" s="108" t="str">
        <f>+'LISTA DE INSUMOS'!A353</f>
        <v>MAT346</v>
      </c>
      <c r="D2903" s="139" t="str">
        <f>+'LISTA DE INSUMOS'!B353</f>
        <v>Guarda escobas en madera a = 0,10 m cedro blanco tintilla y laca</v>
      </c>
      <c r="E2903" s="108" t="str">
        <f>+'LISTA DE INSUMOS'!C353</f>
        <v>M</v>
      </c>
      <c r="F2903" s="140">
        <v>1</v>
      </c>
      <c r="G2903" s="141">
        <f>'LISTA DE INSUMOS'!E353</f>
        <v>26105.462979287993</v>
      </c>
      <c r="H2903" s="108">
        <v>1.03</v>
      </c>
      <c r="I2903" s="141">
        <f>ROUND((F2903*G2903*H2903),0)</f>
        <v>26889</v>
      </c>
      <c r="J2903" s="47"/>
      <c r="K2903" s="143"/>
    </row>
    <row r="2904" spans="2:11" ht="24.9" customHeight="1" x14ac:dyDescent="0.2">
      <c r="B2904" s="657"/>
      <c r="C2904" s="108" t="str">
        <f>+'LISTA DE INSUMOS'!A73</f>
        <v>MAT040</v>
      </c>
      <c r="D2904" s="139" t="str">
        <f>+'LISTA DE INSUMOS'!B73</f>
        <v>Barniz intemperie brillante</v>
      </c>
      <c r="E2904" s="108" t="str">
        <f>+'LISTA DE INSUMOS'!C73</f>
        <v>Gl</v>
      </c>
      <c r="F2904" s="152">
        <v>1.4999999999999999E-2</v>
      </c>
      <c r="G2904" s="141">
        <f>'LISTA DE INSUMOS'!E73</f>
        <v>69711.851420999985</v>
      </c>
      <c r="H2904" s="108">
        <v>1.03</v>
      </c>
      <c r="I2904" s="141">
        <f>ROUND((F2904*G2904*H2904),0)</f>
        <v>1077</v>
      </c>
      <c r="J2904" s="47"/>
      <c r="K2904" s="143"/>
    </row>
    <row r="2905" spans="2:11" ht="24.9" customHeight="1" thickBot="1" x14ac:dyDescent="0.25">
      <c r="B2905" s="659"/>
      <c r="C2905" s="108" t="str">
        <f>+'LISTA DE INSUMOS'!A52</f>
        <v>MAT021</v>
      </c>
      <c r="D2905" s="139" t="str">
        <f>+'LISTA DE INSUMOS'!B52</f>
        <v>Puntilla (promedio)</v>
      </c>
      <c r="E2905" s="108" t="str">
        <f>+'LISTA DE INSUMOS'!C52</f>
        <v>Lb</v>
      </c>
      <c r="F2905" s="140">
        <f>20/2036</f>
        <v>9.823182711198428E-3</v>
      </c>
      <c r="G2905" s="141">
        <f>'LISTA DE INSUMOS'!E52</f>
        <v>6690.6972299999998</v>
      </c>
      <c r="H2905" s="108">
        <v>0</v>
      </c>
      <c r="I2905" s="141">
        <f>ROUND((F2905*G2905),0)</f>
        <v>66</v>
      </c>
      <c r="J2905" s="47"/>
      <c r="K2905" s="143"/>
    </row>
    <row r="2906" spans="2:11" ht="24.9" customHeight="1" thickTop="1" thickBot="1" x14ac:dyDescent="0.25">
      <c r="B2906" s="250" t="s">
        <v>1034</v>
      </c>
      <c r="C2906" s="108" t="str">
        <f>+'LISTA DE INSUMOS'!A18</f>
        <v>MOB015</v>
      </c>
      <c r="D2906" s="139" t="str">
        <f>+'LISTA DE INSUMOS'!B18</f>
        <v>Cuadrilla E 1 Of + 1 Ay (jornal + prestaciones)</v>
      </c>
      <c r="E2906" s="108" t="str">
        <f>+'LISTA DE INSUMOS'!C18</f>
        <v>Día</v>
      </c>
      <c r="F2906" s="140">
        <v>1</v>
      </c>
      <c r="G2906" s="141">
        <f>'LISTA DE INSUMOS'!E18</f>
        <v>245584</v>
      </c>
      <c r="H2906" s="108">
        <f>1/40</f>
        <v>2.5000000000000001E-2</v>
      </c>
      <c r="I2906" s="141">
        <f>ROUND((F2906*G2906*H2906),0)</f>
        <v>6140</v>
      </c>
      <c r="J2906" s="47"/>
      <c r="K2906" s="143"/>
    </row>
    <row r="2907" spans="2:11" ht="24.9" customHeight="1" thickTop="1" thickBot="1" x14ac:dyDescent="0.25">
      <c r="B2907" s="150" t="s">
        <v>1033</v>
      </c>
      <c r="C2907" s="151" t="str">
        <f>+'LISTA DE INSUMOS'!A758</f>
        <v>EQU002</v>
      </c>
      <c r="D2907" s="146" t="str">
        <f>+'LISTA DE INSUMOS'!B758</f>
        <v>Herramienta menor (% mano obra)</v>
      </c>
      <c r="E2907" s="145" t="str">
        <f>+'LISTA DE INSUMOS'!C758</f>
        <v>%MO</v>
      </c>
      <c r="F2907" s="147">
        <v>0.1</v>
      </c>
      <c r="G2907" s="148">
        <f>I2906</f>
        <v>6140</v>
      </c>
      <c r="H2907" s="145">
        <v>0</v>
      </c>
      <c r="I2907" s="148">
        <f>ROUND((F2907*G2907),0)</f>
        <v>614</v>
      </c>
      <c r="J2907" s="47"/>
      <c r="K2907" s="143"/>
    </row>
    <row r="2908" spans="2:11" s="317" customFormat="1" ht="24.9" hidden="1" customHeight="1" x14ac:dyDescent="0.2">
      <c r="B2908" s="319" t="s">
        <v>2333</v>
      </c>
      <c r="C2908" s="319"/>
      <c r="D2908" s="320" t="s">
        <v>1528</v>
      </c>
      <c r="E2908" s="319" t="s">
        <v>2586</v>
      </c>
      <c r="F2908" s="332"/>
      <c r="G2908" s="312">
        <f>ROUND(SUM(I2909:I2913),0)</f>
        <v>1205413</v>
      </c>
      <c r="H2908" s="322"/>
      <c r="I2908" s="312"/>
      <c r="J2908" s="313"/>
      <c r="K2908" s="323"/>
    </row>
    <row r="2909" spans="2:11" s="317" customFormat="1" ht="24.9" hidden="1" customHeight="1" thickBot="1" x14ac:dyDescent="0.25">
      <c r="B2909" s="347" t="s">
        <v>1325</v>
      </c>
      <c r="C2909" s="322" t="str">
        <f>+'LISTA DE INSUMOS'!A357</f>
        <v>MAT350</v>
      </c>
      <c r="D2909" s="324" t="str">
        <f>+'LISTA DE INSUMOS'!B357</f>
        <v>Mezcla asfáltica MDC 2</v>
      </c>
      <c r="E2909" s="322" t="str">
        <f>+'LISTA DE INSUMOS'!C357</f>
        <v>M3</v>
      </c>
      <c r="F2909" s="325">
        <v>1</v>
      </c>
      <c r="G2909" s="312">
        <f>'LISTA DE INSUMOS'!E357</f>
        <v>807273.28828563448</v>
      </c>
      <c r="H2909" s="322">
        <v>1.25</v>
      </c>
      <c r="I2909" s="312">
        <f>ROUND((F2909*G2909*H2909),0)</f>
        <v>1009092</v>
      </c>
      <c r="J2909" s="313"/>
      <c r="K2909" s="323"/>
    </row>
    <row r="2910" spans="2:11" s="317" customFormat="1" ht="24.9" hidden="1" customHeight="1" thickTop="1" thickBot="1" x14ac:dyDescent="0.25">
      <c r="B2910" s="347" t="s">
        <v>1310</v>
      </c>
      <c r="C2910" s="322" t="str">
        <f>+B338</f>
        <v>ITE057</v>
      </c>
      <c r="D2910" s="324" t="str">
        <f>+D338</f>
        <v>Transporte material asfáltico</v>
      </c>
      <c r="E2910" s="322" t="str">
        <f>+E338</f>
        <v>M3-Km</v>
      </c>
      <c r="F2910" s="325">
        <v>40</v>
      </c>
      <c r="G2910" s="312">
        <f>G338</f>
        <v>1707</v>
      </c>
      <c r="H2910" s="322">
        <v>1.25</v>
      </c>
      <c r="I2910" s="312">
        <f>ROUND((F2910*G2910*H2910),0)</f>
        <v>85350</v>
      </c>
      <c r="J2910" s="313"/>
      <c r="K2910" s="323"/>
    </row>
    <row r="2911" spans="2:11" s="317" customFormat="1" ht="24.9" hidden="1" customHeight="1" thickTop="1" thickBot="1" x14ac:dyDescent="0.25">
      <c r="B2911" s="372" t="s">
        <v>1034</v>
      </c>
      <c r="C2911" s="338" t="str">
        <f>+'LISTA DE INSUMOS'!A9</f>
        <v>MOB006</v>
      </c>
      <c r="D2911" s="339" t="str">
        <f>+'LISTA DE INSUMOS'!B9</f>
        <v>Cuadrilla A 1 Of + 4 Ay (jornal + prestaciones)</v>
      </c>
      <c r="E2911" s="338" t="str">
        <f>+'LISTA DE INSUMOS'!C9</f>
        <v>Día</v>
      </c>
      <c r="F2911" s="369">
        <v>1</v>
      </c>
      <c r="G2911" s="312">
        <f>'LISTA DE INSUMOS'!E9</f>
        <v>491167</v>
      </c>
      <c r="H2911" s="322">
        <f>1/6</f>
        <v>0.16666666666666666</v>
      </c>
      <c r="I2911" s="312">
        <f>ROUND((F2911*G2911*H2911),0)</f>
        <v>81861</v>
      </c>
      <c r="J2911" s="313"/>
      <c r="K2911" s="323"/>
    </row>
    <row r="2912" spans="2:11" s="317" customFormat="1" ht="24.9" hidden="1" customHeight="1" thickTop="1" x14ac:dyDescent="0.2">
      <c r="B2912" s="652" t="s">
        <v>1033</v>
      </c>
      <c r="C2912" s="322" t="str">
        <f>+'LISTA DE INSUMOS'!A758</f>
        <v>EQU002</v>
      </c>
      <c r="D2912" s="324" t="str">
        <f>+'LISTA DE INSUMOS'!B758</f>
        <v>Herramienta menor (% mano obra)</v>
      </c>
      <c r="E2912" s="322" t="str">
        <f>+'LISTA DE INSUMOS'!C758</f>
        <v>%MO</v>
      </c>
      <c r="F2912" s="325">
        <v>0.1</v>
      </c>
      <c r="G2912" s="312">
        <f>I2911</f>
        <v>81861</v>
      </c>
      <c r="H2912" s="322">
        <v>0</v>
      </c>
      <c r="I2912" s="312">
        <f>ROUND((F2912*G2912),0)</f>
        <v>8186</v>
      </c>
      <c r="J2912" s="313"/>
      <c r="K2912" s="323"/>
    </row>
    <row r="2913" spans="2:11" s="317" customFormat="1" ht="24.9" hidden="1" customHeight="1" thickBot="1" x14ac:dyDescent="0.25">
      <c r="B2913" s="653"/>
      <c r="C2913" s="329" t="str">
        <f>+'LISTA DE INSUMOS'!A769</f>
        <v>EQU012</v>
      </c>
      <c r="D2913" s="328" t="str">
        <f>+'LISTA DE INSUMOS'!B769</f>
        <v xml:space="preserve">Vibrocompactador manual </v>
      </c>
      <c r="E2913" s="329" t="str">
        <f>+'LISTA DE INSUMOS'!C769</f>
        <v>Día</v>
      </c>
      <c r="F2913" s="330">
        <v>1</v>
      </c>
      <c r="G2913" s="331">
        <f>'LISTA DE INSUMOS'!E769</f>
        <v>83697.986602732781</v>
      </c>
      <c r="H2913" s="329">
        <f>1/4</f>
        <v>0.25</v>
      </c>
      <c r="I2913" s="331">
        <f>ROUND((F2913*G2913*H2913),0)</f>
        <v>20924</v>
      </c>
      <c r="J2913" s="313"/>
      <c r="K2913" s="323"/>
    </row>
    <row r="2914" spans="2:11" ht="24.9" customHeight="1" x14ac:dyDescent="0.2">
      <c r="B2914" s="193" t="s">
        <v>1911</v>
      </c>
      <c r="C2914" s="117"/>
      <c r="D2914" s="112" t="s">
        <v>1928</v>
      </c>
      <c r="E2914" s="117" t="s">
        <v>2585</v>
      </c>
      <c r="F2914" s="149"/>
      <c r="G2914" s="119">
        <f>ROUND(SUM(I2915:I2918),0)</f>
        <v>3987</v>
      </c>
      <c r="H2914" s="120"/>
      <c r="I2914" s="119"/>
      <c r="J2914" s="47"/>
      <c r="K2914" s="143"/>
    </row>
    <row r="2915" spans="2:11" ht="24.9" customHeight="1" thickBot="1" x14ac:dyDescent="0.25">
      <c r="B2915" s="175" t="s">
        <v>1325</v>
      </c>
      <c r="C2915" s="108" t="str">
        <f>+'LISTA DE INSUMOS'!A268</f>
        <v>MAT238</v>
      </c>
      <c r="D2915" s="139" t="str">
        <f>+'LISTA DE INSUMOS'!B268</f>
        <v>Asfalto para liga 70 / 90</v>
      </c>
      <c r="E2915" s="108" t="str">
        <f>+'LISTA DE INSUMOS'!C268</f>
        <v>Kg</v>
      </c>
      <c r="F2915" s="140">
        <v>1</v>
      </c>
      <c r="G2915" s="141">
        <f>'LISTA DE INSUMOS'!E268</f>
        <v>1938.5244786599999</v>
      </c>
      <c r="H2915" s="108">
        <v>1.03</v>
      </c>
      <c r="I2915" s="141">
        <f>ROUND((F2915*G2915*H2915),0)</f>
        <v>1997</v>
      </c>
      <c r="J2915" s="47"/>
      <c r="K2915" s="143"/>
    </row>
    <row r="2916" spans="2:11" ht="24.9" customHeight="1" thickTop="1" thickBot="1" x14ac:dyDescent="0.25">
      <c r="B2916" s="250" t="s">
        <v>1034</v>
      </c>
      <c r="C2916" s="108" t="str">
        <f>+'LISTA DE INSUMOS'!A7</f>
        <v>MOB004</v>
      </c>
      <c r="D2916" s="139" t="str">
        <f>+'LISTA DE INSUMOS'!B7</f>
        <v>Ayudante (jornal + prestaciones)</v>
      </c>
      <c r="E2916" s="108" t="str">
        <f>+'LISTA DE INSUMOS'!C7</f>
        <v>Dia</v>
      </c>
      <c r="F2916" s="140">
        <v>1</v>
      </c>
      <c r="G2916" s="141">
        <f>+'LISTA DE INSUMOS'!E7</f>
        <v>81861</v>
      </c>
      <c r="H2916" s="168">
        <f>1/550</f>
        <v>1.8181818181818182E-3</v>
      </c>
      <c r="I2916" s="141">
        <f>ROUND((F2916*G2916*H2916),0)</f>
        <v>149</v>
      </c>
      <c r="J2916" s="47"/>
      <c r="K2916" s="143"/>
    </row>
    <row r="2917" spans="2:11" ht="24.9" customHeight="1" thickTop="1" x14ac:dyDescent="0.2">
      <c r="B2917" s="647" t="s">
        <v>1033</v>
      </c>
      <c r="C2917" s="108" t="str">
        <f>+'LISTA DE INSUMOS'!A758</f>
        <v>EQU002</v>
      </c>
      <c r="D2917" s="139" t="str">
        <f>+'LISTA DE INSUMOS'!B758</f>
        <v>Herramienta menor (% mano obra)</v>
      </c>
      <c r="E2917" s="108" t="str">
        <f>+'LISTA DE INSUMOS'!C758</f>
        <v>%MO</v>
      </c>
      <c r="F2917" s="140">
        <v>0.1</v>
      </c>
      <c r="G2917" s="141">
        <f>I2916</f>
        <v>149</v>
      </c>
      <c r="H2917" s="108">
        <v>0</v>
      </c>
      <c r="I2917" s="141">
        <f>ROUND((F2917*G2917),0)</f>
        <v>15</v>
      </c>
      <c r="J2917" s="47"/>
      <c r="K2917" s="143"/>
    </row>
    <row r="2918" spans="2:11" ht="24.9" customHeight="1" thickBot="1" x14ac:dyDescent="0.25">
      <c r="B2918" s="704"/>
      <c r="C2918" s="145" t="str">
        <f>+'LISTA DE INSUMOS'!A777</f>
        <v>EQU020</v>
      </c>
      <c r="D2918" s="146" t="str">
        <f>+'LISTA DE INSUMOS'!B777</f>
        <v>Carrotanque asfalto</v>
      </c>
      <c r="E2918" s="145" t="str">
        <f>+'LISTA DE INSUMOS'!C777</f>
        <v>Hr</v>
      </c>
      <c r="F2918" s="147">
        <v>1</v>
      </c>
      <c r="G2918" s="148">
        <f>'LISTA DE INSUMOS'!E777</f>
        <v>127804.64902919998</v>
      </c>
      <c r="H2918" s="145">
        <f>1/70</f>
        <v>1.4285714285714285E-2</v>
      </c>
      <c r="I2918" s="148">
        <f>ROUND((F2918*G2918*H2918),0)</f>
        <v>1826</v>
      </c>
      <c r="J2918" s="47"/>
      <c r="K2918" s="143"/>
    </row>
    <row r="2919" spans="2:11" s="317" customFormat="1" ht="24.9" hidden="1" customHeight="1" x14ac:dyDescent="0.2">
      <c r="B2919" s="319" t="s">
        <v>2334</v>
      </c>
      <c r="C2919" s="319"/>
      <c r="D2919" s="320" t="s">
        <v>1307</v>
      </c>
      <c r="E2919" s="319" t="s">
        <v>1435</v>
      </c>
      <c r="F2919" s="332"/>
      <c r="G2919" s="312">
        <f>ROUND(SUM(I2920:I2925),0)</f>
        <v>278050</v>
      </c>
      <c r="H2919" s="322"/>
      <c r="I2919" s="312"/>
      <c r="J2919" s="313"/>
      <c r="K2919" s="323"/>
    </row>
    <row r="2920" spans="2:11" s="317" customFormat="1" ht="24.9" hidden="1" customHeight="1" x14ac:dyDescent="0.2">
      <c r="B2920" s="691" t="s">
        <v>1035</v>
      </c>
      <c r="C2920" s="322" t="str">
        <f>+'LISTA DE INSUMOS'!A591</f>
        <v>MAT608</v>
      </c>
      <c r="D2920" s="368" t="str">
        <f>+'LISTA DE INSUMOS'!B591</f>
        <v>Marco metálico en lámina C 20 de 0,90 x 2,05 m, incluye anticorrosivo</v>
      </c>
      <c r="E2920" s="338" t="str">
        <f>+'LISTA DE INSUMOS'!C591</f>
        <v>Un</v>
      </c>
      <c r="F2920" s="369">
        <v>1</v>
      </c>
      <c r="G2920" s="312">
        <f>'LISTA DE INSUMOS'!E591</f>
        <v>107206.29697865143</v>
      </c>
      <c r="H2920" s="322">
        <v>0</v>
      </c>
      <c r="I2920" s="312">
        <f>ROUND((F2920*G2920),0)</f>
        <v>107206</v>
      </c>
      <c r="J2920" s="313"/>
      <c r="K2920" s="323"/>
    </row>
    <row r="2921" spans="2:11" s="317" customFormat="1" ht="24.9" hidden="1" customHeight="1" x14ac:dyDescent="0.2">
      <c r="B2921" s="691"/>
      <c r="C2921" s="322" t="str">
        <f>+'LISTA DE INSUMOS'!A73</f>
        <v>MAT040</v>
      </c>
      <c r="D2921" s="324" t="str">
        <f>+'LISTA DE INSUMOS'!B73</f>
        <v>Barniz intemperie brillante</v>
      </c>
      <c r="E2921" s="322" t="str">
        <f>+'LISTA DE INSUMOS'!C73</f>
        <v>Gl</v>
      </c>
      <c r="F2921" s="325">
        <v>0.22</v>
      </c>
      <c r="G2921" s="312">
        <f>'LISTA DE INSUMOS'!E73</f>
        <v>69711.851420999985</v>
      </c>
      <c r="H2921" s="322">
        <v>1.03</v>
      </c>
      <c r="I2921" s="312">
        <f>ROUND((F2921*G2921*H2921),0)</f>
        <v>15797</v>
      </c>
      <c r="J2921" s="313"/>
      <c r="K2921" s="323"/>
    </row>
    <row r="2922" spans="2:11" s="317" customFormat="1" ht="24.9" hidden="1" customHeight="1" thickBot="1" x14ac:dyDescent="0.25">
      <c r="B2922" s="692"/>
      <c r="C2922" s="322" t="str">
        <f>+'LISTA DE INSUMOS'!A153</f>
        <v>MAT112</v>
      </c>
      <c r="D2922" s="324" t="str">
        <f>+'LISTA DE INSUMOS'!B153</f>
        <v>Pintura esmalte para exteriores</v>
      </c>
      <c r="E2922" s="322" t="str">
        <f>+'LISTA DE INSUMOS'!C153</f>
        <v>Gl</v>
      </c>
      <c r="F2922" s="325">
        <v>4.5999999999999999E-2</v>
      </c>
      <c r="G2922" s="312">
        <f>'LISTA DE INSUMOS'!E153</f>
        <v>99769.889999999985</v>
      </c>
      <c r="H2922" s="322">
        <v>1.03</v>
      </c>
      <c r="I2922" s="312">
        <f>ROUND((F2922*G2922*H2922),0)</f>
        <v>4727</v>
      </c>
      <c r="J2922" s="313"/>
      <c r="K2922" s="323"/>
    </row>
    <row r="2923" spans="2:11" s="317" customFormat="1" ht="24.9" hidden="1" customHeight="1" thickTop="1" thickBot="1" x14ac:dyDescent="0.25">
      <c r="B2923" s="347" t="s">
        <v>1310</v>
      </c>
      <c r="C2923" s="322" t="str">
        <f>+B574</f>
        <v>ITE96</v>
      </c>
      <c r="D2923" s="324" t="str">
        <f>+D574</f>
        <v>Mortero 1:3 (producción)</v>
      </c>
      <c r="E2923" s="322" t="str">
        <f>+E574</f>
        <v>M3</v>
      </c>
      <c r="F2923" s="325">
        <v>2.5000000000000001E-2</v>
      </c>
      <c r="G2923" s="312">
        <f>G574</f>
        <v>580906</v>
      </c>
      <c r="H2923" s="322">
        <v>1.05</v>
      </c>
      <c r="I2923" s="312">
        <f>ROUND((F2923*G2923*H2923),0)</f>
        <v>15249</v>
      </c>
      <c r="J2923" s="313"/>
      <c r="K2923" s="323"/>
    </row>
    <row r="2924" spans="2:11" s="317" customFormat="1" ht="24.9" hidden="1" customHeight="1" thickTop="1" thickBot="1" x14ac:dyDescent="0.25">
      <c r="B2924" s="372" t="s">
        <v>1034</v>
      </c>
      <c r="C2924" s="322" t="str">
        <f>+'LISTA DE INSUMOS'!A18</f>
        <v>MOB015</v>
      </c>
      <c r="D2924" s="324" t="str">
        <f>+'LISTA DE INSUMOS'!B18</f>
        <v>Cuadrilla E 1 Of + 1 Ay (jornal + prestaciones)</v>
      </c>
      <c r="E2924" s="322" t="str">
        <f>+'LISTA DE INSUMOS'!C18</f>
        <v>Día</v>
      </c>
      <c r="F2924" s="325">
        <v>1</v>
      </c>
      <c r="G2924" s="312">
        <f>'LISTA DE INSUMOS'!E18</f>
        <v>245584</v>
      </c>
      <c r="H2924" s="322">
        <f>1/2</f>
        <v>0.5</v>
      </c>
      <c r="I2924" s="312">
        <f>ROUND((F2924*G2924*H2924),0)</f>
        <v>122792</v>
      </c>
      <c r="J2924" s="313"/>
      <c r="K2924" s="323"/>
    </row>
    <row r="2925" spans="2:11" s="317" customFormat="1" ht="24.9" hidden="1" customHeight="1" thickTop="1" thickBot="1" x14ac:dyDescent="0.25">
      <c r="B2925" s="255" t="s">
        <v>1033</v>
      </c>
      <c r="C2925" s="327" t="str">
        <f>+'LISTA DE INSUMOS'!A758</f>
        <v>EQU002</v>
      </c>
      <c r="D2925" s="328" t="str">
        <f>+'LISTA DE INSUMOS'!B758</f>
        <v>Herramienta menor (% mano obra)</v>
      </c>
      <c r="E2925" s="329" t="str">
        <f>+'LISTA DE INSUMOS'!C758</f>
        <v>%MO</v>
      </c>
      <c r="F2925" s="330">
        <v>0.1</v>
      </c>
      <c r="G2925" s="331">
        <f>I2924</f>
        <v>122792</v>
      </c>
      <c r="H2925" s="329">
        <v>0</v>
      </c>
      <c r="I2925" s="331">
        <f>ROUND((F2925*G2925),0)</f>
        <v>12279</v>
      </c>
      <c r="J2925" s="313"/>
      <c r="K2925" s="323"/>
    </row>
    <row r="2926" spans="2:11" s="317" customFormat="1" ht="24.9" hidden="1" customHeight="1" x14ac:dyDescent="0.2">
      <c r="B2926" s="319" t="s">
        <v>2335</v>
      </c>
      <c r="C2926" s="319"/>
      <c r="D2926" s="320" t="s">
        <v>1308</v>
      </c>
      <c r="E2926" s="319" t="s">
        <v>1435</v>
      </c>
      <c r="F2926" s="321"/>
      <c r="G2926" s="312">
        <f>ROUND(SUM(I2927:I2931),0)</f>
        <v>284251</v>
      </c>
      <c r="H2926" s="322"/>
      <c r="I2926" s="312"/>
      <c r="J2926" s="313"/>
      <c r="K2926" s="323"/>
    </row>
    <row r="2927" spans="2:11" s="317" customFormat="1" ht="24.9" hidden="1" customHeight="1" x14ac:dyDescent="0.2">
      <c r="B2927" s="658" t="s">
        <v>1325</v>
      </c>
      <c r="C2927" s="322" t="str">
        <f>+'LISTA DE INSUMOS'!A591</f>
        <v>MAT608</v>
      </c>
      <c r="D2927" s="368" t="str">
        <f>+'LISTA DE INSUMOS'!B591</f>
        <v>Marco metálico en lámina C 20 de 0,90 x 2,05 m, incluye anticorrosivo</v>
      </c>
      <c r="E2927" s="322" t="str">
        <f>+'LISTA DE INSUMOS'!C591</f>
        <v>Un</v>
      </c>
      <c r="F2927" s="325">
        <v>1</v>
      </c>
      <c r="G2927" s="312">
        <f>'LISTA DE INSUMOS'!E591</f>
        <v>107206.29697865143</v>
      </c>
      <c r="H2927" s="322">
        <v>0</v>
      </c>
      <c r="I2927" s="312">
        <f>ROUND((F2927*G2927),0)</f>
        <v>107206</v>
      </c>
      <c r="J2927" s="313"/>
      <c r="K2927" s="323"/>
    </row>
    <row r="2928" spans="2:11" s="317" customFormat="1" ht="24.9" hidden="1" customHeight="1" thickBot="1" x14ac:dyDescent="0.25">
      <c r="B2928" s="668"/>
      <c r="C2928" s="322" t="str">
        <f>+'LISTA DE INSUMOS'!A153</f>
        <v>MAT112</v>
      </c>
      <c r="D2928" s="324" t="str">
        <f>+'LISTA DE INSUMOS'!B153</f>
        <v>Pintura esmalte para exteriores</v>
      </c>
      <c r="E2928" s="322" t="str">
        <f>+'LISTA DE INSUMOS'!C153</f>
        <v>Gl</v>
      </c>
      <c r="F2928" s="325">
        <v>0.26600000000000001</v>
      </c>
      <c r="G2928" s="312">
        <f>'LISTA DE INSUMOS'!E153</f>
        <v>99769.889999999985</v>
      </c>
      <c r="H2928" s="322">
        <v>1.03</v>
      </c>
      <c r="I2928" s="312">
        <f>ROUND((F2928*G2928*H2928),0)</f>
        <v>27335</v>
      </c>
      <c r="J2928" s="313"/>
      <c r="K2928" s="323"/>
    </row>
    <row r="2929" spans="2:11" s="317" customFormat="1" ht="24.9" hidden="1" customHeight="1" thickTop="1" thickBot="1" x14ac:dyDescent="0.25">
      <c r="B2929" s="347" t="s">
        <v>1310</v>
      </c>
      <c r="C2929" s="322" t="str">
        <f>+B574</f>
        <v>ITE96</v>
      </c>
      <c r="D2929" s="324" t="str">
        <f>+D574</f>
        <v>Mortero 1:3 (producción)</v>
      </c>
      <c r="E2929" s="322" t="str">
        <f>+E574</f>
        <v>M3</v>
      </c>
      <c r="F2929" s="325">
        <v>2.4E-2</v>
      </c>
      <c r="G2929" s="312">
        <f>G574</f>
        <v>580906</v>
      </c>
      <c r="H2929" s="322">
        <v>1.05</v>
      </c>
      <c r="I2929" s="312">
        <f>ROUND((F2929*G2929*H2929),0)</f>
        <v>14639</v>
      </c>
      <c r="J2929" s="313"/>
      <c r="K2929" s="323"/>
    </row>
    <row r="2930" spans="2:11" s="317" customFormat="1" ht="24.9" hidden="1" customHeight="1" thickTop="1" thickBot="1" x14ac:dyDescent="0.25">
      <c r="B2930" s="372" t="s">
        <v>1034</v>
      </c>
      <c r="C2930" s="322" t="str">
        <f>+'LISTA DE INSUMOS'!A18</f>
        <v>MOB015</v>
      </c>
      <c r="D2930" s="324" t="str">
        <f>+'LISTA DE INSUMOS'!B18</f>
        <v>Cuadrilla E 1 Of + 1 Ay (jornal + prestaciones)</v>
      </c>
      <c r="E2930" s="322" t="str">
        <f>+'LISTA DE INSUMOS'!C18</f>
        <v>Día</v>
      </c>
      <c r="F2930" s="325">
        <v>1</v>
      </c>
      <c r="G2930" s="312">
        <f>'LISTA DE INSUMOS'!E18</f>
        <v>245584</v>
      </c>
      <c r="H2930" s="322">
        <f>1/2</f>
        <v>0.5</v>
      </c>
      <c r="I2930" s="312">
        <f>ROUND((F2930*G2930*H2930),0)</f>
        <v>122792</v>
      </c>
      <c r="J2930" s="313"/>
      <c r="K2930" s="323"/>
    </row>
    <row r="2931" spans="2:11" s="317" customFormat="1" ht="24.9" hidden="1" customHeight="1" thickTop="1" thickBot="1" x14ac:dyDescent="0.25">
      <c r="B2931" s="255" t="s">
        <v>1033</v>
      </c>
      <c r="C2931" s="322" t="str">
        <f>+'LISTA DE INSUMOS'!A758</f>
        <v>EQU002</v>
      </c>
      <c r="D2931" s="324" t="str">
        <f>+'LISTA DE INSUMOS'!B758</f>
        <v>Herramienta menor (% mano obra)</v>
      </c>
      <c r="E2931" s="322" t="str">
        <f>+'LISTA DE INSUMOS'!C758</f>
        <v>%MO</v>
      </c>
      <c r="F2931" s="325">
        <v>0.1</v>
      </c>
      <c r="G2931" s="312">
        <f>I2930</f>
        <v>122792</v>
      </c>
      <c r="H2931" s="322">
        <v>0</v>
      </c>
      <c r="I2931" s="312">
        <f>ROUND((F2931*G2931),0)</f>
        <v>12279</v>
      </c>
      <c r="J2931" s="313"/>
      <c r="K2931" s="323"/>
    </row>
    <row r="2932" spans="2:11" s="317" customFormat="1" ht="24.9" hidden="1" customHeight="1" x14ac:dyDescent="0.2">
      <c r="B2932" s="319" t="s">
        <v>2336</v>
      </c>
      <c r="C2932" s="319"/>
      <c r="D2932" s="320" t="s">
        <v>1309</v>
      </c>
      <c r="E2932" s="319" t="s">
        <v>1435</v>
      </c>
      <c r="F2932" s="321"/>
      <c r="G2932" s="312">
        <f>ROUND(SUM(I2933:I2937),0)</f>
        <v>406871</v>
      </c>
      <c r="H2932" s="322"/>
      <c r="I2932" s="312"/>
      <c r="J2932" s="313"/>
      <c r="K2932" s="323"/>
    </row>
    <row r="2933" spans="2:11" s="317" customFormat="1" ht="24.9" hidden="1" customHeight="1" x14ac:dyDescent="0.2">
      <c r="B2933" s="658" t="s">
        <v>1325</v>
      </c>
      <c r="C2933" s="322" t="str">
        <f>+'LISTA DE INSUMOS'!A103</f>
        <v>MAT063</v>
      </c>
      <c r="D2933" s="324" t="str">
        <f>+'LISTA DE INSUMOS'!B103</f>
        <v>Marco metálico en lámina C 20 de 1,20 x 2,05 m, incluye anticorrosivo</v>
      </c>
      <c r="E2933" s="322" t="str">
        <f>+'LISTA DE INSUMOS'!C103</f>
        <v>Un</v>
      </c>
      <c r="F2933" s="325">
        <v>1</v>
      </c>
      <c r="G2933" s="312">
        <f>'LISTA DE INSUMOS'!E103</f>
        <v>217725.90550919206</v>
      </c>
      <c r="H2933" s="322">
        <v>0</v>
      </c>
      <c r="I2933" s="312">
        <f>ROUND((F2933*G2933),0)</f>
        <v>217726</v>
      </c>
      <c r="J2933" s="313"/>
      <c r="K2933" s="323"/>
    </row>
    <row r="2934" spans="2:11" s="317" customFormat="1" ht="24.9" hidden="1" customHeight="1" thickBot="1" x14ac:dyDescent="0.25">
      <c r="B2934" s="668"/>
      <c r="C2934" s="322" t="str">
        <f>+'LISTA DE INSUMOS'!A153</f>
        <v>MAT112</v>
      </c>
      <c r="D2934" s="324" t="str">
        <f>+'LISTA DE INSUMOS'!B153</f>
        <v>Pintura esmalte para exteriores</v>
      </c>
      <c r="E2934" s="322" t="str">
        <f>+'LISTA DE INSUMOS'!C153</f>
        <v>Gl</v>
      </c>
      <c r="F2934" s="325">
        <v>0.36</v>
      </c>
      <c r="G2934" s="312">
        <f>'LISTA DE INSUMOS'!E153</f>
        <v>99769.889999999985</v>
      </c>
      <c r="H2934" s="322">
        <v>1.03</v>
      </c>
      <c r="I2934" s="312">
        <f>ROUND((F2934*G2934*H2934),0)</f>
        <v>36995</v>
      </c>
      <c r="J2934" s="313"/>
      <c r="K2934" s="323"/>
    </row>
    <row r="2935" spans="2:11" s="317" customFormat="1" ht="24.9" hidden="1" customHeight="1" thickTop="1" thickBot="1" x14ac:dyDescent="0.25">
      <c r="B2935" s="347" t="s">
        <v>1310</v>
      </c>
      <c r="C2935" s="322" t="str">
        <f>+B574</f>
        <v>ITE96</v>
      </c>
      <c r="D2935" s="324" t="str">
        <f>+D574</f>
        <v>Mortero 1:3 (producción)</v>
      </c>
      <c r="E2935" s="322" t="str">
        <f>+E574</f>
        <v>M3</v>
      </c>
      <c r="F2935" s="325">
        <v>2.8000000000000001E-2</v>
      </c>
      <c r="G2935" s="312">
        <f>G574</f>
        <v>580906</v>
      </c>
      <c r="H2935" s="322">
        <v>1.05</v>
      </c>
      <c r="I2935" s="312">
        <f>ROUND((F2935*G2935*H2935),0)</f>
        <v>17079</v>
      </c>
      <c r="J2935" s="313"/>
      <c r="K2935" s="323"/>
    </row>
    <row r="2936" spans="2:11" s="317" customFormat="1" ht="24.9" hidden="1" customHeight="1" thickTop="1" thickBot="1" x14ac:dyDescent="0.25">
      <c r="B2936" s="372" t="s">
        <v>1034</v>
      </c>
      <c r="C2936" s="322" t="str">
        <f>+'LISTA DE INSUMOS'!A18</f>
        <v>MOB015</v>
      </c>
      <c r="D2936" s="324" t="str">
        <f>+'LISTA DE INSUMOS'!B18</f>
        <v>Cuadrilla E 1 Of + 1 Ay (jornal + prestaciones)</v>
      </c>
      <c r="E2936" s="322" t="str">
        <f>+'LISTA DE INSUMOS'!C18</f>
        <v>Día</v>
      </c>
      <c r="F2936" s="325">
        <v>1</v>
      </c>
      <c r="G2936" s="312">
        <f>'LISTA DE INSUMOS'!E18</f>
        <v>245584</v>
      </c>
      <c r="H2936" s="322">
        <f>1/2</f>
        <v>0.5</v>
      </c>
      <c r="I2936" s="312">
        <f>ROUND((F2936*G2936*H2936),0)</f>
        <v>122792</v>
      </c>
      <c r="J2936" s="313"/>
      <c r="K2936" s="323"/>
    </row>
    <row r="2937" spans="2:11" s="317" customFormat="1" ht="24.9" hidden="1" customHeight="1" thickTop="1" thickBot="1" x14ac:dyDescent="0.25">
      <c r="B2937" s="255" t="s">
        <v>1033</v>
      </c>
      <c r="C2937" s="327" t="str">
        <f>+'LISTA DE INSUMOS'!A758</f>
        <v>EQU002</v>
      </c>
      <c r="D2937" s="328" t="str">
        <f>+'LISTA DE INSUMOS'!B758</f>
        <v>Herramienta menor (% mano obra)</v>
      </c>
      <c r="E2937" s="329" t="str">
        <f>+'LISTA DE INSUMOS'!C758</f>
        <v>%MO</v>
      </c>
      <c r="F2937" s="330">
        <v>0.1</v>
      </c>
      <c r="G2937" s="331">
        <f>I2936</f>
        <v>122792</v>
      </c>
      <c r="H2937" s="329">
        <v>0</v>
      </c>
      <c r="I2937" s="331">
        <f>ROUND((F2937*G2937),0)</f>
        <v>12279</v>
      </c>
      <c r="J2937" s="313"/>
      <c r="K2937" s="323"/>
    </row>
    <row r="2938" spans="2:11" ht="24.9" customHeight="1" x14ac:dyDescent="0.2">
      <c r="B2938" s="117" t="s">
        <v>1907</v>
      </c>
      <c r="C2938" s="117"/>
      <c r="D2938" s="112" t="s">
        <v>1615</v>
      </c>
      <c r="E2938" s="117" t="s">
        <v>2585</v>
      </c>
      <c r="F2938" s="149"/>
      <c r="G2938" s="119">
        <f>ROUND(SUM(I2939:I2942),0)</f>
        <v>1352</v>
      </c>
      <c r="H2938" s="120"/>
      <c r="I2938" s="119"/>
      <c r="J2938" s="47"/>
      <c r="K2938" s="143"/>
    </row>
    <row r="2939" spans="2:11" ht="24.9" customHeight="1" thickBot="1" x14ac:dyDescent="0.25">
      <c r="B2939" s="175" t="s">
        <v>1325</v>
      </c>
      <c r="C2939" s="108" t="str">
        <f>+'LISTA DE INSUMOS'!A409</f>
        <v>MAT420</v>
      </c>
      <c r="D2939" s="139" t="str">
        <f>+'LISTA DE INSUMOS'!B409</f>
        <v>Emulsión para pavimento asfáltico CRR 1</v>
      </c>
      <c r="E2939" s="108" t="str">
        <f>+'LISTA DE INSUMOS'!C409</f>
        <v>Gl</v>
      </c>
      <c r="F2939" s="140">
        <v>0.13</v>
      </c>
      <c r="G2939" s="141">
        <f>'LISTA DE INSUMOS'!E409</f>
        <v>2459.2627699199993</v>
      </c>
      <c r="H2939" s="108">
        <v>1.03</v>
      </c>
      <c r="I2939" s="141">
        <f>IF(H2939&gt;=0,(F2939*G2939*(1+H2939/100)),ABS(F2939*G2939/H2939))</f>
        <v>322.99711293852278</v>
      </c>
      <c r="J2939" s="47"/>
      <c r="K2939" s="143"/>
    </row>
    <row r="2940" spans="2:11" ht="24.9" customHeight="1" thickTop="1" thickBot="1" x14ac:dyDescent="0.25">
      <c r="B2940" s="250" t="s">
        <v>1034</v>
      </c>
      <c r="C2940" s="108" t="str">
        <f>+'LISTA DE INSUMOS'!A7</f>
        <v>MOB004</v>
      </c>
      <c r="D2940" s="139" t="str">
        <f>+'LISTA DE INSUMOS'!B7</f>
        <v>Ayudante (jornal + prestaciones)</v>
      </c>
      <c r="E2940" s="108" t="str">
        <f>+'LISTA DE INSUMOS'!C7</f>
        <v>Dia</v>
      </c>
      <c r="F2940" s="140">
        <v>1</v>
      </c>
      <c r="G2940" s="141">
        <f>+'LISTA DE INSUMOS'!E7</f>
        <v>81861</v>
      </c>
      <c r="H2940" s="500">
        <f>1/100</f>
        <v>0.01</v>
      </c>
      <c r="I2940" s="141">
        <f>ROUND((F2940*G2940*H2940),0)</f>
        <v>819</v>
      </c>
      <c r="J2940" s="47"/>
      <c r="K2940" s="143"/>
    </row>
    <row r="2941" spans="2:11" ht="24.9" customHeight="1" thickTop="1" x14ac:dyDescent="0.2">
      <c r="B2941" s="647" t="s">
        <v>1033</v>
      </c>
      <c r="C2941" s="108" t="str">
        <f>+'LISTA DE INSUMOS'!A758</f>
        <v>EQU002</v>
      </c>
      <c r="D2941" s="139" t="str">
        <f>+'LISTA DE INSUMOS'!B758</f>
        <v>Herramienta menor (% mano obra)</v>
      </c>
      <c r="E2941" s="108" t="str">
        <f>+'LISTA DE INSUMOS'!C758</f>
        <v>%MO</v>
      </c>
      <c r="F2941" s="140">
        <v>0.1</v>
      </c>
      <c r="G2941" s="141">
        <f>I2940</f>
        <v>819</v>
      </c>
      <c r="H2941" s="108">
        <v>0</v>
      </c>
      <c r="I2941" s="141">
        <f>ROUND((F2941*G2941),0)</f>
        <v>82</v>
      </c>
      <c r="J2941" s="47"/>
      <c r="K2941" s="143"/>
    </row>
    <row r="2942" spans="2:11" ht="24.9" customHeight="1" thickBot="1" x14ac:dyDescent="0.25">
      <c r="B2942" s="704"/>
      <c r="C2942" s="145" t="str">
        <f>+'LISTA DE INSUMOS'!A777</f>
        <v>EQU020</v>
      </c>
      <c r="D2942" s="146" t="str">
        <f>+'LISTA DE INSUMOS'!B777</f>
        <v>Carrotanque asfalto</v>
      </c>
      <c r="E2942" s="145" t="str">
        <f>+'LISTA DE INSUMOS'!C777</f>
        <v>Hr</v>
      </c>
      <c r="F2942" s="147">
        <v>1</v>
      </c>
      <c r="G2942" s="148">
        <f>'LISTA DE INSUMOS'!E777</f>
        <v>127804.64902919998</v>
      </c>
      <c r="H2942" s="154">
        <f>1/1000</f>
        <v>1E-3</v>
      </c>
      <c r="I2942" s="148">
        <f>ROUND((F2942*G2942*H2942),0)</f>
        <v>128</v>
      </c>
      <c r="J2942" s="47"/>
      <c r="K2942" s="143"/>
    </row>
    <row r="2943" spans="2:11" s="317" customFormat="1" ht="24.9" hidden="1" customHeight="1" x14ac:dyDescent="0.2">
      <c r="B2943" s="353" t="s">
        <v>2337</v>
      </c>
      <c r="C2943" s="319"/>
      <c r="D2943" s="320" t="s">
        <v>1697</v>
      </c>
      <c r="E2943" s="319" t="s">
        <v>1435</v>
      </c>
      <c r="F2943" s="332"/>
      <c r="G2943" s="312" t="e">
        <f>ROUND(SUM(I2944:I2948),0)</f>
        <v>#REF!</v>
      </c>
      <c r="H2943" s="322"/>
      <c r="I2943" s="312"/>
      <c r="J2943" s="313"/>
      <c r="K2943" s="323"/>
    </row>
    <row r="2944" spans="2:11" s="317" customFormat="1" ht="24.9" hidden="1" customHeight="1" thickBot="1" x14ac:dyDescent="0.25">
      <c r="B2944" s="347" t="s">
        <v>1325</v>
      </c>
      <c r="C2944" s="322" t="str">
        <f>+'LISTA DE INSUMOS'!A449</f>
        <v>MAT466</v>
      </c>
      <c r="D2944" s="324" t="e">
        <f>+'LISTA DE INSUMOS'!#REF!</f>
        <v>#REF!</v>
      </c>
      <c r="E2944" s="322" t="e">
        <f>+'LISTA DE INSUMOS'!#REF!</f>
        <v>#REF!</v>
      </c>
      <c r="F2944" s="325">
        <v>1</v>
      </c>
      <c r="G2944" s="312" t="e">
        <f>'LISTA DE INSUMOS'!#REF!</f>
        <v>#REF!</v>
      </c>
      <c r="H2944" s="322">
        <v>0</v>
      </c>
      <c r="I2944" s="312" t="e">
        <f>ROUND((F2944*G2944),0)</f>
        <v>#REF!</v>
      </c>
      <c r="J2944" s="313"/>
      <c r="K2944" s="323"/>
    </row>
    <row r="2945" spans="2:11" s="317" customFormat="1" ht="24.9" hidden="1" customHeight="1" thickTop="1" x14ac:dyDescent="0.2">
      <c r="B2945" s="658" t="s">
        <v>1310</v>
      </c>
      <c r="C2945" s="322" t="str">
        <f>+B115</f>
        <v>ITE024</v>
      </c>
      <c r="D2945" s="324" t="str">
        <f>+D115</f>
        <v>Excavación en material común seco de 0 - 1,5 m manual</v>
      </c>
      <c r="E2945" s="322" t="str">
        <f>+E115</f>
        <v>M3</v>
      </c>
      <c r="F2945" s="325">
        <v>0.2</v>
      </c>
      <c r="G2945" s="312">
        <f>G115</f>
        <v>32745</v>
      </c>
      <c r="H2945" s="322">
        <v>0</v>
      </c>
      <c r="I2945" s="312">
        <f>ROUND((F2945*G2945),0)</f>
        <v>6549</v>
      </c>
      <c r="J2945" s="313"/>
      <c r="K2945" s="323"/>
    </row>
    <row r="2946" spans="2:11" s="317" customFormat="1" ht="24.9" hidden="1" customHeight="1" thickBot="1" x14ac:dyDescent="0.25">
      <c r="B2946" s="668"/>
      <c r="C2946" s="322" t="str">
        <f>+B544</f>
        <v>ITE092</v>
      </c>
      <c r="D2946" s="324" t="str">
        <f>+D544</f>
        <v>Concreto de 20,7 Mpa (3000 psi) (producción)</v>
      </c>
      <c r="E2946" s="322" t="str">
        <f>+E544</f>
        <v>M3</v>
      </c>
      <c r="F2946" s="325">
        <v>0.2</v>
      </c>
      <c r="G2946" s="312">
        <f>G544</f>
        <v>596118</v>
      </c>
      <c r="H2946" s="322">
        <v>1.05</v>
      </c>
      <c r="I2946" s="312">
        <f>ROUND((F2946*G2946*H2946),0)</f>
        <v>125185</v>
      </c>
      <c r="J2946" s="313"/>
      <c r="K2946" s="323"/>
    </row>
    <row r="2947" spans="2:11" s="317" customFormat="1" ht="24.9" hidden="1" customHeight="1" thickTop="1" thickBot="1" x14ac:dyDescent="0.25">
      <c r="B2947" s="372" t="s">
        <v>1034</v>
      </c>
      <c r="C2947" s="322" t="str">
        <f>+'LISTA DE INSUMOS'!A18</f>
        <v>MOB015</v>
      </c>
      <c r="D2947" s="324" t="str">
        <f>+'LISTA DE INSUMOS'!B18</f>
        <v>Cuadrilla E 1 Of + 1 Ay (jornal + prestaciones)</v>
      </c>
      <c r="E2947" s="322" t="str">
        <f>+'LISTA DE INSUMOS'!C18</f>
        <v>Día</v>
      </c>
      <c r="F2947" s="325">
        <v>1</v>
      </c>
      <c r="G2947" s="312">
        <f>'LISTA DE INSUMOS'!E18</f>
        <v>245584</v>
      </c>
      <c r="H2947" s="322">
        <f>1/0.6</f>
        <v>1.6666666666666667</v>
      </c>
      <c r="I2947" s="312">
        <f>ROUND((F2947*G2947*H2947),0)</f>
        <v>409307</v>
      </c>
      <c r="J2947" s="313"/>
      <c r="K2947" s="323"/>
    </row>
    <row r="2948" spans="2:11" s="317" customFormat="1" ht="24.9" hidden="1" customHeight="1" thickTop="1" thickBot="1" x14ac:dyDescent="0.25">
      <c r="B2948" s="255" t="s">
        <v>1033</v>
      </c>
      <c r="C2948" s="327" t="str">
        <f>+'LISTA DE INSUMOS'!A758</f>
        <v>EQU002</v>
      </c>
      <c r="D2948" s="328" t="str">
        <f>+'LISTA DE INSUMOS'!B758</f>
        <v>Herramienta menor (% mano obra)</v>
      </c>
      <c r="E2948" s="329" t="str">
        <f>+'LISTA DE INSUMOS'!C758</f>
        <v>%MO</v>
      </c>
      <c r="F2948" s="330">
        <v>0.1</v>
      </c>
      <c r="G2948" s="331">
        <f>I2947</f>
        <v>409307</v>
      </c>
      <c r="H2948" s="329">
        <v>0</v>
      </c>
      <c r="I2948" s="331">
        <f>ROUND((F2948*G2948),0)</f>
        <v>40931</v>
      </c>
      <c r="J2948" s="313"/>
      <c r="K2948" s="323"/>
    </row>
    <row r="2949" spans="2:11" s="317" customFormat="1" ht="24.9" hidden="1" customHeight="1" x14ac:dyDescent="0.2">
      <c r="B2949" s="319" t="s">
        <v>2338</v>
      </c>
      <c r="C2949" s="319"/>
      <c r="D2949" s="320" t="s">
        <v>1699</v>
      </c>
      <c r="E2949" s="319" t="s">
        <v>1435</v>
      </c>
      <c r="F2949" s="332"/>
      <c r="G2949" s="312">
        <f>ROUND(SUM(I2950:I2954),0)</f>
        <v>6337150</v>
      </c>
      <c r="H2949" s="322"/>
      <c r="I2949" s="312"/>
      <c r="J2949" s="313"/>
      <c r="K2949" s="323"/>
    </row>
    <row r="2950" spans="2:11" s="317" customFormat="1" ht="24.9" hidden="1" customHeight="1" thickBot="1" x14ac:dyDescent="0.25">
      <c r="B2950" s="347" t="s">
        <v>1325</v>
      </c>
      <c r="C2950" s="322" t="str">
        <f>+'LISTA DE INSUMOS'!A450</f>
        <v>MAT467</v>
      </c>
      <c r="D2950" s="324" t="str">
        <f>+'LISTA DE INSUMOS'!B450</f>
        <v>Juegos infantiles de madera en pino completo</v>
      </c>
      <c r="E2950" s="322" t="str">
        <f>+'LISTA DE INSUMOS'!C450</f>
        <v>Un</v>
      </c>
      <c r="F2950" s="325">
        <v>1</v>
      </c>
      <c r="G2950" s="312">
        <f>'LISTA DE INSUMOS'!E450</f>
        <v>5829886.9813171672</v>
      </c>
      <c r="H2950" s="322">
        <v>0</v>
      </c>
      <c r="I2950" s="312">
        <f>ROUND((F2950*G2950),0)</f>
        <v>5829887</v>
      </c>
      <c r="J2950" s="313"/>
      <c r="K2950" s="323"/>
    </row>
    <row r="2951" spans="2:11" s="317" customFormat="1" ht="24.9" hidden="1" customHeight="1" thickTop="1" x14ac:dyDescent="0.2">
      <c r="B2951" s="658" t="s">
        <v>1310</v>
      </c>
      <c r="C2951" s="322" t="str">
        <f>+B115</f>
        <v>ITE024</v>
      </c>
      <c r="D2951" s="324" t="str">
        <f>+D115</f>
        <v>Excavación en material común seco de 0 - 1,5 m manual</v>
      </c>
      <c r="E2951" s="322" t="str">
        <f>+E115</f>
        <v>M3</v>
      </c>
      <c r="F2951" s="325">
        <v>0.36</v>
      </c>
      <c r="G2951" s="312">
        <f>+G115</f>
        <v>32745</v>
      </c>
      <c r="H2951" s="322">
        <v>0</v>
      </c>
      <c r="I2951" s="312">
        <f>ROUND((F2951*G2951),0)</f>
        <v>11788</v>
      </c>
      <c r="J2951" s="313"/>
      <c r="K2951" s="323"/>
    </row>
    <row r="2952" spans="2:11" s="317" customFormat="1" ht="24.9" hidden="1" customHeight="1" thickBot="1" x14ac:dyDescent="0.25">
      <c r="B2952" s="668"/>
      <c r="C2952" s="322" t="str">
        <f>+B544</f>
        <v>ITE092</v>
      </c>
      <c r="D2952" s="324" t="str">
        <f>+D544</f>
        <v>Concreto de 20,7 Mpa (3000 psi) (producción)</v>
      </c>
      <c r="E2952" s="322" t="str">
        <f>+E544</f>
        <v>M3</v>
      </c>
      <c r="F2952" s="325">
        <v>0.36</v>
      </c>
      <c r="G2952" s="312">
        <f>G544</f>
        <v>596118</v>
      </c>
      <c r="H2952" s="322">
        <v>1.05</v>
      </c>
      <c r="I2952" s="312">
        <f>ROUND((F2952*G2952*H2952),0)</f>
        <v>225333</v>
      </c>
      <c r="J2952" s="313"/>
      <c r="K2952" s="323"/>
    </row>
    <row r="2953" spans="2:11" s="317" customFormat="1" ht="24.9" hidden="1" customHeight="1" thickTop="1" thickBot="1" x14ac:dyDescent="0.25">
      <c r="B2953" s="372" t="s">
        <v>1034</v>
      </c>
      <c r="C2953" s="322" t="str">
        <f>+'LISTA DE INSUMOS'!A18</f>
        <v>MOB015</v>
      </c>
      <c r="D2953" s="324" t="str">
        <f>+'LISTA DE INSUMOS'!B18</f>
        <v>Cuadrilla E 1 Of + 1 Ay (jornal + prestaciones)</v>
      </c>
      <c r="E2953" s="322" t="str">
        <f>+'LISTA DE INSUMOS'!C18</f>
        <v>Día</v>
      </c>
      <c r="F2953" s="325">
        <v>1</v>
      </c>
      <c r="G2953" s="312">
        <f>'LISTA DE INSUMOS'!E18</f>
        <v>245584</v>
      </c>
      <c r="H2953" s="322">
        <f>1/1</f>
        <v>1</v>
      </c>
      <c r="I2953" s="312">
        <f>ROUND((F2953*G2953*H2953),0)</f>
        <v>245584</v>
      </c>
      <c r="J2953" s="313"/>
      <c r="K2953" s="323"/>
    </row>
    <row r="2954" spans="2:11" s="317" customFormat="1" ht="24.9" hidden="1" customHeight="1" thickTop="1" thickBot="1" x14ac:dyDescent="0.25">
      <c r="B2954" s="255" t="s">
        <v>1033</v>
      </c>
      <c r="C2954" s="327" t="str">
        <f>+'LISTA DE INSUMOS'!A758</f>
        <v>EQU002</v>
      </c>
      <c r="D2954" s="328" t="str">
        <f>+'LISTA DE INSUMOS'!B758</f>
        <v>Herramienta menor (% mano obra)</v>
      </c>
      <c r="E2954" s="329" t="str">
        <f>+'LISTA DE INSUMOS'!C758</f>
        <v>%MO</v>
      </c>
      <c r="F2954" s="330">
        <v>0.1</v>
      </c>
      <c r="G2954" s="331">
        <f>I2953</f>
        <v>245584</v>
      </c>
      <c r="H2954" s="329">
        <v>0</v>
      </c>
      <c r="I2954" s="331">
        <f>ROUND((F2954*G2954),0)</f>
        <v>24558</v>
      </c>
      <c r="J2954" s="313"/>
      <c r="K2954" s="323"/>
    </row>
    <row r="2955" spans="2:11" s="317" customFormat="1" ht="24.9" hidden="1" customHeight="1" x14ac:dyDescent="0.2">
      <c r="B2955" s="319" t="s">
        <v>2339</v>
      </c>
      <c r="C2955" s="319"/>
      <c r="D2955" s="320" t="s">
        <v>461</v>
      </c>
      <c r="E2955" s="319" t="s">
        <v>1435</v>
      </c>
      <c r="F2955" s="332"/>
      <c r="G2955" s="312">
        <f>ROUND(SUM(I2956:I2960),0)</f>
        <v>200938</v>
      </c>
      <c r="H2955" s="322"/>
      <c r="I2955" s="312"/>
      <c r="J2955" s="313"/>
      <c r="K2955" s="323"/>
    </row>
    <row r="2956" spans="2:11" s="317" customFormat="1" ht="24.9" hidden="1" customHeight="1" thickBot="1" x14ac:dyDescent="0.25">
      <c r="B2956" s="347" t="s">
        <v>1325</v>
      </c>
      <c r="C2956" s="322" t="str">
        <f>+'LISTA DE INSUMOS'!A451</f>
        <v>MAT468</v>
      </c>
      <c r="D2956" s="324" t="str">
        <f>+'LISTA DE INSUMOS'!B451</f>
        <v>Juegos infantiles metálicos incluyen instalación wash primer y pintura: Columpio de 3 puestos</v>
      </c>
      <c r="E2956" s="322" t="str">
        <f>+'LISTA DE INSUMOS'!C451</f>
        <v>Un</v>
      </c>
      <c r="F2956" s="332">
        <v>1</v>
      </c>
      <c r="G2956" s="312">
        <f>'LISTA DE INSUMOS'!E451</f>
        <v>0</v>
      </c>
      <c r="H2956" s="322">
        <v>0</v>
      </c>
      <c r="I2956" s="312">
        <f>ROUND((F2956*G2956),0)</f>
        <v>0</v>
      </c>
      <c r="J2956" s="313"/>
      <c r="K2956" s="323"/>
    </row>
    <row r="2957" spans="2:11" s="317" customFormat="1" ht="24.9" hidden="1" customHeight="1" thickTop="1" x14ac:dyDescent="0.2">
      <c r="B2957" s="658" t="s">
        <v>1310</v>
      </c>
      <c r="C2957" s="322" t="str">
        <f>+B115</f>
        <v>ITE024</v>
      </c>
      <c r="D2957" s="324" t="str">
        <f>+D115</f>
        <v>Excavación en material común seco de 0 - 1,5 m manual</v>
      </c>
      <c r="E2957" s="322" t="str">
        <f>+E115</f>
        <v>M3</v>
      </c>
      <c r="F2957" s="325">
        <v>0.1</v>
      </c>
      <c r="G2957" s="312">
        <f>+G115</f>
        <v>32745</v>
      </c>
      <c r="H2957" s="322">
        <v>0</v>
      </c>
      <c r="I2957" s="312">
        <f>ROUND((F2957*G2957),0)</f>
        <v>3275</v>
      </c>
      <c r="J2957" s="313"/>
      <c r="K2957" s="323"/>
    </row>
    <row r="2958" spans="2:11" s="317" customFormat="1" ht="24.9" hidden="1" customHeight="1" thickBot="1" x14ac:dyDescent="0.25">
      <c r="B2958" s="668"/>
      <c r="C2958" s="322" t="str">
        <f>+B544</f>
        <v>ITE092</v>
      </c>
      <c r="D2958" s="324" t="str">
        <f>+D544</f>
        <v>Concreto de 20,7 Mpa (3000 psi) (producción)</v>
      </c>
      <c r="E2958" s="322" t="str">
        <f>+E544</f>
        <v>M3</v>
      </c>
      <c r="F2958" s="325">
        <v>0.1</v>
      </c>
      <c r="G2958" s="312">
        <f>+G544</f>
        <v>596118</v>
      </c>
      <c r="H2958" s="322">
        <v>1.05</v>
      </c>
      <c r="I2958" s="312">
        <f>ROUND((F2958*G2958*H2958),0)</f>
        <v>62592</v>
      </c>
      <c r="J2958" s="313"/>
      <c r="K2958" s="323"/>
    </row>
    <row r="2959" spans="2:11" s="317" customFormat="1" ht="24.9" hidden="1" customHeight="1" thickTop="1" thickBot="1" x14ac:dyDescent="0.25">
      <c r="B2959" s="372" t="s">
        <v>1034</v>
      </c>
      <c r="C2959" s="322" t="str">
        <f>+'LISTA DE INSUMOS'!A18</f>
        <v>MOB015</v>
      </c>
      <c r="D2959" s="324" t="str">
        <f>+'LISTA DE INSUMOS'!B18</f>
        <v>Cuadrilla E 1 Of + 1 Ay (jornal + prestaciones)</v>
      </c>
      <c r="E2959" s="322" t="str">
        <f>+'LISTA DE INSUMOS'!C18</f>
        <v>Día</v>
      </c>
      <c r="F2959" s="325">
        <v>1</v>
      </c>
      <c r="G2959" s="312">
        <f>'LISTA DE INSUMOS'!E18</f>
        <v>245584</v>
      </c>
      <c r="H2959" s="322">
        <f>1/2</f>
        <v>0.5</v>
      </c>
      <c r="I2959" s="312">
        <f>ROUND((F2959*G2959*H2959),0)</f>
        <v>122792</v>
      </c>
      <c r="J2959" s="313"/>
      <c r="K2959" s="323"/>
    </row>
    <row r="2960" spans="2:11" s="317" customFormat="1" ht="24.9" hidden="1" customHeight="1" thickTop="1" thickBot="1" x14ac:dyDescent="0.25">
      <c r="B2960" s="255" t="s">
        <v>1033</v>
      </c>
      <c r="C2960" s="327" t="str">
        <f>+'LISTA DE INSUMOS'!A758</f>
        <v>EQU002</v>
      </c>
      <c r="D2960" s="328" t="str">
        <f>+'LISTA DE INSUMOS'!B758</f>
        <v>Herramienta menor (% mano obra)</v>
      </c>
      <c r="E2960" s="329" t="str">
        <f>+'LISTA DE INSUMOS'!C758</f>
        <v>%MO</v>
      </c>
      <c r="F2960" s="330">
        <v>0.1</v>
      </c>
      <c r="G2960" s="331">
        <f>I2959</f>
        <v>122792</v>
      </c>
      <c r="H2960" s="329">
        <v>0</v>
      </c>
      <c r="I2960" s="331">
        <f>ROUND((F2960*G2960),0)</f>
        <v>12279</v>
      </c>
      <c r="J2960" s="313"/>
      <c r="K2960" s="323"/>
    </row>
    <row r="2961" spans="2:11" s="317" customFormat="1" ht="24.9" hidden="1" customHeight="1" x14ac:dyDescent="0.2">
      <c r="B2961" s="319" t="s">
        <v>2340</v>
      </c>
      <c r="C2961" s="319"/>
      <c r="D2961" s="320" t="s">
        <v>462</v>
      </c>
      <c r="E2961" s="319" t="s">
        <v>1435</v>
      </c>
      <c r="F2961" s="332"/>
      <c r="G2961" s="312">
        <f>ROUND(SUM(I2962:I2966),0)</f>
        <v>200938</v>
      </c>
      <c r="H2961" s="322"/>
      <c r="I2961" s="312"/>
      <c r="J2961" s="313"/>
      <c r="K2961" s="323"/>
    </row>
    <row r="2962" spans="2:11" s="317" customFormat="1" ht="24.9" hidden="1" customHeight="1" thickBot="1" x14ac:dyDescent="0.25">
      <c r="B2962" s="347" t="s">
        <v>1325</v>
      </c>
      <c r="C2962" s="322" t="str">
        <f>+'LISTA DE INSUMOS'!A452</f>
        <v>MAT469</v>
      </c>
      <c r="D2962" s="324" t="str">
        <f>+'LISTA DE INSUMOS'!B452</f>
        <v>Juegos infantiles metálicos incluyen instalación wash primer y pintura: Columpio de 2 puestos</v>
      </c>
      <c r="E2962" s="322" t="str">
        <f>+'LISTA DE INSUMOS'!C452</f>
        <v>Un</v>
      </c>
      <c r="F2962" s="332">
        <v>1</v>
      </c>
      <c r="G2962" s="312">
        <f>'LISTA DE INSUMOS'!E452</f>
        <v>0</v>
      </c>
      <c r="H2962" s="322">
        <v>0</v>
      </c>
      <c r="I2962" s="312">
        <f>ROUND((F2962*G2962),0)</f>
        <v>0</v>
      </c>
      <c r="J2962" s="313"/>
      <c r="K2962" s="323"/>
    </row>
    <row r="2963" spans="2:11" s="317" customFormat="1" ht="24.9" hidden="1" customHeight="1" thickTop="1" x14ac:dyDescent="0.2">
      <c r="B2963" s="658" t="s">
        <v>1310</v>
      </c>
      <c r="C2963" s="322" t="str">
        <f>+B115</f>
        <v>ITE024</v>
      </c>
      <c r="D2963" s="324" t="str">
        <f>+D115</f>
        <v>Excavación en material común seco de 0 - 1,5 m manual</v>
      </c>
      <c r="E2963" s="322" t="str">
        <f>+E115</f>
        <v>M3</v>
      </c>
      <c r="F2963" s="325">
        <v>0.1</v>
      </c>
      <c r="G2963" s="312">
        <f>+G115</f>
        <v>32745</v>
      </c>
      <c r="H2963" s="322">
        <v>0</v>
      </c>
      <c r="I2963" s="312">
        <f>ROUND((F2963*G2963),0)</f>
        <v>3275</v>
      </c>
      <c r="J2963" s="313"/>
      <c r="K2963" s="323"/>
    </row>
    <row r="2964" spans="2:11" s="317" customFormat="1" ht="24.9" hidden="1" customHeight="1" thickBot="1" x14ac:dyDescent="0.25">
      <c r="B2964" s="668"/>
      <c r="C2964" s="322" t="str">
        <f>+B544</f>
        <v>ITE092</v>
      </c>
      <c r="D2964" s="324" t="str">
        <f>+D544</f>
        <v>Concreto de 20,7 Mpa (3000 psi) (producción)</v>
      </c>
      <c r="E2964" s="322" t="str">
        <f>+E544</f>
        <v>M3</v>
      </c>
      <c r="F2964" s="325">
        <v>0.1</v>
      </c>
      <c r="G2964" s="312">
        <f>+G544</f>
        <v>596118</v>
      </c>
      <c r="H2964" s="322">
        <v>1.05</v>
      </c>
      <c r="I2964" s="312">
        <f>ROUND((F2964*G2964*H2964),0)</f>
        <v>62592</v>
      </c>
      <c r="J2964" s="313"/>
      <c r="K2964" s="323"/>
    </row>
    <row r="2965" spans="2:11" s="317" customFormat="1" ht="24.9" hidden="1" customHeight="1" thickTop="1" thickBot="1" x14ac:dyDescent="0.25">
      <c r="B2965" s="372" t="s">
        <v>1034</v>
      </c>
      <c r="C2965" s="322" t="str">
        <f>+'LISTA DE INSUMOS'!A18</f>
        <v>MOB015</v>
      </c>
      <c r="D2965" s="324" t="str">
        <f>+'LISTA DE INSUMOS'!B18</f>
        <v>Cuadrilla E 1 Of + 1 Ay (jornal + prestaciones)</v>
      </c>
      <c r="E2965" s="322" t="str">
        <f>+'LISTA DE INSUMOS'!C18</f>
        <v>Día</v>
      </c>
      <c r="F2965" s="325">
        <v>1</v>
      </c>
      <c r="G2965" s="312">
        <f>'LISTA DE INSUMOS'!E18</f>
        <v>245584</v>
      </c>
      <c r="H2965" s="322">
        <f>1/2</f>
        <v>0.5</v>
      </c>
      <c r="I2965" s="312">
        <f>ROUND((F2965*G2965*H2965),0)</f>
        <v>122792</v>
      </c>
      <c r="J2965" s="313"/>
      <c r="K2965" s="323"/>
    </row>
    <row r="2966" spans="2:11" s="317" customFormat="1" ht="24.9" hidden="1" customHeight="1" thickTop="1" thickBot="1" x14ac:dyDescent="0.25">
      <c r="B2966" s="255" t="s">
        <v>1033</v>
      </c>
      <c r="C2966" s="327" t="str">
        <f>+'LISTA DE INSUMOS'!A758</f>
        <v>EQU002</v>
      </c>
      <c r="D2966" s="328" t="str">
        <f>+'LISTA DE INSUMOS'!B758</f>
        <v>Herramienta menor (% mano obra)</v>
      </c>
      <c r="E2966" s="329" t="str">
        <f>+'LISTA DE INSUMOS'!C758</f>
        <v>%MO</v>
      </c>
      <c r="F2966" s="330">
        <v>0.1</v>
      </c>
      <c r="G2966" s="331">
        <f>I2965</f>
        <v>122792</v>
      </c>
      <c r="H2966" s="329">
        <v>0</v>
      </c>
      <c r="I2966" s="331">
        <f>ROUND((F2966*G2966),0)</f>
        <v>12279</v>
      </c>
      <c r="J2966" s="313"/>
      <c r="K2966" s="323"/>
    </row>
    <row r="2967" spans="2:11" s="317" customFormat="1" ht="24.9" hidden="1" customHeight="1" x14ac:dyDescent="0.2">
      <c r="B2967" s="319" t="s">
        <v>2341</v>
      </c>
      <c r="C2967" s="319"/>
      <c r="D2967" s="320" t="s">
        <v>137</v>
      </c>
      <c r="E2967" s="319" t="s">
        <v>1435</v>
      </c>
      <c r="F2967" s="332"/>
      <c r="G2967" s="312">
        <f>ROUND(SUM(I2968:I2972),0)</f>
        <v>155914</v>
      </c>
      <c r="H2967" s="322"/>
      <c r="I2967" s="312"/>
      <c r="J2967" s="313"/>
      <c r="K2967" s="323"/>
    </row>
    <row r="2968" spans="2:11" s="317" customFormat="1" ht="24.9" hidden="1" customHeight="1" thickBot="1" x14ac:dyDescent="0.25">
      <c r="B2968" s="347" t="s">
        <v>1325</v>
      </c>
      <c r="C2968" s="322" t="str">
        <f>+'LISTA DE INSUMOS'!A453</f>
        <v>MAT470</v>
      </c>
      <c r="D2968" s="324" t="str">
        <f>+'LISTA DE INSUMOS'!B453</f>
        <v>Juegos infantiles metálicos incluyen instalación wash primer y pintura: Pasamanos casita</v>
      </c>
      <c r="E2968" s="322" t="str">
        <f>+'LISTA DE INSUMOS'!C453</f>
        <v>Un</v>
      </c>
      <c r="F2968" s="332">
        <v>1</v>
      </c>
      <c r="G2968" s="312">
        <f>'LISTA DE INSUMOS'!E453</f>
        <v>0</v>
      </c>
      <c r="H2968" s="322">
        <v>0</v>
      </c>
      <c r="I2968" s="312">
        <f>ROUND((F2968*G2968),0)</f>
        <v>0</v>
      </c>
      <c r="J2968" s="313"/>
      <c r="K2968" s="323"/>
    </row>
    <row r="2969" spans="2:11" s="317" customFormat="1" ht="24.9" hidden="1" customHeight="1" thickTop="1" x14ac:dyDescent="0.2">
      <c r="B2969" s="658" t="s">
        <v>1310</v>
      </c>
      <c r="C2969" s="322" t="str">
        <f>+B115</f>
        <v>ITE024</v>
      </c>
      <c r="D2969" s="324" t="str">
        <f>+D115</f>
        <v>Excavación en material común seco de 0 - 1,5 m manual</v>
      </c>
      <c r="E2969" s="322" t="str">
        <f>+E115</f>
        <v>M3</v>
      </c>
      <c r="F2969" s="325">
        <v>0.1</v>
      </c>
      <c r="G2969" s="312">
        <f>+G115</f>
        <v>32745</v>
      </c>
      <c r="H2969" s="322">
        <v>0</v>
      </c>
      <c r="I2969" s="312">
        <f>ROUND((F2969*G2969),0)</f>
        <v>3275</v>
      </c>
      <c r="J2969" s="313"/>
      <c r="K2969" s="323"/>
    </row>
    <row r="2970" spans="2:11" s="317" customFormat="1" ht="24.9" hidden="1" customHeight="1" thickBot="1" x14ac:dyDescent="0.25">
      <c r="B2970" s="668"/>
      <c r="C2970" s="322" t="str">
        <f>+B544</f>
        <v>ITE092</v>
      </c>
      <c r="D2970" s="324" t="str">
        <f>+D544</f>
        <v>Concreto de 20,7 Mpa (3000 psi) (producción)</v>
      </c>
      <c r="E2970" s="322" t="str">
        <f>+E544</f>
        <v>M3</v>
      </c>
      <c r="F2970" s="325">
        <v>0.1</v>
      </c>
      <c r="G2970" s="312">
        <f>+G544</f>
        <v>596118</v>
      </c>
      <c r="H2970" s="322">
        <v>1.05</v>
      </c>
      <c r="I2970" s="312">
        <f>ROUND((F2970*G2970*H2970),0)</f>
        <v>62592</v>
      </c>
      <c r="J2970" s="313"/>
      <c r="K2970" s="323"/>
    </row>
    <row r="2971" spans="2:11" s="317" customFormat="1" ht="24.9" hidden="1" customHeight="1" thickTop="1" thickBot="1" x14ac:dyDescent="0.25">
      <c r="B2971" s="372" t="s">
        <v>1034</v>
      </c>
      <c r="C2971" s="322" t="str">
        <f>+'LISTA DE INSUMOS'!A18</f>
        <v>MOB015</v>
      </c>
      <c r="D2971" s="324" t="str">
        <f>+'LISTA DE INSUMOS'!B18</f>
        <v>Cuadrilla E 1 Of + 1 Ay (jornal + prestaciones)</v>
      </c>
      <c r="E2971" s="322" t="str">
        <f>+'LISTA DE INSUMOS'!C18</f>
        <v>Día</v>
      </c>
      <c r="F2971" s="325">
        <v>1</v>
      </c>
      <c r="G2971" s="312">
        <f>'LISTA DE INSUMOS'!E18</f>
        <v>245584</v>
      </c>
      <c r="H2971" s="322">
        <f>1/3</f>
        <v>0.33333333333333331</v>
      </c>
      <c r="I2971" s="312">
        <f>ROUND((F2971*G2971*H2971),0)</f>
        <v>81861</v>
      </c>
      <c r="J2971" s="313"/>
      <c r="K2971" s="323"/>
    </row>
    <row r="2972" spans="2:11" s="317" customFormat="1" ht="24.9" hidden="1" customHeight="1" thickTop="1" thickBot="1" x14ac:dyDescent="0.25">
      <c r="B2972" s="255" t="s">
        <v>1033</v>
      </c>
      <c r="C2972" s="327" t="str">
        <f>+'LISTA DE INSUMOS'!A758</f>
        <v>EQU002</v>
      </c>
      <c r="D2972" s="328" t="str">
        <f>+'LISTA DE INSUMOS'!B758</f>
        <v>Herramienta menor (% mano obra)</v>
      </c>
      <c r="E2972" s="329" t="str">
        <f>+'LISTA DE INSUMOS'!C758</f>
        <v>%MO</v>
      </c>
      <c r="F2972" s="330">
        <v>0.1</v>
      </c>
      <c r="G2972" s="331">
        <f>I2971</f>
        <v>81861</v>
      </c>
      <c r="H2972" s="329">
        <v>0</v>
      </c>
      <c r="I2972" s="331">
        <f>ROUND((F2972*G2972),0)</f>
        <v>8186</v>
      </c>
      <c r="J2972" s="313"/>
      <c r="K2972" s="323"/>
    </row>
    <row r="2973" spans="2:11" s="317" customFormat="1" ht="24.9" hidden="1" customHeight="1" x14ac:dyDescent="0.2">
      <c r="B2973" s="319" t="s">
        <v>2342</v>
      </c>
      <c r="C2973" s="319"/>
      <c r="D2973" s="320" t="s">
        <v>138</v>
      </c>
      <c r="E2973" s="319" t="s">
        <v>1435</v>
      </c>
      <c r="F2973" s="332"/>
      <c r="G2973" s="312">
        <f>ROUND(SUM(I2974:I2978),0)</f>
        <v>233872</v>
      </c>
      <c r="H2973" s="322"/>
      <c r="I2973" s="312"/>
      <c r="J2973" s="313"/>
      <c r="K2973" s="323"/>
    </row>
    <row r="2974" spans="2:11" s="317" customFormat="1" ht="24.9" hidden="1" customHeight="1" thickBot="1" x14ac:dyDescent="0.25">
      <c r="B2974" s="347" t="s">
        <v>1325</v>
      </c>
      <c r="C2974" s="322" t="str">
        <f>+'LISTA DE INSUMOS'!A454</f>
        <v>MAT471</v>
      </c>
      <c r="D2974" s="324" t="str">
        <f>+'LISTA DE INSUMOS'!B454</f>
        <v>Juegos infantiles metálicos incluyen instalación wash primer y pintura: Balancín triple</v>
      </c>
      <c r="E2974" s="322" t="str">
        <f>+'LISTA DE INSUMOS'!C454</f>
        <v>Un</v>
      </c>
      <c r="F2974" s="332">
        <v>1</v>
      </c>
      <c r="G2974" s="312">
        <f>'LISTA DE INSUMOS'!E454</f>
        <v>0</v>
      </c>
      <c r="H2974" s="322">
        <v>0</v>
      </c>
      <c r="I2974" s="312">
        <f>ROUND((F2974*G2974),0)</f>
        <v>0</v>
      </c>
      <c r="J2974" s="313"/>
      <c r="K2974" s="323"/>
    </row>
    <row r="2975" spans="2:11" s="317" customFormat="1" ht="24.9" hidden="1" customHeight="1" thickTop="1" x14ac:dyDescent="0.2">
      <c r="B2975" s="658" t="s">
        <v>1310</v>
      </c>
      <c r="C2975" s="322" t="str">
        <f>+B115</f>
        <v>ITE024</v>
      </c>
      <c r="D2975" s="324" t="str">
        <f>+D115</f>
        <v>Excavación en material común seco de 0 - 1,5 m manual</v>
      </c>
      <c r="E2975" s="322" t="str">
        <f>+E115</f>
        <v>M3</v>
      </c>
      <c r="F2975" s="325">
        <v>0.15</v>
      </c>
      <c r="G2975" s="312">
        <f>+G115</f>
        <v>32745</v>
      </c>
      <c r="H2975" s="322">
        <v>0</v>
      </c>
      <c r="I2975" s="312">
        <f>ROUND((F2975*G2975),0)</f>
        <v>4912</v>
      </c>
      <c r="J2975" s="313"/>
      <c r="K2975" s="323"/>
    </row>
    <row r="2976" spans="2:11" s="317" customFormat="1" ht="24.9" hidden="1" customHeight="1" thickBot="1" x14ac:dyDescent="0.25">
      <c r="B2976" s="668"/>
      <c r="C2976" s="322" t="str">
        <f>+B544</f>
        <v>ITE092</v>
      </c>
      <c r="D2976" s="324" t="str">
        <f>+D544</f>
        <v>Concreto de 20,7 Mpa (3000 psi) (producción)</v>
      </c>
      <c r="E2976" s="322" t="str">
        <f>+E544</f>
        <v>M3</v>
      </c>
      <c r="F2976" s="325">
        <v>0.15</v>
      </c>
      <c r="G2976" s="312">
        <f>+G544</f>
        <v>596118</v>
      </c>
      <c r="H2976" s="322">
        <v>1.05</v>
      </c>
      <c r="I2976" s="312">
        <f>ROUND((F2976*G2976*H2976),0)</f>
        <v>93889</v>
      </c>
      <c r="J2976" s="313"/>
      <c r="K2976" s="323"/>
    </row>
    <row r="2977" spans="2:11" s="317" customFormat="1" ht="24.9" hidden="1" customHeight="1" thickTop="1" thickBot="1" x14ac:dyDescent="0.25">
      <c r="B2977" s="372" t="s">
        <v>1034</v>
      </c>
      <c r="C2977" s="322" t="str">
        <f>+'LISTA DE INSUMOS'!A18</f>
        <v>MOB015</v>
      </c>
      <c r="D2977" s="324" t="str">
        <f>+'LISTA DE INSUMOS'!B18</f>
        <v>Cuadrilla E 1 Of + 1 Ay (jornal + prestaciones)</v>
      </c>
      <c r="E2977" s="322" t="str">
        <f>+'LISTA DE INSUMOS'!C18</f>
        <v>Día</v>
      </c>
      <c r="F2977" s="325">
        <v>1</v>
      </c>
      <c r="G2977" s="312">
        <f>'LISTA DE INSUMOS'!E18</f>
        <v>245584</v>
      </c>
      <c r="H2977" s="322">
        <f>1/2</f>
        <v>0.5</v>
      </c>
      <c r="I2977" s="312">
        <f>ROUND((F2977*G2977*H2977),0)</f>
        <v>122792</v>
      </c>
      <c r="J2977" s="313"/>
      <c r="K2977" s="323"/>
    </row>
    <row r="2978" spans="2:11" s="317" customFormat="1" ht="24.9" hidden="1" customHeight="1" thickTop="1" thickBot="1" x14ac:dyDescent="0.25">
      <c r="B2978" s="255" t="s">
        <v>1033</v>
      </c>
      <c r="C2978" s="327" t="str">
        <f>+'LISTA DE INSUMOS'!A758</f>
        <v>EQU002</v>
      </c>
      <c r="D2978" s="328" t="str">
        <f>+'LISTA DE INSUMOS'!B758</f>
        <v>Herramienta menor (% mano obra)</v>
      </c>
      <c r="E2978" s="329" t="str">
        <f>+'LISTA DE INSUMOS'!C758</f>
        <v>%MO</v>
      </c>
      <c r="F2978" s="330">
        <v>0.1</v>
      </c>
      <c r="G2978" s="331">
        <f>I2977</f>
        <v>122792</v>
      </c>
      <c r="H2978" s="329">
        <v>0</v>
      </c>
      <c r="I2978" s="331">
        <f>ROUND((F2978*G2978),0)</f>
        <v>12279</v>
      </c>
      <c r="J2978" s="313"/>
      <c r="K2978" s="323"/>
    </row>
    <row r="2979" spans="2:11" s="317" customFormat="1" ht="24.9" hidden="1" customHeight="1" x14ac:dyDescent="0.2">
      <c r="B2979" s="319" t="s">
        <v>2343</v>
      </c>
      <c r="C2979" s="319"/>
      <c r="D2979" s="320" t="s">
        <v>136</v>
      </c>
      <c r="E2979" s="319" t="s">
        <v>1435</v>
      </c>
      <c r="F2979" s="332"/>
      <c r="G2979" s="312">
        <f>ROUND(SUM(I2980:I2984),0)</f>
        <v>155914</v>
      </c>
      <c r="H2979" s="322"/>
      <c r="I2979" s="312"/>
      <c r="J2979" s="313"/>
      <c r="K2979" s="323"/>
    </row>
    <row r="2980" spans="2:11" s="317" customFormat="1" ht="30" hidden="1" customHeight="1" thickBot="1" x14ac:dyDescent="0.25">
      <c r="B2980" s="347" t="s">
        <v>1325</v>
      </c>
      <c r="C2980" s="322" t="str">
        <f>+'LISTA DE INSUMOS'!A455</f>
        <v>MAT472</v>
      </c>
      <c r="D2980" s="324" t="str">
        <f>+'LISTA DE INSUMOS'!B455</f>
        <v>Juegos infantiles metálicos incluyen instalación wash primer y pintura: Pasamanos sencillo</v>
      </c>
      <c r="E2980" s="322" t="str">
        <f>+'LISTA DE INSUMOS'!C455</f>
        <v>Un</v>
      </c>
      <c r="F2980" s="332">
        <v>1</v>
      </c>
      <c r="G2980" s="312">
        <f>'LISTA DE INSUMOS'!E455</f>
        <v>0</v>
      </c>
      <c r="H2980" s="322">
        <v>0</v>
      </c>
      <c r="I2980" s="312">
        <f>ROUND((F2980*G2980),0)</f>
        <v>0</v>
      </c>
      <c r="J2980" s="313"/>
      <c r="K2980" s="323"/>
    </row>
    <row r="2981" spans="2:11" s="317" customFormat="1" ht="30" hidden="1" customHeight="1" thickTop="1" x14ac:dyDescent="0.2">
      <c r="B2981" s="658" t="s">
        <v>1310</v>
      </c>
      <c r="C2981" s="322" t="str">
        <f>+B115</f>
        <v>ITE024</v>
      </c>
      <c r="D2981" s="324" t="str">
        <f>+D115</f>
        <v>Excavación en material común seco de 0 - 1,5 m manual</v>
      </c>
      <c r="E2981" s="322" t="str">
        <f>+E115</f>
        <v>M3</v>
      </c>
      <c r="F2981" s="325">
        <v>0.1</v>
      </c>
      <c r="G2981" s="312">
        <f>+G115</f>
        <v>32745</v>
      </c>
      <c r="H2981" s="322">
        <v>0</v>
      </c>
      <c r="I2981" s="312">
        <f>ROUND((F2981*G2981),0)</f>
        <v>3275</v>
      </c>
      <c r="J2981" s="313"/>
      <c r="K2981" s="323"/>
    </row>
    <row r="2982" spans="2:11" s="317" customFormat="1" ht="30" hidden="1" customHeight="1" thickBot="1" x14ac:dyDescent="0.25">
      <c r="B2982" s="668"/>
      <c r="C2982" s="322" t="str">
        <f>+B544</f>
        <v>ITE092</v>
      </c>
      <c r="D2982" s="324" t="str">
        <f>+D544</f>
        <v>Concreto de 20,7 Mpa (3000 psi) (producción)</v>
      </c>
      <c r="E2982" s="322" t="str">
        <f>+E544</f>
        <v>M3</v>
      </c>
      <c r="F2982" s="325">
        <v>0.1</v>
      </c>
      <c r="G2982" s="312">
        <f>+G544</f>
        <v>596118</v>
      </c>
      <c r="H2982" s="322">
        <v>1.05</v>
      </c>
      <c r="I2982" s="312">
        <f>ROUND((F2982*G2982*H2982),0)</f>
        <v>62592</v>
      </c>
      <c r="J2982" s="313"/>
      <c r="K2982" s="323"/>
    </row>
    <row r="2983" spans="2:11" s="317" customFormat="1" ht="24.9" hidden="1" customHeight="1" thickTop="1" thickBot="1" x14ac:dyDescent="0.25">
      <c r="B2983" s="372" t="s">
        <v>1034</v>
      </c>
      <c r="C2983" s="322" t="str">
        <f>+'LISTA DE INSUMOS'!A18</f>
        <v>MOB015</v>
      </c>
      <c r="D2983" s="324" t="str">
        <f>+'LISTA DE INSUMOS'!B18</f>
        <v>Cuadrilla E 1 Of + 1 Ay (jornal + prestaciones)</v>
      </c>
      <c r="E2983" s="322" t="str">
        <f>+'LISTA DE INSUMOS'!C18</f>
        <v>Día</v>
      </c>
      <c r="F2983" s="325">
        <v>1</v>
      </c>
      <c r="G2983" s="312">
        <f>'LISTA DE INSUMOS'!E18</f>
        <v>245584</v>
      </c>
      <c r="H2983" s="322">
        <f>1/3</f>
        <v>0.33333333333333331</v>
      </c>
      <c r="I2983" s="312">
        <f>ROUND((F2983*G2983*H2983),0)</f>
        <v>81861</v>
      </c>
      <c r="J2983" s="313"/>
      <c r="K2983" s="323"/>
    </row>
    <row r="2984" spans="2:11" s="317" customFormat="1" ht="24.9" hidden="1" customHeight="1" thickTop="1" thickBot="1" x14ac:dyDescent="0.25">
      <c r="B2984" s="255" t="s">
        <v>1033</v>
      </c>
      <c r="C2984" s="327" t="str">
        <f>+'LISTA DE INSUMOS'!A758</f>
        <v>EQU002</v>
      </c>
      <c r="D2984" s="328" t="str">
        <f>+'LISTA DE INSUMOS'!B758</f>
        <v>Herramienta menor (% mano obra)</v>
      </c>
      <c r="E2984" s="329" t="str">
        <f>+'LISTA DE INSUMOS'!C758</f>
        <v>%MO</v>
      </c>
      <c r="F2984" s="330">
        <v>0.1</v>
      </c>
      <c r="G2984" s="331">
        <f>I2983</f>
        <v>81861</v>
      </c>
      <c r="H2984" s="329">
        <v>0</v>
      </c>
      <c r="I2984" s="331">
        <f>ROUND((F2984*G2984),0)</f>
        <v>8186</v>
      </c>
      <c r="J2984" s="313"/>
      <c r="K2984" s="323"/>
    </row>
    <row r="2985" spans="2:11" s="317" customFormat="1" ht="24.9" hidden="1" customHeight="1" thickBot="1" x14ac:dyDescent="0.25">
      <c r="B2985" s="329"/>
      <c r="C2985" s="329"/>
      <c r="D2985" s="328"/>
      <c r="E2985" s="329"/>
      <c r="F2985" s="330"/>
      <c r="G2985" s="331"/>
      <c r="H2985" s="329"/>
      <c r="I2985" s="331"/>
      <c r="J2985" s="313"/>
      <c r="K2985" s="323"/>
    </row>
    <row r="2986" spans="2:11" ht="24.9" customHeight="1" x14ac:dyDescent="0.2">
      <c r="B2986" s="117" t="s">
        <v>1913</v>
      </c>
      <c r="C2986" s="117"/>
      <c r="D2986" s="112" t="s">
        <v>1418</v>
      </c>
      <c r="E2986" s="117" t="s">
        <v>1412</v>
      </c>
      <c r="F2986" s="118"/>
      <c r="G2986" s="119">
        <f>ROUND(SUM(I2987:I2992),0)</f>
        <v>14154</v>
      </c>
      <c r="H2986" s="120"/>
      <c r="I2986" s="119"/>
      <c r="J2986" s="47"/>
      <c r="K2986" s="143"/>
    </row>
    <row r="2987" spans="2:11" ht="24.9" customHeight="1" x14ac:dyDescent="0.2">
      <c r="B2987" s="672" t="s">
        <v>1035</v>
      </c>
      <c r="C2987" s="108" t="str">
        <f>+'LISTA DE INSUMOS'!A124</f>
        <v>MAT082</v>
      </c>
      <c r="D2987" s="139" t="str">
        <f>+'LISTA DE INSUMOS'!B124</f>
        <v>Tubería PVC presión de 1"    rde 21</v>
      </c>
      <c r="E2987" s="108" t="str">
        <f>+'LISTA DE INSUMOS'!C124</f>
        <v>M</v>
      </c>
      <c r="F2987" s="140">
        <v>1</v>
      </c>
      <c r="G2987" s="141">
        <f>'LISTA DE INSUMOS'!E124</f>
        <v>6822.4313015627995</v>
      </c>
      <c r="H2987" s="108">
        <v>1.05</v>
      </c>
      <c r="I2987" s="141">
        <f>ROUND((F2987*G2987*H2987),0)</f>
        <v>7164</v>
      </c>
      <c r="J2987" s="47"/>
      <c r="K2987" s="143"/>
    </row>
    <row r="2988" spans="2:11" ht="24.9" customHeight="1" x14ac:dyDescent="0.2">
      <c r="B2988" s="672"/>
      <c r="C2988" s="108" t="str">
        <f>+'LISTA DE INSUMOS'!A127</f>
        <v>MAT085</v>
      </c>
      <c r="D2988" s="139" t="str">
        <f>+'LISTA DE INSUMOS'!B127</f>
        <v>Accesorios PVC presión</v>
      </c>
      <c r="E2988" s="108" t="str">
        <f>+'LISTA DE INSUMOS'!C127</f>
        <v>%Tub</v>
      </c>
      <c r="F2988" s="140">
        <v>0.1</v>
      </c>
      <c r="G2988" s="141">
        <f>I2987</f>
        <v>7164</v>
      </c>
      <c r="H2988" s="108">
        <v>0</v>
      </c>
      <c r="I2988" s="141">
        <f>ROUND((F2988*G2988),0)</f>
        <v>716</v>
      </c>
      <c r="J2988" s="47"/>
      <c r="K2988" s="143"/>
    </row>
    <row r="2989" spans="2:11" ht="24.9" customHeight="1" x14ac:dyDescent="0.2">
      <c r="B2989" s="672"/>
      <c r="C2989" s="108" t="str">
        <f>+'LISTA DE INSUMOS'!A651</f>
        <v>MAT667</v>
      </c>
      <c r="D2989" s="139" t="str">
        <f>+'LISTA DE INSUMOS'!B651</f>
        <v>Limpiador removedor PVC 1/4</v>
      </c>
      <c r="E2989" s="108" t="str">
        <f>+'LISTA DE INSUMOS'!C651</f>
        <v>Un</v>
      </c>
      <c r="F2989" s="152">
        <v>0.01</v>
      </c>
      <c r="G2989" s="141">
        <f>'LISTA DE INSUMOS'!E651</f>
        <v>55927.469152499994</v>
      </c>
      <c r="H2989" s="108">
        <v>1.03</v>
      </c>
      <c r="I2989" s="141">
        <f>ROUND((F2989*G2989*H2989),0)</f>
        <v>576</v>
      </c>
      <c r="J2989" s="47"/>
      <c r="K2989" s="143"/>
    </row>
    <row r="2990" spans="2:11" ht="24.9" customHeight="1" thickBot="1" x14ac:dyDescent="0.25">
      <c r="B2990" s="673"/>
      <c r="C2990" s="108" t="str">
        <f>+'LISTA DE INSUMOS'!A650</f>
        <v>MAT666</v>
      </c>
      <c r="D2990" s="139" t="str">
        <f>+'LISTA DE INSUMOS'!B650</f>
        <v>Soldadura liquida para PVC 1/4 GL</v>
      </c>
      <c r="E2990" s="108" t="str">
        <f>+'LISTA DE INSUMOS'!C650</f>
        <v>Un</v>
      </c>
      <c r="F2990" s="152">
        <v>0.01</v>
      </c>
      <c r="G2990" s="141">
        <f>'LISTA DE INSUMOS'!E650</f>
        <v>116100.56750324999</v>
      </c>
      <c r="H2990" s="108">
        <v>1.03</v>
      </c>
      <c r="I2990" s="141">
        <f>ROUND((F2990*G2990*H2990),0)</f>
        <v>1196</v>
      </c>
      <c r="J2990" s="47"/>
      <c r="K2990" s="143"/>
    </row>
    <row r="2991" spans="2:11" ht="24.9" customHeight="1" thickTop="1" thickBot="1" x14ac:dyDescent="0.25">
      <c r="B2991" s="250" t="s">
        <v>1034</v>
      </c>
      <c r="C2991" s="108" t="str">
        <f>+'LISTA DE INSUMOS'!A5</f>
        <v>MOB002</v>
      </c>
      <c r="D2991" s="139" t="str">
        <f>+'LISTA DE INSUMOS'!B5</f>
        <v>Oficial (jornal + prestaciones)</v>
      </c>
      <c r="E2991" s="108" t="str">
        <f>+'LISTA DE INSUMOS'!C5</f>
        <v>Día</v>
      </c>
      <c r="F2991" s="140">
        <v>1</v>
      </c>
      <c r="G2991" s="141">
        <f>'LISTA DE INSUMOS'!E5</f>
        <v>163723</v>
      </c>
      <c r="H2991" s="108">
        <f>1/40</f>
        <v>2.5000000000000001E-2</v>
      </c>
      <c r="I2991" s="141">
        <f>ROUND((F2991*G2991*H2991),0)</f>
        <v>4093</v>
      </c>
      <c r="J2991" s="47"/>
      <c r="K2991" s="143"/>
    </row>
    <row r="2992" spans="2:11" ht="24.9" customHeight="1" thickTop="1" thickBot="1" x14ac:dyDescent="0.25">
      <c r="B2992" s="150" t="s">
        <v>1033</v>
      </c>
      <c r="C2992" s="151" t="str">
        <f>+'LISTA DE INSUMOS'!A758</f>
        <v>EQU002</v>
      </c>
      <c r="D2992" s="146" t="str">
        <f>+'LISTA DE INSUMOS'!B758</f>
        <v>Herramienta menor (% mano obra)</v>
      </c>
      <c r="E2992" s="145" t="str">
        <f>+'LISTA DE INSUMOS'!C758</f>
        <v>%MO</v>
      </c>
      <c r="F2992" s="147">
        <v>0.1</v>
      </c>
      <c r="G2992" s="148">
        <f>I2991</f>
        <v>4093</v>
      </c>
      <c r="H2992" s="145">
        <v>0</v>
      </c>
      <c r="I2992" s="148">
        <f>ROUND((F2992*G2992),0)</f>
        <v>409</v>
      </c>
      <c r="J2992" s="47"/>
      <c r="K2992" s="143"/>
    </row>
    <row r="2993" spans="2:11" s="317" customFormat="1" ht="24.9" hidden="1" customHeight="1" x14ac:dyDescent="0.2">
      <c r="B2993" s="319" t="s">
        <v>479</v>
      </c>
      <c r="C2993" s="319"/>
      <c r="D2993" s="320" t="s">
        <v>1422</v>
      </c>
      <c r="E2993" s="319" t="s">
        <v>1412</v>
      </c>
      <c r="F2993" s="332"/>
      <c r="G2993" s="312">
        <f>ROUND(SUM(I2994:I2999),0)</f>
        <v>10939</v>
      </c>
      <c r="H2993" s="322"/>
      <c r="I2993" s="312"/>
      <c r="J2993" s="313"/>
      <c r="K2993" s="323"/>
    </row>
    <row r="2994" spans="2:11" s="317" customFormat="1" ht="24.9" hidden="1" customHeight="1" x14ac:dyDescent="0.2">
      <c r="B2994" s="691" t="s">
        <v>1035</v>
      </c>
      <c r="C2994" s="322" t="str">
        <f>+'LISTA DE INSUMOS'!A104</f>
        <v>MAT064</v>
      </c>
      <c r="D2994" s="324" t="str">
        <f>+'LISTA DE INSUMOS'!B104</f>
        <v>Tubería PVC presión de 3/4" rde 21</v>
      </c>
      <c r="E2994" s="322" t="str">
        <f>+'LISTA DE INSUMOS'!C104</f>
        <v>M</v>
      </c>
      <c r="F2994" s="325">
        <v>1</v>
      </c>
      <c r="G2994" s="312">
        <f>'LISTA DE INSUMOS'!E104</f>
        <v>4346.137670784</v>
      </c>
      <c r="H2994" s="322">
        <v>1.05</v>
      </c>
      <c r="I2994" s="312">
        <f>ROUND((F2994*G2994*H2994),0)</f>
        <v>4563</v>
      </c>
      <c r="J2994" s="313"/>
      <c r="K2994" s="323"/>
    </row>
    <row r="2995" spans="2:11" s="317" customFormat="1" ht="24.9" hidden="1" customHeight="1" x14ac:dyDescent="0.2">
      <c r="B2995" s="691"/>
      <c r="C2995" s="322" t="str">
        <f>+'LISTA DE INSUMOS'!A127</f>
        <v>MAT085</v>
      </c>
      <c r="D2995" s="324" t="str">
        <f>+'LISTA DE INSUMOS'!B127</f>
        <v>Accesorios PVC presión</v>
      </c>
      <c r="E2995" s="322" t="str">
        <f>+'LISTA DE INSUMOS'!C127</f>
        <v>%Tub</v>
      </c>
      <c r="F2995" s="325">
        <v>0.1</v>
      </c>
      <c r="G2995" s="312">
        <f>I2994</f>
        <v>4563</v>
      </c>
      <c r="H2995" s="322">
        <v>0</v>
      </c>
      <c r="I2995" s="312">
        <f>ROUND((F2995*G2995),0)</f>
        <v>456</v>
      </c>
      <c r="J2995" s="313"/>
      <c r="K2995" s="323"/>
    </row>
    <row r="2996" spans="2:11" s="317" customFormat="1" ht="24.9" hidden="1" customHeight="1" x14ac:dyDescent="0.2">
      <c r="B2996" s="691"/>
      <c r="C2996" s="322" t="str">
        <f>+'LISTA DE INSUMOS'!A651</f>
        <v>MAT667</v>
      </c>
      <c r="D2996" s="324" t="str">
        <f>+'LISTA DE INSUMOS'!B651</f>
        <v>Limpiador removedor PVC 1/4</v>
      </c>
      <c r="E2996" s="322" t="str">
        <f>+'LISTA DE INSUMOS'!C651</f>
        <v>Un</v>
      </c>
      <c r="F2996" s="351">
        <v>8.0000000000000002E-3</v>
      </c>
      <c r="G2996" s="312">
        <f>'LISTA DE INSUMOS'!E651</f>
        <v>55927.469152499994</v>
      </c>
      <c r="H2996" s="322">
        <v>1.03</v>
      </c>
      <c r="I2996" s="312">
        <f>ROUND((F2996*G2996*H2996),0)</f>
        <v>461</v>
      </c>
      <c r="J2996" s="313"/>
      <c r="K2996" s="323"/>
    </row>
    <row r="2997" spans="2:11" s="317" customFormat="1" ht="24.9" hidden="1" customHeight="1" thickBot="1" x14ac:dyDescent="0.25">
      <c r="B2997" s="692"/>
      <c r="C2997" s="322" t="str">
        <f>+'LISTA DE INSUMOS'!A650</f>
        <v>MAT666</v>
      </c>
      <c r="D2997" s="324" t="str">
        <f>+'LISTA DE INSUMOS'!B650</f>
        <v>Soldadura liquida para PVC 1/4 GL</v>
      </c>
      <c r="E2997" s="322" t="str">
        <f>+'LISTA DE INSUMOS'!C650</f>
        <v>Un</v>
      </c>
      <c r="F2997" s="351">
        <v>8.0000000000000002E-3</v>
      </c>
      <c r="G2997" s="312">
        <f>'LISTA DE INSUMOS'!E650</f>
        <v>116100.56750324999</v>
      </c>
      <c r="H2997" s="322">
        <v>1.03</v>
      </c>
      <c r="I2997" s="312">
        <f>ROUND((F2997*G2997*H2997),0)</f>
        <v>957</v>
      </c>
      <c r="J2997" s="313"/>
      <c r="K2997" s="323"/>
    </row>
    <row r="2998" spans="2:11" s="317" customFormat="1" ht="19.5" hidden="1" customHeight="1" thickTop="1" thickBot="1" x14ac:dyDescent="0.25">
      <c r="B2998" s="372" t="s">
        <v>1034</v>
      </c>
      <c r="C2998" s="322" t="str">
        <f>+'LISTA DE INSUMOS'!A5</f>
        <v>MOB002</v>
      </c>
      <c r="D2998" s="324" t="str">
        <f>+'LISTA DE INSUMOS'!B5</f>
        <v>Oficial (jornal + prestaciones)</v>
      </c>
      <c r="E2998" s="322" t="str">
        <f>+'LISTA DE INSUMOS'!C5</f>
        <v>Día</v>
      </c>
      <c r="F2998" s="325">
        <v>1</v>
      </c>
      <c r="G2998" s="312">
        <f>'LISTA DE INSUMOS'!E5</f>
        <v>163723</v>
      </c>
      <c r="H2998" s="322">
        <f>1/40</f>
        <v>2.5000000000000001E-2</v>
      </c>
      <c r="I2998" s="312">
        <f>ROUND((F2998*G2998*H2998),0)</f>
        <v>4093</v>
      </c>
      <c r="J2998" s="313"/>
      <c r="K2998" s="323"/>
    </row>
    <row r="2999" spans="2:11" s="317" customFormat="1" ht="24.9" hidden="1" customHeight="1" thickTop="1" thickBot="1" x14ac:dyDescent="0.25">
      <c r="B2999" s="255" t="s">
        <v>1033</v>
      </c>
      <c r="C2999" s="327" t="str">
        <f>+'LISTA DE INSUMOS'!A758</f>
        <v>EQU002</v>
      </c>
      <c r="D2999" s="328" t="str">
        <f>+'LISTA DE INSUMOS'!B758</f>
        <v>Herramienta menor (% mano obra)</v>
      </c>
      <c r="E2999" s="329" t="str">
        <f>+'LISTA DE INSUMOS'!C758</f>
        <v>%MO</v>
      </c>
      <c r="F2999" s="330">
        <v>0.1</v>
      </c>
      <c r="G2999" s="331">
        <f>I2998</f>
        <v>4093</v>
      </c>
      <c r="H2999" s="329">
        <v>0</v>
      </c>
      <c r="I2999" s="331">
        <f>ROUND((F2999*G2999),0)</f>
        <v>409</v>
      </c>
      <c r="J2999" s="313"/>
      <c r="K2999" s="323"/>
    </row>
    <row r="3000" spans="2:11" ht="24.9" customHeight="1" x14ac:dyDescent="0.2">
      <c r="B3000" s="117" t="s">
        <v>1483</v>
      </c>
      <c r="C3000" s="117"/>
      <c r="D3000" s="112" t="s">
        <v>1420</v>
      </c>
      <c r="E3000" s="117" t="s">
        <v>1412</v>
      </c>
      <c r="F3000" s="149"/>
      <c r="G3000" s="119">
        <f>ROUND(SUM(I3001:I3006),0)</f>
        <v>11462</v>
      </c>
      <c r="H3000" s="120"/>
      <c r="I3000" s="119"/>
      <c r="J3000" s="47"/>
      <c r="K3000" s="143"/>
    </row>
    <row r="3001" spans="2:11" ht="24.9" customHeight="1" x14ac:dyDescent="0.2">
      <c r="B3001" s="672" t="s">
        <v>1035</v>
      </c>
      <c r="C3001" s="108" t="str">
        <f>+'LISTA DE INSUMOS'!A122</f>
        <v>MAT080</v>
      </c>
      <c r="D3001" s="139" t="str">
        <f>+'LISTA DE INSUMOS'!B122</f>
        <v>Tubería PVC presión de 1/2" rde   9</v>
      </c>
      <c r="E3001" s="108" t="str">
        <f>+'LISTA DE INSUMOS'!C122</f>
        <v>M</v>
      </c>
      <c r="F3001" s="140">
        <v>1</v>
      </c>
      <c r="G3001" s="141">
        <f>'LISTA DE INSUMOS'!E122</f>
        <v>5104.989859199999</v>
      </c>
      <c r="H3001" s="108">
        <v>1.05</v>
      </c>
      <c r="I3001" s="141">
        <f>ROUND((F3001*G3001*H3001),0)</f>
        <v>5360</v>
      </c>
      <c r="J3001" s="47"/>
      <c r="K3001" s="143"/>
    </row>
    <row r="3002" spans="2:11" ht="24.9" customHeight="1" x14ac:dyDescent="0.2">
      <c r="B3002" s="672"/>
      <c r="C3002" s="108" t="str">
        <f>+'LISTA DE INSUMOS'!A127</f>
        <v>MAT085</v>
      </c>
      <c r="D3002" s="139" t="str">
        <f>+'LISTA DE INSUMOS'!B127</f>
        <v>Accesorios PVC presión</v>
      </c>
      <c r="E3002" s="108" t="str">
        <f>+'LISTA DE INSUMOS'!C127</f>
        <v>%Tub</v>
      </c>
      <c r="F3002" s="140">
        <v>0.1</v>
      </c>
      <c r="G3002" s="141">
        <f>I3001</f>
        <v>5360</v>
      </c>
      <c r="H3002" s="108">
        <v>0</v>
      </c>
      <c r="I3002" s="141">
        <f>ROUND((F3002*G3002),0)</f>
        <v>536</v>
      </c>
      <c r="J3002" s="47"/>
      <c r="K3002" s="143"/>
    </row>
    <row r="3003" spans="2:11" ht="24.9" customHeight="1" x14ac:dyDescent="0.2">
      <c r="B3003" s="672"/>
      <c r="C3003" s="108" t="str">
        <f>+'LISTA DE INSUMOS'!A651</f>
        <v>MAT667</v>
      </c>
      <c r="D3003" s="139" t="str">
        <f>+'LISTA DE INSUMOS'!B651</f>
        <v>Limpiador removedor PVC 1/4</v>
      </c>
      <c r="E3003" s="108" t="str">
        <f>+'LISTA DE INSUMOS'!C651</f>
        <v>Un</v>
      </c>
      <c r="F3003" s="152">
        <v>6.0000000000000001E-3</v>
      </c>
      <c r="G3003" s="141">
        <f>'LISTA DE INSUMOS'!E651</f>
        <v>55927.469152499994</v>
      </c>
      <c r="H3003" s="108">
        <v>1.03</v>
      </c>
      <c r="I3003" s="141">
        <f>ROUND((F3003*G3003*H3003),0)</f>
        <v>346</v>
      </c>
      <c r="J3003" s="47"/>
      <c r="K3003" s="143"/>
    </row>
    <row r="3004" spans="2:11" ht="24.9" customHeight="1" thickBot="1" x14ac:dyDescent="0.25">
      <c r="B3004" s="673"/>
      <c r="C3004" s="108" t="str">
        <f>+'LISTA DE INSUMOS'!A650</f>
        <v>MAT666</v>
      </c>
      <c r="D3004" s="139" t="str">
        <f>+'LISTA DE INSUMOS'!B650</f>
        <v>Soldadura liquida para PVC 1/4 GL</v>
      </c>
      <c r="E3004" s="108" t="str">
        <f>+'LISTA DE INSUMOS'!C650</f>
        <v>Un</v>
      </c>
      <c r="F3004" s="152">
        <v>6.0000000000000001E-3</v>
      </c>
      <c r="G3004" s="141">
        <f>'LISTA DE INSUMOS'!E650</f>
        <v>116100.56750324999</v>
      </c>
      <c r="H3004" s="108">
        <v>1.03</v>
      </c>
      <c r="I3004" s="141">
        <f>ROUND((F3004*G3004*H3004),0)</f>
        <v>718</v>
      </c>
      <c r="J3004" s="47"/>
      <c r="K3004" s="143"/>
    </row>
    <row r="3005" spans="2:11" ht="24.9" customHeight="1" thickTop="1" thickBot="1" x14ac:dyDescent="0.25">
      <c r="B3005" s="250" t="s">
        <v>1034</v>
      </c>
      <c r="C3005" s="108" t="str">
        <f>+'LISTA DE INSUMOS'!A5</f>
        <v>MOB002</v>
      </c>
      <c r="D3005" s="139" t="str">
        <f>+'LISTA DE INSUMOS'!B5</f>
        <v>Oficial (jornal + prestaciones)</v>
      </c>
      <c r="E3005" s="108" t="str">
        <f>+'LISTA DE INSUMOS'!C5</f>
        <v>Día</v>
      </c>
      <c r="F3005" s="140">
        <v>1</v>
      </c>
      <c r="G3005" s="141">
        <f>'LISTA DE INSUMOS'!E5</f>
        <v>163723</v>
      </c>
      <c r="H3005" s="108">
        <f>1/40</f>
        <v>2.5000000000000001E-2</v>
      </c>
      <c r="I3005" s="141">
        <f>ROUND((F3005*G3005*H3005),0)</f>
        <v>4093</v>
      </c>
      <c r="J3005" s="47"/>
      <c r="K3005" s="143"/>
    </row>
    <row r="3006" spans="2:11" ht="24.9" customHeight="1" thickTop="1" thickBot="1" x14ac:dyDescent="0.25">
      <c r="B3006" s="150" t="s">
        <v>1033</v>
      </c>
      <c r="C3006" s="151" t="str">
        <f>+'LISTA DE INSUMOS'!A758</f>
        <v>EQU002</v>
      </c>
      <c r="D3006" s="146" t="str">
        <f>+'LISTA DE INSUMOS'!B758</f>
        <v>Herramienta menor (% mano obra)</v>
      </c>
      <c r="E3006" s="145" t="str">
        <f>+'LISTA DE INSUMOS'!C758</f>
        <v>%MO</v>
      </c>
      <c r="F3006" s="147">
        <v>0.1</v>
      </c>
      <c r="G3006" s="148">
        <f>I3005</f>
        <v>4093</v>
      </c>
      <c r="H3006" s="145">
        <v>0</v>
      </c>
      <c r="I3006" s="148">
        <f>ROUND((F3006*G3006),0)</f>
        <v>409</v>
      </c>
      <c r="J3006" s="47"/>
      <c r="K3006" s="143"/>
    </row>
    <row r="3007" spans="2:11" ht="24.9" customHeight="1" x14ac:dyDescent="0.2">
      <c r="B3007" s="117" t="s">
        <v>1844</v>
      </c>
      <c r="C3007" s="117"/>
      <c r="D3007" s="112" t="s">
        <v>1332</v>
      </c>
      <c r="E3007" s="117" t="s">
        <v>1871</v>
      </c>
      <c r="F3007" s="149"/>
      <c r="G3007" s="119">
        <f>ROUND(SUM(I3008:I3015),0)</f>
        <v>68343</v>
      </c>
      <c r="H3007" s="120"/>
      <c r="I3007" s="119"/>
      <c r="J3007" s="47"/>
      <c r="K3007" s="143"/>
    </row>
    <row r="3008" spans="2:11" ht="24.9" customHeight="1" x14ac:dyDescent="0.2">
      <c r="B3008" s="672" t="s">
        <v>1035</v>
      </c>
      <c r="C3008" s="108" t="str">
        <f>+'LISTA DE INSUMOS'!A122</f>
        <v>MAT080</v>
      </c>
      <c r="D3008" s="139" t="str">
        <f>+'LISTA DE INSUMOS'!B122</f>
        <v>Tubería PVC presión de 1/2" rde   9</v>
      </c>
      <c r="E3008" s="108" t="str">
        <f>+'LISTA DE INSUMOS'!C122</f>
        <v>M</v>
      </c>
      <c r="F3008" s="140">
        <v>3</v>
      </c>
      <c r="G3008" s="141">
        <f>'LISTA DE INSUMOS'!E122</f>
        <v>5104.989859199999</v>
      </c>
      <c r="H3008" s="108">
        <v>1.05</v>
      </c>
      <c r="I3008" s="141">
        <f>ROUND((F3008*G3008*H3008),0)</f>
        <v>16081</v>
      </c>
      <c r="J3008" s="47"/>
      <c r="K3008" s="143"/>
    </row>
    <row r="3009" spans="2:11" ht="24.9" customHeight="1" x14ac:dyDescent="0.2">
      <c r="B3009" s="672"/>
      <c r="C3009" s="108" t="str">
        <f>+'LISTA DE INSUMOS'!A127</f>
        <v>MAT085</v>
      </c>
      <c r="D3009" s="139" t="str">
        <f>+'LISTA DE INSUMOS'!B127</f>
        <v>Accesorios PVC presión</v>
      </c>
      <c r="E3009" s="108" t="str">
        <f>+'LISTA DE INSUMOS'!C127</f>
        <v>%Tub</v>
      </c>
      <c r="F3009" s="140">
        <v>0.1</v>
      </c>
      <c r="G3009" s="141">
        <f>+I3008</f>
        <v>16081</v>
      </c>
      <c r="H3009" s="108">
        <v>0</v>
      </c>
      <c r="I3009" s="141">
        <f>ROUND((F3009*G3009),0)</f>
        <v>1608</v>
      </c>
      <c r="J3009" s="47"/>
      <c r="K3009" s="143"/>
    </row>
    <row r="3010" spans="2:11" ht="24.9" customHeight="1" x14ac:dyDescent="0.2">
      <c r="B3010" s="672"/>
      <c r="C3010" s="108" t="str">
        <f>+'LISTA DE INSUMOS'!A651</f>
        <v>MAT667</v>
      </c>
      <c r="D3010" s="139" t="str">
        <f>+'LISTA DE INSUMOS'!B651</f>
        <v>Limpiador removedor PVC 1/4</v>
      </c>
      <c r="E3010" s="108" t="str">
        <f>+'LISTA DE INSUMOS'!C651</f>
        <v>Un</v>
      </c>
      <c r="F3010" s="152">
        <v>1.7999999999999999E-2</v>
      </c>
      <c r="G3010" s="141">
        <f>'LISTA DE INSUMOS'!E651</f>
        <v>55927.469152499994</v>
      </c>
      <c r="H3010" s="108">
        <v>1.03</v>
      </c>
      <c r="I3010" s="141">
        <f>ROUND((F3010*G3010*H3010),0)</f>
        <v>1037</v>
      </c>
      <c r="J3010" s="47"/>
      <c r="K3010" s="143"/>
    </row>
    <row r="3011" spans="2:11" ht="24.9" customHeight="1" x14ac:dyDescent="0.2">
      <c r="B3011" s="672"/>
      <c r="C3011" s="108" t="str">
        <f>+'LISTA DE INSUMOS'!A650</f>
        <v>MAT666</v>
      </c>
      <c r="D3011" s="139" t="str">
        <f>+'LISTA DE INSUMOS'!B650</f>
        <v>Soldadura liquida para PVC 1/4 GL</v>
      </c>
      <c r="E3011" s="108" t="str">
        <f>+'LISTA DE INSUMOS'!C650</f>
        <v>Un</v>
      </c>
      <c r="F3011" s="152">
        <v>1.7999999999999999E-2</v>
      </c>
      <c r="G3011" s="141">
        <f>'LISTA DE INSUMOS'!E650</f>
        <v>116100.56750324999</v>
      </c>
      <c r="H3011" s="108">
        <v>1.03</v>
      </c>
      <c r="I3011" s="141">
        <f>ROUND((F3011*G3011*H3011),0)</f>
        <v>2153</v>
      </c>
      <c r="J3011" s="47"/>
      <c r="K3011" s="143"/>
    </row>
    <row r="3012" spans="2:11" ht="24.9" customHeight="1" thickBot="1" x14ac:dyDescent="0.25">
      <c r="B3012" s="673"/>
      <c r="C3012" s="108" t="str">
        <f>+'LISTA DE INSUMOS'!A139</f>
        <v>MAT099</v>
      </c>
      <c r="D3012" s="139" t="str">
        <f>+'LISTA DE INSUMOS'!B139</f>
        <v>Niple de HG de 1/2" de 38 cm</v>
      </c>
      <c r="E3012" s="108" t="str">
        <f>+'LISTA DE INSUMOS'!C139</f>
        <v>Un</v>
      </c>
      <c r="F3012" s="140">
        <v>1</v>
      </c>
      <c r="G3012" s="141">
        <v>0</v>
      </c>
      <c r="H3012" s="108">
        <v>0</v>
      </c>
      <c r="I3012" s="141">
        <f>ROUND((F3012*G3012),0)</f>
        <v>0</v>
      </c>
      <c r="J3012" s="47"/>
      <c r="K3012" s="143"/>
    </row>
    <row r="3013" spans="2:11" ht="24.9" customHeight="1" thickTop="1" thickBot="1" x14ac:dyDescent="0.25">
      <c r="B3013" s="191" t="s">
        <v>1310</v>
      </c>
      <c r="C3013" s="108" t="str">
        <f>+B574</f>
        <v>ITE96</v>
      </c>
      <c r="D3013" s="139" t="str">
        <f>+D574</f>
        <v>Mortero 1:3 (producción)</v>
      </c>
      <c r="E3013" s="108" t="str">
        <f>+E574</f>
        <v>M3</v>
      </c>
      <c r="F3013" s="140">
        <v>4.0000000000000001E-3</v>
      </c>
      <c r="G3013" s="141">
        <f>G574</f>
        <v>580906</v>
      </c>
      <c r="H3013" s="108">
        <v>1.05</v>
      </c>
      <c r="I3013" s="141">
        <f>ROUND((F3013*G3013*H3013),0)</f>
        <v>2440</v>
      </c>
      <c r="J3013" s="47"/>
      <c r="K3013" s="143"/>
    </row>
    <row r="3014" spans="2:11" ht="24.9" customHeight="1" thickTop="1" thickBot="1" x14ac:dyDescent="0.25">
      <c r="B3014" s="250" t="s">
        <v>1034</v>
      </c>
      <c r="C3014" s="108" t="str">
        <f>+'LISTA DE INSUMOS'!A18</f>
        <v>MOB015</v>
      </c>
      <c r="D3014" s="139" t="str">
        <f>+'LISTA DE INSUMOS'!B18</f>
        <v>Cuadrilla E 1 Of + 1 Ay (jornal + prestaciones)</v>
      </c>
      <c r="E3014" s="108" t="str">
        <f>+'LISTA DE INSUMOS'!C18</f>
        <v>Día</v>
      </c>
      <c r="F3014" s="140">
        <v>1</v>
      </c>
      <c r="G3014" s="141">
        <f>'LISTA DE INSUMOS'!E18</f>
        <v>245584</v>
      </c>
      <c r="H3014" s="108">
        <f>1/6</f>
        <v>0.16666666666666666</v>
      </c>
      <c r="I3014" s="141">
        <f>ROUND((F3014*G3014*H3014),0)</f>
        <v>40931</v>
      </c>
      <c r="J3014" s="47"/>
      <c r="K3014" s="143"/>
    </row>
    <row r="3015" spans="2:11" ht="24.9" customHeight="1" thickTop="1" thickBot="1" x14ac:dyDescent="0.25">
      <c r="B3015" s="150" t="s">
        <v>1033</v>
      </c>
      <c r="C3015" s="151" t="str">
        <f>+'LISTA DE INSUMOS'!A758</f>
        <v>EQU002</v>
      </c>
      <c r="D3015" s="146" t="str">
        <f>+'LISTA DE INSUMOS'!B758</f>
        <v>Herramienta menor (% mano obra)</v>
      </c>
      <c r="E3015" s="145" t="str">
        <f>+'LISTA DE INSUMOS'!C758</f>
        <v>%MO</v>
      </c>
      <c r="F3015" s="147">
        <v>0.1</v>
      </c>
      <c r="G3015" s="148">
        <f>I3014</f>
        <v>40931</v>
      </c>
      <c r="H3015" s="145">
        <v>0</v>
      </c>
      <c r="I3015" s="148">
        <f>ROUND((F3015*G3015),0)</f>
        <v>4093</v>
      </c>
      <c r="J3015" s="47"/>
      <c r="K3015" s="143"/>
    </row>
    <row r="3016" spans="2:11" ht="24.9" customHeight="1" x14ac:dyDescent="0.2">
      <c r="B3016" s="117" t="s">
        <v>1769</v>
      </c>
      <c r="C3016" s="117"/>
      <c r="D3016" s="112" t="s">
        <v>26</v>
      </c>
      <c r="E3016" s="117" t="s">
        <v>1412</v>
      </c>
      <c r="F3016" s="118"/>
      <c r="G3016" s="119">
        <f>ROUND(SUM(I3017:I3023),0)</f>
        <v>45836</v>
      </c>
      <c r="H3016" s="120"/>
      <c r="I3016" s="119"/>
      <c r="J3016" s="47"/>
      <c r="K3016" s="143"/>
    </row>
    <row r="3017" spans="2:11" ht="24.9" customHeight="1" x14ac:dyDescent="0.2">
      <c r="B3017" s="672" t="s">
        <v>1035</v>
      </c>
      <c r="C3017" s="108" t="str">
        <f>+'LISTA DE INSUMOS'!A125</f>
        <v>MAT083</v>
      </c>
      <c r="D3017" s="139" t="str">
        <f>+'LISTA DE INSUMOS'!B125</f>
        <v>Tubería PVC presión de 2"    rde 21</v>
      </c>
      <c r="E3017" s="108" t="str">
        <f>+'LISTA DE INSUMOS'!C125</f>
        <v>M</v>
      </c>
      <c r="F3017" s="140">
        <v>1</v>
      </c>
      <c r="G3017" s="141">
        <f>'LISTA DE INSUMOS'!E125</f>
        <v>24874.2062195088</v>
      </c>
      <c r="H3017" s="108">
        <v>1.05</v>
      </c>
      <c r="I3017" s="141">
        <f>ROUND((F3017*G3017*H3017),0)</f>
        <v>26118</v>
      </c>
      <c r="J3017" s="47"/>
      <c r="K3017" s="143"/>
    </row>
    <row r="3018" spans="2:11" ht="24.9" customHeight="1" x14ac:dyDescent="0.2">
      <c r="B3018" s="672"/>
      <c r="C3018" s="108" t="str">
        <f>+'LISTA DE INSUMOS'!A127</f>
        <v>MAT085</v>
      </c>
      <c r="D3018" s="139" t="str">
        <f>+'LISTA DE INSUMOS'!B127</f>
        <v>Accesorios PVC presión</v>
      </c>
      <c r="E3018" s="108" t="str">
        <f>+'LISTA DE INSUMOS'!C127</f>
        <v>%Tub</v>
      </c>
      <c r="F3018" s="140">
        <v>0.25</v>
      </c>
      <c r="G3018" s="141">
        <f>+I3017</f>
        <v>26118</v>
      </c>
      <c r="H3018" s="108">
        <v>0</v>
      </c>
      <c r="I3018" s="141">
        <f>ROUND((F3018*G3018),0)</f>
        <v>6530</v>
      </c>
      <c r="J3018" s="47"/>
      <c r="K3018" s="143"/>
    </row>
    <row r="3019" spans="2:11" ht="24.9" customHeight="1" x14ac:dyDescent="0.2">
      <c r="B3019" s="672"/>
      <c r="C3019" s="108" t="str">
        <f>+'LISTA DE INSUMOS'!A651</f>
        <v>MAT667</v>
      </c>
      <c r="D3019" s="139" t="str">
        <f>+'LISTA DE INSUMOS'!B651</f>
        <v>Limpiador removedor PVC 1/4</v>
      </c>
      <c r="E3019" s="108" t="str">
        <f>+'LISTA DE INSUMOS'!C651</f>
        <v>Un</v>
      </c>
      <c r="F3019" s="152">
        <v>0.02</v>
      </c>
      <c r="G3019" s="141">
        <f>'LISTA DE INSUMOS'!E651</f>
        <v>55927.469152499994</v>
      </c>
      <c r="H3019" s="108">
        <v>1.03</v>
      </c>
      <c r="I3019" s="141">
        <f>ROUND((F3019*G3019*H3019),0)</f>
        <v>1152</v>
      </c>
      <c r="J3019" s="47"/>
      <c r="K3019" s="143"/>
    </row>
    <row r="3020" spans="2:11" ht="24.9" customHeight="1" thickBot="1" x14ac:dyDescent="0.25">
      <c r="B3020" s="673"/>
      <c r="C3020" s="108" t="str">
        <f>+'LISTA DE INSUMOS'!A650</f>
        <v>MAT666</v>
      </c>
      <c r="D3020" s="139" t="str">
        <f>+'LISTA DE INSUMOS'!B650</f>
        <v>Soldadura liquida para PVC 1/4 GL</v>
      </c>
      <c r="E3020" s="108" t="str">
        <f>+'LISTA DE INSUMOS'!C650</f>
        <v>Un</v>
      </c>
      <c r="F3020" s="152">
        <v>0.02</v>
      </c>
      <c r="G3020" s="141">
        <f>'LISTA DE INSUMOS'!E650</f>
        <v>116100.56750324999</v>
      </c>
      <c r="H3020" s="108">
        <v>1.03</v>
      </c>
      <c r="I3020" s="141">
        <f>ROUND((F3020*G3020*H3020),0)</f>
        <v>2392</v>
      </c>
      <c r="J3020" s="47"/>
      <c r="K3020" s="143"/>
    </row>
    <row r="3021" spans="2:11" ht="24.9" customHeight="1" thickTop="1" thickBot="1" x14ac:dyDescent="0.25">
      <c r="B3021" s="191" t="s">
        <v>1310</v>
      </c>
      <c r="C3021" s="108" t="str">
        <f>+B574</f>
        <v>ITE96</v>
      </c>
      <c r="D3021" s="139" t="str">
        <f>+D574</f>
        <v>Mortero 1:3 (producción)</v>
      </c>
      <c r="E3021" s="108" t="str">
        <f>+E574</f>
        <v>M3</v>
      </c>
      <c r="F3021" s="140">
        <v>4.0000000000000001E-3</v>
      </c>
      <c r="G3021" s="141">
        <f>G574</f>
        <v>580906</v>
      </c>
      <c r="H3021" s="108">
        <v>1.05</v>
      </c>
      <c r="I3021" s="141">
        <f>ROUND((F3021*G3021*H3021),0)</f>
        <v>2440</v>
      </c>
      <c r="J3021" s="47"/>
      <c r="K3021" s="143"/>
    </row>
    <row r="3022" spans="2:11" ht="24.9" customHeight="1" thickTop="1" thickBot="1" x14ac:dyDescent="0.25">
      <c r="B3022" s="250" t="s">
        <v>1034</v>
      </c>
      <c r="C3022" s="108" t="str">
        <f>+'LISTA DE INSUMOS'!A5</f>
        <v>MOB002</v>
      </c>
      <c r="D3022" s="139" t="str">
        <f>+'LISTA DE INSUMOS'!B5</f>
        <v>Oficial (jornal + prestaciones)</v>
      </c>
      <c r="E3022" s="108" t="str">
        <f>+'LISTA DE INSUMOS'!C5</f>
        <v>Día</v>
      </c>
      <c r="F3022" s="140">
        <v>1</v>
      </c>
      <c r="G3022" s="141">
        <f>'LISTA DE INSUMOS'!E5</f>
        <v>163723</v>
      </c>
      <c r="H3022" s="108">
        <f>1/25</f>
        <v>0.04</v>
      </c>
      <c r="I3022" s="141">
        <f>ROUND((F3022*G3022*H3022),0)</f>
        <v>6549</v>
      </c>
      <c r="J3022" s="47"/>
      <c r="K3022" s="143"/>
    </row>
    <row r="3023" spans="2:11" ht="24.9" customHeight="1" thickTop="1" thickBot="1" x14ac:dyDescent="0.25">
      <c r="B3023" s="150" t="s">
        <v>1033</v>
      </c>
      <c r="C3023" s="151" t="s">
        <v>1017</v>
      </c>
      <c r="D3023" s="146" t="s">
        <v>1029</v>
      </c>
      <c r="E3023" s="145" t="s">
        <v>2066</v>
      </c>
      <c r="F3023" s="147">
        <v>0.1</v>
      </c>
      <c r="G3023" s="148">
        <f>I3022</f>
        <v>6549</v>
      </c>
      <c r="H3023" s="145">
        <v>0</v>
      </c>
      <c r="I3023" s="148">
        <f>ROUND((F3023*G3023),0)</f>
        <v>655</v>
      </c>
      <c r="J3023" s="47"/>
      <c r="K3023" s="143"/>
    </row>
    <row r="3024" spans="2:11" ht="24.9" customHeight="1" x14ac:dyDescent="0.2">
      <c r="B3024" s="117" t="s">
        <v>1767</v>
      </c>
      <c r="C3024" s="117"/>
      <c r="D3024" s="112" t="s">
        <v>2010</v>
      </c>
      <c r="E3024" s="117" t="s">
        <v>1412</v>
      </c>
      <c r="F3024" s="118"/>
      <c r="G3024" s="119">
        <f>ROUND(SUM(I3025:I3031),0)</f>
        <v>27500</v>
      </c>
      <c r="H3024" s="120"/>
      <c r="I3024" s="119"/>
      <c r="J3024" s="47"/>
      <c r="K3024" s="143"/>
    </row>
    <row r="3025" spans="2:11" ht="24.9" customHeight="1" x14ac:dyDescent="0.2">
      <c r="B3025" s="672" t="s">
        <v>1035</v>
      </c>
      <c r="C3025" s="108" t="str">
        <f>+'LISTA DE INSUMOS'!A327</f>
        <v>MAT304</v>
      </c>
      <c r="D3025" s="139" t="str">
        <f>+'LISTA DE INSUMOS'!B327</f>
        <v>Tubería PVC presión de 1 1/2" rde 21</v>
      </c>
      <c r="E3025" s="108" t="str">
        <f>+'LISTA DE INSUMOS'!C327</f>
        <v>M</v>
      </c>
      <c r="F3025" s="140">
        <v>1</v>
      </c>
      <c r="G3025" s="141">
        <f>'LISTA DE INSUMOS'!E327</f>
        <v>12494.671412453999</v>
      </c>
      <c r="H3025" s="108">
        <v>1.05</v>
      </c>
      <c r="I3025" s="141">
        <f>ROUND((F3025*G3025*H3025),0)</f>
        <v>13119</v>
      </c>
      <c r="J3025" s="47"/>
      <c r="K3025" s="143"/>
    </row>
    <row r="3026" spans="2:11" ht="24.9" customHeight="1" x14ac:dyDescent="0.2">
      <c r="B3026" s="672"/>
      <c r="C3026" s="108" t="str">
        <f>+'LISTA DE INSUMOS'!A127</f>
        <v>MAT085</v>
      </c>
      <c r="D3026" s="139" t="str">
        <f>+'LISTA DE INSUMOS'!B127</f>
        <v>Accesorios PVC presión</v>
      </c>
      <c r="E3026" s="108" t="str">
        <f>+'LISTA DE INSUMOS'!C127</f>
        <v>%Tub</v>
      </c>
      <c r="F3026" s="140">
        <v>0.25</v>
      </c>
      <c r="G3026" s="141">
        <f>+I3025</f>
        <v>13119</v>
      </c>
      <c r="H3026" s="108">
        <v>0</v>
      </c>
      <c r="I3026" s="141">
        <f>ROUND((F3026*G3026),0)</f>
        <v>3280</v>
      </c>
      <c r="J3026" s="47"/>
      <c r="K3026" s="143"/>
    </row>
    <row r="3027" spans="2:11" ht="24.9" customHeight="1" x14ac:dyDescent="0.2">
      <c r="B3027" s="672"/>
      <c r="C3027" s="108" t="str">
        <f>+'LISTA DE INSUMOS'!A651</f>
        <v>MAT667</v>
      </c>
      <c r="D3027" s="139" t="str">
        <f>+'LISTA DE INSUMOS'!B651</f>
        <v>Limpiador removedor PVC 1/4</v>
      </c>
      <c r="E3027" s="108" t="str">
        <f>+'LISTA DE INSUMOS'!C651</f>
        <v>Un</v>
      </c>
      <c r="F3027" s="152">
        <v>1.4999999999999999E-2</v>
      </c>
      <c r="G3027" s="141">
        <f>'LISTA DE INSUMOS'!E651</f>
        <v>55927.469152499994</v>
      </c>
      <c r="H3027" s="108">
        <v>1.03</v>
      </c>
      <c r="I3027" s="141">
        <f>ROUND((F3027*G3027*H3027),0)</f>
        <v>864</v>
      </c>
      <c r="J3027" s="47"/>
      <c r="K3027" s="143"/>
    </row>
    <row r="3028" spans="2:11" ht="24.9" customHeight="1" thickBot="1" x14ac:dyDescent="0.25">
      <c r="B3028" s="673"/>
      <c r="C3028" s="108" t="str">
        <f>+'LISTA DE INSUMOS'!A650</f>
        <v>MAT666</v>
      </c>
      <c r="D3028" s="139" t="str">
        <f>+'LISTA DE INSUMOS'!B650</f>
        <v>Soldadura liquida para PVC 1/4 GL</v>
      </c>
      <c r="E3028" s="108" t="str">
        <f>+'LISTA DE INSUMOS'!C650</f>
        <v>Un</v>
      </c>
      <c r="F3028" s="152">
        <v>1.4999999999999999E-2</v>
      </c>
      <c r="G3028" s="141">
        <f>'LISTA DE INSUMOS'!E650</f>
        <v>116100.56750324999</v>
      </c>
      <c r="H3028" s="108">
        <v>1.03</v>
      </c>
      <c r="I3028" s="141">
        <f>ROUND((F3028*G3028*H3028),0)</f>
        <v>1794</v>
      </c>
      <c r="J3028" s="47"/>
      <c r="K3028" s="143"/>
    </row>
    <row r="3029" spans="2:11" ht="24.9" customHeight="1" thickTop="1" thickBot="1" x14ac:dyDescent="0.25">
      <c r="B3029" s="191" t="s">
        <v>1310</v>
      </c>
      <c r="C3029" s="108" t="str">
        <f>+B574</f>
        <v>ITE96</v>
      </c>
      <c r="D3029" s="139" t="str">
        <f>+D574</f>
        <v>Mortero 1:3 (producción)</v>
      </c>
      <c r="E3029" s="108" t="str">
        <f>+E574</f>
        <v>M3</v>
      </c>
      <c r="F3029" s="140">
        <v>4.0000000000000001E-3</v>
      </c>
      <c r="G3029" s="141">
        <f>G574</f>
        <v>580906</v>
      </c>
      <c r="H3029" s="108">
        <v>1.05</v>
      </c>
      <c r="I3029" s="141">
        <f>ROUND((F3029*G3029*H3029),0)</f>
        <v>2440</v>
      </c>
      <c r="J3029" s="47"/>
      <c r="K3029" s="143"/>
    </row>
    <row r="3030" spans="2:11" ht="24.9" customHeight="1" thickTop="1" thickBot="1" x14ac:dyDescent="0.25">
      <c r="B3030" s="250" t="s">
        <v>1034</v>
      </c>
      <c r="C3030" s="108" t="str">
        <f>+'LISTA DE INSUMOS'!A5</f>
        <v>MOB002</v>
      </c>
      <c r="D3030" s="139" t="str">
        <f>+'LISTA DE INSUMOS'!B5</f>
        <v>Oficial (jornal + prestaciones)</v>
      </c>
      <c r="E3030" s="108" t="str">
        <f>+'LISTA DE INSUMOS'!C5</f>
        <v>Día</v>
      </c>
      <c r="F3030" s="140">
        <v>1</v>
      </c>
      <c r="G3030" s="141">
        <f>'LISTA DE INSUMOS'!E5</f>
        <v>163723</v>
      </c>
      <c r="H3030" s="108">
        <f>1/30</f>
        <v>3.3333333333333333E-2</v>
      </c>
      <c r="I3030" s="141">
        <f>ROUND((F3030*G3030*H3030),0)</f>
        <v>5457</v>
      </c>
      <c r="J3030" s="47"/>
      <c r="K3030" s="143"/>
    </row>
    <row r="3031" spans="2:11" ht="24.9" customHeight="1" thickTop="1" thickBot="1" x14ac:dyDescent="0.25">
      <c r="B3031" s="150" t="s">
        <v>1033</v>
      </c>
      <c r="C3031" s="151" t="str">
        <f>+'LISTA DE INSUMOS'!A758</f>
        <v>EQU002</v>
      </c>
      <c r="D3031" s="146" t="str">
        <f>+'LISTA DE INSUMOS'!B758</f>
        <v>Herramienta menor (% mano obra)</v>
      </c>
      <c r="E3031" s="145" t="str">
        <f>+'LISTA DE INSUMOS'!C758</f>
        <v>%MO</v>
      </c>
      <c r="F3031" s="147">
        <v>0.1</v>
      </c>
      <c r="G3031" s="148">
        <f>I3030</f>
        <v>5457</v>
      </c>
      <c r="H3031" s="145">
        <v>0</v>
      </c>
      <c r="I3031" s="148">
        <f>ROUND((F3031*G3031),0)</f>
        <v>546</v>
      </c>
      <c r="J3031" s="47"/>
      <c r="K3031" s="143"/>
    </row>
    <row r="3032" spans="2:11" ht="24.9" customHeight="1" x14ac:dyDescent="0.2">
      <c r="B3032" s="117" t="s">
        <v>1783</v>
      </c>
      <c r="C3032" s="117"/>
      <c r="D3032" s="112" t="s">
        <v>2012</v>
      </c>
      <c r="E3032" s="117" t="s">
        <v>1412</v>
      </c>
      <c r="F3032" s="118"/>
      <c r="G3032" s="119">
        <f>ROUND(SUM(I3033:I3039),0)</f>
        <v>23984</v>
      </c>
      <c r="H3032" s="120"/>
      <c r="I3032" s="119"/>
      <c r="J3032" s="47"/>
      <c r="K3032" s="143"/>
    </row>
    <row r="3033" spans="2:11" ht="24.9" customHeight="1" x14ac:dyDescent="0.2">
      <c r="B3033" s="672" t="s">
        <v>1035</v>
      </c>
      <c r="C3033" s="108" t="str">
        <f>+'LISTA DE INSUMOS'!A324</f>
        <v>MAT301</v>
      </c>
      <c r="D3033" s="139" t="str">
        <f>+'LISTA DE INSUMOS'!B324</f>
        <v>Tubería PVC presión de 1 1/4" rde 21</v>
      </c>
      <c r="E3033" s="108" t="str">
        <f>+'LISTA DE INSUMOS'!C324</f>
        <v>M</v>
      </c>
      <c r="F3033" s="140">
        <v>1</v>
      </c>
      <c r="G3033" s="141">
        <f>'LISTA DE INSUMOS'!E324</f>
        <v>10221.31088748</v>
      </c>
      <c r="H3033" s="108">
        <v>1.05</v>
      </c>
      <c r="I3033" s="141">
        <f>ROUND((F3033*G3033*H3033),0)</f>
        <v>10732</v>
      </c>
      <c r="J3033" s="47"/>
      <c r="K3033" s="143"/>
    </row>
    <row r="3034" spans="2:11" ht="24.9" customHeight="1" x14ac:dyDescent="0.2">
      <c r="B3034" s="672"/>
      <c r="C3034" s="108" t="str">
        <f>+'LISTA DE INSUMOS'!A127</f>
        <v>MAT085</v>
      </c>
      <c r="D3034" s="139" t="str">
        <f>+'LISTA DE INSUMOS'!B127</f>
        <v>Accesorios PVC presión</v>
      </c>
      <c r="E3034" s="108" t="str">
        <f>+'LISTA DE INSUMOS'!C127</f>
        <v>%Tub</v>
      </c>
      <c r="F3034" s="140">
        <v>0.25</v>
      </c>
      <c r="G3034" s="141">
        <f>I3033</f>
        <v>10732</v>
      </c>
      <c r="H3034" s="108">
        <v>0</v>
      </c>
      <c r="I3034" s="141">
        <f>ROUND((F3034*G3034),0)</f>
        <v>2683</v>
      </c>
      <c r="J3034" s="47"/>
      <c r="K3034" s="143"/>
    </row>
    <row r="3035" spans="2:11" ht="24.9" customHeight="1" x14ac:dyDescent="0.2">
      <c r="B3035" s="672"/>
      <c r="C3035" s="108" t="str">
        <f>+'LISTA DE INSUMOS'!A651</f>
        <v>MAT667</v>
      </c>
      <c r="D3035" s="139" t="str">
        <f>+'LISTA DE INSUMOS'!B651</f>
        <v>Limpiador removedor PVC 1/4</v>
      </c>
      <c r="E3035" s="108" t="str">
        <f>+'LISTA DE INSUMOS'!C651</f>
        <v>Un</v>
      </c>
      <c r="F3035" s="152">
        <v>1.2E-2</v>
      </c>
      <c r="G3035" s="141">
        <f>'LISTA DE INSUMOS'!E651</f>
        <v>55927.469152499994</v>
      </c>
      <c r="H3035" s="108">
        <v>1.03</v>
      </c>
      <c r="I3035" s="141">
        <f>ROUND((F3035*G3035*H3035),0)</f>
        <v>691</v>
      </c>
      <c r="J3035" s="47"/>
      <c r="K3035" s="143"/>
    </row>
    <row r="3036" spans="2:11" ht="24.9" customHeight="1" thickBot="1" x14ac:dyDescent="0.25">
      <c r="B3036" s="673"/>
      <c r="C3036" s="108" t="str">
        <f>+'LISTA DE INSUMOS'!A650</f>
        <v>MAT666</v>
      </c>
      <c r="D3036" s="139" t="str">
        <f>+'LISTA DE INSUMOS'!B650</f>
        <v>Soldadura liquida para PVC 1/4 GL</v>
      </c>
      <c r="E3036" s="108" t="str">
        <f>+'LISTA DE INSUMOS'!C650</f>
        <v>Un</v>
      </c>
      <c r="F3036" s="152">
        <v>1.2E-2</v>
      </c>
      <c r="G3036" s="141">
        <f>'LISTA DE INSUMOS'!E650</f>
        <v>116100.56750324999</v>
      </c>
      <c r="H3036" s="108">
        <v>1.03</v>
      </c>
      <c r="I3036" s="141">
        <f>ROUND((F3036*G3036*H3036),0)</f>
        <v>1435</v>
      </c>
      <c r="J3036" s="47"/>
      <c r="K3036" s="143"/>
    </row>
    <row r="3037" spans="2:11" ht="24.9" customHeight="1" thickTop="1" thickBot="1" x14ac:dyDescent="0.25">
      <c r="B3037" s="191" t="s">
        <v>1310</v>
      </c>
      <c r="C3037" s="108" t="str">
        <f>+B574</f>
        <v>ITE96</v>
      </c>
      <c r="D3037" s="139" t="str">
        <f>+D574</f>
        <v>Mortero 1:3 (producción)</v>
      </c>
      <c r="E3037" s="108" t="str">
        <f>+E574</f>
        <v>M3</v>
      </c>
      <c r="F3037" s="140">
        <v>4.0000000000000001E-3</v>
      </c>
      <c r="G3037" s="141">
        <f>G574</f>
        <v>580906</v>
      </c>
      <c r="H3037" s="108">
        <v>1.05</v>
      </c>
      <c r="I3037" s="141">
        <f>ROUND((F3037*G3037*H3037),0)</f>
        <v>2440</v>
      </c>
      <c r="J3037" s="47"/>
      <c r="K3037" s="143"/>
    </row>
    <row r="3038" spans="2:11" ht="24.9" customHeight="1" thickTop="1" thickBot="1" x14ac:dyDescent="0.25">
      <c r="B3038" s="250" t="s">
        <v>1034</v>
      </c>
      <c r="C3038" s="108" t="str">
        <f>+'LISTA DE INSUMOS'!A5</f>
        <v>MOB002</v>
      </c>
      <c r="D3038" s="139" t="str">
        <f>+'LISTA DE INSUMOS'!B5</f>
        <v>Oficial (jornal + prestaciones)</v>
      </c>
      <c r="E3038" s="108" t="str">
        <f>+'LISTA DE INSUMOS'!C5</f>
        <v>Día</v>
      </c>
      <c r="F3038" s="140">
        <v>1</v>
      </c>
      <c r="G3038" s="141">
        <f>'LISTA DE INSUMOS'!E5</f>
        <v>163723</v>
      </c>
      <c r="H3038" s="108">
        <f>1/30</f>
        <v>3.3333333333333333E-2</v>
      </c>
      <c r="I3038" s="141">
        <f>ROUND((F3038*G3038*H3038),0)</f>
        <v>5457</v>
      </c>
      <c r="J3038" s="47"/>
      <c r="K3038" s="143"/>
    </row>
    <row r="3039" spans="2:11" ht="24.9" customHeight="1" thickTop="1" thickBot="1" x14ac:dyDescent="0.25">
      <c r="B3039" s="150" t="s">
        <v>1033</v>
      </c>
      <c r="C3039" s="151" t="str">
        <f>+'LISTA DE INSUMOS'!A758</f>
        <v>EQU002</v>
      </c>
      <c r="D3039" s="146" t="str">
        <f>+'LISTA DE INSUMOS'!B758</f>
        <v>Herramienta menor (% mano obra)</v>
      </c>
      <c r="E3039" s="145" t="str">
        <f>+'LISTA DE INSUMOS'!C758</f>
        <v>%MO</v>
      </c>
      <c r="F3039" s="147">
        <v>0.1</v>
      </c>
      <c r="G3039" s="148">
        <f>I3038</f>
        <v>5457</v>
      </c>
      <c r="H3039" s="145">
        <v>0</v>
      </c>
      <c r="I3039" s="148">
        <f>ROUND((F3039*G3039),0)</f>
        <v>546</v>
      </c>
      <c r="J3039" s="47"/>
      <c r="K3039" s="143"/>
    </row>
    <row r="3040" spans="2:11" ht="24.9" customHeight="1" x14ac:dyDescent="0.2">
      <c r="B3040" s="117" t="s">
        <v>2321</v>
      </c>
      <c r="C3040" s="117"/>
      <c r="D3040" s="112" t="s">
        <v>2014</v>
      </c>
      <c r="E3040" s="117" t="s">
        <v>1412</v>
      </c>
      <c r="F3040" s="118"/>
      <c r="G3040" s="119">
        <f>ROUND(SUM(I3041:I3047),0)</f>
        <v>19170</v>
      </c>
      <c r="H3040" s="120"/>
      <c r="I3040" s="119"/>
      <c r="J3040" s="47"/>
      <c r="K3040" s="143"/>
    </row>
    <row r="3041" spans="2:11" ht="24.9" customHeight="1" x14ac:dyDescent="0.2">
      <c r="B3041" s="672" t="s">
        <v>1035</v>
      </c>
      <c r="C3041" s="108" t="str">
        <f>+'LISTA DE INSUMOS'!A124</f>
        <v>MAT082</v>
      </c>
      <c r="D3041" s="139" t="str">
        <f>+'LISTA DE INSUMOS'!B124</f>
        <v>Tubería PVC presión de 1"    rde 21</v>
      </c>
      <c r="E3041" s="108" t="str">
        <f>+'LISTA DE INSUMOS'!C124</f>
        <v>M</v>
      </c>
      <c r="F3041" s="140">
        <v>1</v>
      </c>
      <c r="G3041" s="141">
        <f>'LISTA DE INSUMOS'!E124</f>
        <v>6822.4313015627995</v>
      </c>
      <c r="H3041" s="108">
        <v>1.05</v>
      </c>
      <c r="I3041" s="141">
        <f>ROUND((F3041*G3041*H3041),0)</f>
        <v>7164</v>
      </c>
      <c r="J3041" s="47"/>
      <c r="K3041" s="143"/>
    </row>
    <row r="3042" spans="2:11" ht="24.9" customHeight="1" x14ac:dyDescent="0.2">
      <c r="B3042" s="672"/>
      <c r="C3042" s="108" t="str">
        <f>+'LISTA DE INSUMOS'!A127</f>
        <v>MAT085</v>
      </c>
      <c r="D3042" s="139" t="str">
        <f>+'LISTA DE INSUMOS'!B127</f>
        <v>Accesorios PVC presión</v>
      </c>
      <c r="E3042" s="108" t="str">
        <f>+'LISTA DE INSUMOS'!C127</f>
        <v>%Tub</v>
      </c>
      <c r="F3042" s="140">
        <v>0.25</v>
      </c>
      <c r="G3042" s="141">
        <f>I3041</f>
        <v>7164</v>
      </c>
      <c r="H3042" s="108">
        <v>0</v>
      </c>
      <c r="I3042" s="141">
        <f>ROUND((F3042*G3042),0)</f>
        <v>1791</v>
      </c>
      <c r="J3042" s="47"/>
      <c r="K3042" s="143"/>
    </row>
    <row r="3043" spans="2:11" ht="24.9" customHeight="1" x14ac:dyDescent="0.2">
      <c r="B3043" s="672"/>
      <c r="C3043" s="108" t="str">
        <f>+'LISTA DE INSUMOS'!A651</f>
        <v>MAT667</v>
      </c>
      <c r="D3043" s="139" t="str">
        <f>+'LISTA DE INSUMOS'!B651</f>
        <v>Limpiador removedor PVC 1/4</v>
      </c>
      <c r="E3043" s="108" t="str">
        <f>+'LISTA DE INSUMOS'!C651</f>
        <v>Un</v>
      </c>
      <c r="F3043" s="152">
        <v>0.01</v>
      </c>
      <c r="G3043" s="141">
        <f>'LISTA DE INSUMOS'!E651</f>
        <v>55927.469152499994</v>
      </c>
      <c r="H3043" s="108">
        <v>1.03</v>
      </c>
      <c r="I3043" s="141">
        <f>ROUND((F3043*G3043*H3043),0)</f>
        <v>576</v>
      </c>
      <c r="J3043" s="47"/>
      <c r="K3043" s="143"/>
    </row>
    <row r="3044" spans="2:11" ht="24.9" customHeight="1" thickBot="1" x14ac:dyDescent="0.25">
      <c r="B3044" s="673"/>
      <c r="C3044" s="108" t="str">
        <f>+'LISTA DE INSUMOS'!A650</f>
        <v>MAT666</v>
      </c>
      <c r="D3044" s="139" t="str">
        <f>+'LISTA DE INSUMOS'!B650</f>
        <v>Soldadura liquida para PVC 1/4 GL</v>
      </c>
      <c r="E3044" s="108" t="str">
        <f>+'LISTA DE INSUMOS'!C650</f>
        <v>Un</v>
      </c>
      <c r="F3044" s="152">
        <v>0.01</v>
      </c>
      <c r="G3044" s="141">
        <f>'LISTA DE INSUMOS'!E650</f>
        <v>116100.56750324999</v>
      </c>
      <c r="H3044" s="108">
        <v>1.03</v>
      </c>
      <c r="I3044" s="141">
        <f>ROUND((F3044*G3044*H3044),0)</f>
        <v>1196</v>
      </c>
      <c r="J3044" s="47"/>
      <c r="K3044" s="143"/>
    </row>
    <row r="3045" spans="2:11" ht="24.9" customHeight="1" thickTop="1" thickBot="1" x14ac:dyDescent="0.25">
      <c r="B3045" s="191" t="s">
        <v>1310</v>
      </c>
      <c r="C3045" s="108" t="str">
        <f>+B574</f>
        <v>ITE96</v>
      </c>
      <c r="D3045" s="139" t="str">
        <f>+D574</f>
        <v>Mortero 1:3 (producción)</v>
      </c>
      <c r="E3045" s="108" t="str">
        <f>+E574</f>
        <v>M3</v>
      </c>
      <c r="F3045" s="140">
        <v>4.0000000000000001E-3</v>
      </c>
      <c r="G3045" s="141">
        <f>G574</f>
        <v>580906</v>
      </c>
      <c r="H3045" s="108">
        <v>1.05</v>
      </c>
      <c r="I3045" s="141">
        <f>ROUND((F3045*G3045*H3045),0)</f>
        <v>2440</v>
      </c>
      <c r="J3045" s="47"/>
      <c r="K3045" s="143"/>
    </row>
    <row r="3046" spans="2:11" ht="24.9" customHeight="1" thickTop="1" thickBot="1" x14ac:dyDescent="0.25">
      <c r="B3046" s="250" t="s">
        <v>1034</v>
      </c>
      <c r="C3046" s="108" t="str">
        <f>+'LISTA DE INSUMOS'!A5</f>
        <v>MOB002</v>
      </c>
      <c r="D3046" s="139" t="str">
        <f>+'LISTA DE INSUMOS'!B5</f>
        <v>Oficial (jornal + prestaciones)</v>
      </c>
      <c r="E3046" s="108" t="str">
        <f>+'LISTA DE INSUMOS'!C5</f>
        <v>Día</v>
      </c>
      <c r="F3046" s="140">
        <v>1</v>
      </c>
      <c r="G3046" s="141">
        <f>'LISTA DE INSUMOS'!E5</f>
        <v>163723</v>
      </c>
      <c r="H3046" s="108">
        <f>1/30</f>
        <v>3.3333333333333333E-2</v>
      </c>
      <c r="I3046" s="141">
        <f>ROUND((F3046*G3046*H3046),0)</f>
        <v>5457</v>
      </c>
      <c r="J3046" s="47"/>
      <c r="K3046" s="143"/>
    </row>
    <row r="3047" spans="2:11" ht="24.9" customHeight="1" thickTop="1" thickBot="1" x14ac:dyDescent="0.25">
      <c r="B3047" s="150" t="s">
        <v>1033</v>
      </c>
      <c r="C3047" s="151" t="str">
        <f>+'LISTA DE INSUMOS'!A758</f>
        <v>EQU002</v>
      </c>
      <c r="D3047" s="146" t="str">
        <f>+'LISTA DE INSUMOS'!B758</f>
        <v>Herramienta menor (% mano obra)</v>
      </c>
      <c r="E3047" s="145" t="str">
        <f>+'LISTA DE INSUMOS'!C758</f>
        <v>%MO</v>
      </c>
      <c r="F3047" s="147">
        <v>0.1</v>
      </c>
      <c r="G3047" s="148">
        <f>I3046</f>
        <v>5457</v>
      </c>
      <c r="H3047" s="145">
        <v>0</v>
      </c>
      <c r="I3047" s="148">
        <f>ROUND((F3047*G3047),0)</f>
        <v>546</v>
      </c>
      <c r="J3047" s="47"/>
      <c r="K3047" s="143"/>
    </row>
    <row r="3048" spans="2:11" ht="24.9" customHeight="1" x14ac:dyDescent="0.2">
      <c r="B3048" s="117" t="s">
        <v>1426</v>
      </c>
      <c r="C3048" s="117"/>
      <c r="D3048" s="112" t="s">
        <v>2018</v>
      </c>
      <c r="E3048" s="117" t="s">
        <v>1412</v>
      </c>
      <c r="F3048" s="118"/>
      <c r="G3048" s="119">
        <f>ROUND(SUM(I3049:I3055),0)</f>
        <v>11363</v>
      </c>
      <c r="H3048" s="120"/>
      <c r="I3048" s="119"/>
      <c r="J3048" s="47"/>
      <c r="K3048" s="143"/>
    </row>
    <row r="3049" spans="2:11" ht="24.9" customHeight="1" x14ac:dyDescent="0.2">
      <c r="B3049" s="672" t="s">
        <v>1035</v>
      </c>
      <c r="C3049" s="108" t="str">
        <f>+'LISTA DE INSUMOS'!A104</f>
        <v>MAT064</v>
      </c>
      <c r="D3049" s="139" t="str">
        <f>+'LISTA DE INSUMOS'!B104</f>
        <v>Tubería PVC presión de 3/4" rde 21</v>
      </c>
      <c r="E3049" s="108" t="str">
        <f>+'LISTA DE INSUMOS'!C104</f>
        <v>M</v>
      </c>
      <c r="F3049" s="140">
        <v>1</v>
      </c>
      <c r="G3049" s="141">
        <f>'LISTA DE INSUMOS'!E104</f>
        <v>4346.137670784</v>
      </c>
      <c r="H3049" s="108">
        <v>1.05</v>
      </c>
      <c r="I3049" s="141">
        <f>ROUND((F3049*G3049*H3049),0)</f>
        <v>4563</v>
      </c>
      <c r="J3049" s="47"/>
      <c r="K3049" s="143"/>
    </row>
    <row r="3050" spans="2:11" ht="24.9" customHeight="1" x14ac:dyDescent="0.2">
      <c r="B3050" s="672"/>
      <c r="C3050" s="108" t="str">
        <f>+'LISTA DE INSUMOS'!A127</f>
        <v>MAT085</v>
      </c>
      <c r="D3050" s="139" t="str">
        <f>+'LISTA DE INSUMOS'!B127</f>
        <v>Accesorios PVC presión</v>
      </c>
      <c r="E3050" s="108" t="str">
        <f>+'LISTA DE INSUMOS'!C127</f>
        <v>%Tub</v>
      </c>
      <c r="F3050" s="140">
        <v>0.25</v>
      </c>
      <c r="G3050" s="141">
        <f>I3049</f>
        <v>4563</v>
      </c>
      <c r="H3050" s="108">
        <v>0</v>
      </c>
      <c r="I3050" s="141">
        <f>ROUND((F3050*G3050),0)</f>
        <v>1141</v>
      </c>
      <c r="J3050" s="47"/>
      <c r="K3050" s="143"/>
    </row>
    <row r="3051" spans="2:11" ht="24.9" customHeight="1" x14ac:dyDescent="0.2">
      <c r="B3051" s="672"/>
      <c r="C3051" s="108" t="str">
        <f>+'LISTA DE INSUMOS'!A651</f>
        <v>MAT667</v>
      </c>
      <c r="D3051" s="139" t="str">
        <f>+'LISTA DE INSUMOS'!B651</f>
        <v>Limpiador removedor PVC 1/4</v>
      </c>
      <c r="E3051" s="108" t="str">
        <f>+'LISTA DE INSUMOS'!C651</f>
        <v>Un</v>
      </c>
      <c r="F3051" s="152">
        <v>8.0000000000000002E-3</v>
      </c>
      <c r="G3051" s="141">
        <f>'LISTA DE INSUMOS'!E651</f>
        <v>55927.469152499994</v>
      </c>
      <c r="H3051" s="108">
        <v>1.03</v>
      </c>
      <c r="I3051" s="141">
        <f>ROUND((F3051*G3051*H3051),0)</f>
        <v>461</v>
      </c>
      <c r="J3051" s="47"/>
      <c r="K3051" s="143"/>
    </row>
    <row r="3052" spans="2:11" ht="24.9" customHeight="1" thickBot="1" x14ac:dyDescent="0.25">
      <c r="B3052" s="673"/>
      <c r="C3052" s="108" t="str">
        <f>+'LISTA DE INSUMOS'!A650</f>
        <v>MAT666</v>
      </c>
      <c r="D3052" s="139" t="str">
        <f>+'LISTA DE INSUMOS'!B650</f>
        <v>Soldadura liquida para PVC 1/4 GL</v>
      </c>
      <c r="E3052" s="108" t="str">
        <f>+'LISTA DE INSUMOS'!C650</f>
        <v>Un</v>
      </c>
      <c r="F3052" s="152">
        <v>8.0000000000000002E-3</v>
      </c>
      <c r="G3052" s="141">
        <f>'LISTA DE INSUMOS'!E650</f>
        <v>116100.56750324999</v>
      </c>
      <c r="H3052" s="108">
        <v>1.03</v>
      </c>
      <c r="I3052" s="141">
        <f>ROUND((F3052*G3052*H3052),0)</f>
        <v>957</v>
      </c>
      <c r="J3052" s="47"/>
      <c r="K3052" s="143"/>
    </row>
    <row r="3053" spans="2:11" ht="24.9" customHeight="1" thickTop="1" thickBot="1" x14ac:dyDescent="0.25">
      <c r="B3053" s="191" t="s">
        <v>1310</v>
      </c>
      <c r="C3053" s="108" t="str">
        <f>+B574</f>
        <v>ITE96</v>
      </c>
      <c r="D3053" s="139" t="str">
        <f>+D574</f>
        <v>Mortero 1:3 (producción)</v>
      </c>
      <c r="E3053" s="108" t="str">
        <f>+E574</f>
        <v>M3</v>
      </c>
      <c r="F3053" s="152">
        <v>4.0000000000000001E-3</v>
      </c>
      <c r="G3053" s="141">
        <f>G574</f>
        <v>580906</v>
      </c>
      <c r="H3053" s="108">
        <v>1.05</v>
      </c>
      <c r="I3053" s="141">
        <f>ROUND((F3053*G3053*H3053),0)</f>
        <v>2440</v>
      </c>
      <c r="J3053" s="47"/>
      <c r="K3053" s="143"/>
    </row>
    <row r="3054" spans="2:11" ht="24.9" customHeight="1" thickTop="1" thickBot="1" x14ac:dyDescent="0.25">
      <c r="B3054" s="250" t="s">
        <v>1034</v>
      </c>
      <c r="C3054" s="108" t="str">
        <f>+'LISTA DE INSUMOS'!A5</f>
        <v>MOB002</v>
      </c>
      <c r="D3054" s="139" t="str">
        <f>+'LISTA DE INSUMOS'!B5</f>
        <v>Oficial (jornal + prestaciones)</v>
      </c>
      <c r="E3054" s="108" t="str">
        <f>+'LISTA DE INSUMOS'!C5</f>
        <v>Día</v>
      </c>
      <c r="F3054" s="140">
        <v>1</v>
      </c>
      <c r="G3054" s="141">
        <f>'LISTA DE INSUMOS'!E5</f>
        <v>163723</v>
      </c>
      <c r="H3054" s="108">
        <v>0.01</v>
      </c>
      <c r="I3054" s="141">
        <f>ROUND((F3054*G3054*H3054),0)</f>
        <v>1637</v>
      </c>
      <c r="J3054" s="47"/>
      <c r="K3054" s="143"/>
    </row>
    <row r="3055" spans="2:11" ht="24.9" customHeight="1" thickTop="1" thickBot="1" x14ac:dyDescent="0.25">
      <c r="B3055" s="150" t="s">
        <v>1033</v>
      </c>
      <c r="C3055" s="151" t="str">
        <f>+'LISTA DE INSUMOS'!A758</f>
        <v>EQU002</v>
      </c>
      <c r="D3055" s="146" t="str">
        <f>+'LISTA DE INSUMOS'!B758</f>
        <v>Herramienta menor (% mano obra)</v>
      </c>
      <c r="E3055" s="145" t="str">
        <f>+'LISTA DE INSUMOS'!C758</f>
        <v>%MO</v>
      </c>
      <c r="F3055" s="147">
        <v>0.1</v>
      </c>
      <c r="G3055" s="148">
        <f>I3054</f>
        <v>1637</v>
      </c>
      <c r="H3055" s="145">
        <v>0</v>
      </c>
      <c r="I3055" s="148">
        <f>ROUND((F3055*G3055),0)</f>
        <v>164</v>
      </c>
      <c r="J3055" s="47"/>
      <c r="K3055" s="143"/>
    </row>
    <row r="3056" spans="2:11" ht="24.9" customHeight="1" x14ac:dyDescent="0.2">
      <c r="B3056" s="117" t="s">
        <v>1464</v>
      </c>
      <c r="C3056" s="117"/>
      <c r="D3056" s="112" t="s">
        <v>2016</v>
      </c>
      <c r="E3056" s="117" t="s">
        <v>1412</v>
      </c>
      <c r="F3056" s="118"/>
      <c r="G3056" s="119">
        <f>ROUND(SUM(I3057:I3063),0)</f>
        <v>12005</v>
      </c>
      <c r="H3056" s="120"/>
      <c r="I3056" s="119"/>
      <c r="J3056" s="47"/>
      <c r="K3056" s="143"/>
    </row>
    <row r="3057" spans="2:11" ht="24.9" customHeight="1" x14ac:dyDescent="0.2">
      <c r="B3057" s="672" t="s">
        <v>1035</v>
      </c>
      <c r="C3057" s="108" t="str">
        <f>+'LISTA DE INSUMOS'!A122</f>
        <v>MAT080</v>
      </c>
      <c r="D3057" s="139" t="str">
        <f>+'LISTA DE INSUMOS'!B122</f>
        <v>Tubería PVC presión de 1/2" rde   9</v>
      </c>
      <c r="E3057" s="108" t="str">
        <f>+'LISTA DE INSUMOS'!C122</f>
        <v>M</v>
      </c>
      <c r="F3057" s="140">
        <v>1</v>
      </c>
      <c r="G3057" s="141">
        <f>'LISTA DE INSUMOS'!E122</f>
        <v>5104.989859199999</v>
      </c>
      <c r="H3057" s="108">
        <v>1.05</v>
      </c>
      <c r="I3057" s="141">
        <f>ROUND((F3057*G3057*H3057),0)</f>
        <v>5360</v>
      </c>
      <c r="J3057" s="47"/>
      <c r="K3057" s="143"/>
    </row>
    <row r="3058" spans="2:11" ht="24.9" customHeight="1" x14ac:dyDescent="0.2">
      <c r="B3058" s="672"/>
      <c r="C3058" s="108" t="str">
        <f>+'LISTA DE INSUMOS'!A127</f>
        <v>MAT085</v>
      </c>
      <c r="D3058" s="139" t="str">
        <f>+'LISTA DE INSUMOS'!B127</f>
        <v>Accesorios PVC presión</v>
      </c>
      <c r="E3058" s="108" t="str">
        <f>+'LISTA DE INSUMOS'!C127</f>
        <v>%Tub</v>
      </c>
      <c r="F3058" s="140">
        <v>0.25</v>
      </c>
      <c r="G3058" s="141">
        <f>I3057</f>
        <v>5360</v>
      </c>
      <c r="H3058" s="108">
        <v>0</v>
      </c>
      <c r="I3058" s="141">
        <f>ROUND((F3058*G3058),0)</f>
        <v>1340</v>
      </c>
      <c r="J3058" s="47"/>
      <c r="K3058" s="143"/>
    </row>
    <row r="3059" spans="2:11" ht="24.9" customHeight="1" x14ac:dyDescent="0.2">
      <c r="B3059" s="672"/>
      <c r="C3059" s="108" t="str">
        <f>+'LISTA DE INSUMOS'!A651</f>
        <v>MAT667</v>
      </c>
      <c r="D3059" s="139" t="str">
        <f>+'LISTA DE INSUMOS'!B651</f>
        <v>Limpiador removedor PVC 1/4</v>
      </c>
      <c r="E3059" s="108" t="str">
        <f>+'LISTA DE INSUMOS'!C651</f>
        <v>Un</v>
      </c>
      <c r="F3059" s="152">
        <v>6.0000000000000001E-3</v>
      </c>
      <c r="G3059" s="141">
        <f>'LISTA DE INSUMOS'!E651</f>
        <v>55927.469152499994</v>
      </c>
      <c r="H3059" s="108">
        <v>1.03</v>
      </c>
      <c r="I3059" s="141">
        <f>ROUND((F3059*G3059*H3059),0)</f>
        <v>346</v>
      </c>
      <c r="J3059" s="47"/>
      <c r="K3059" s="143"/>
    </row>
    <row r="3060" spans="2:11" ht="24.9" customHeight="1" thickBot="1" x14ac:dyDescent="0.25">
      <c r="B3060" s="673"/>
      <c r="C3060" s="108" t="str">
        <f>+'LISTA DE INSUMOS'!A650</f>
        <v>MAT666</v>
      </c>
      <c r="D3060" s="139" t="str">
        <f>+'LISTA DE INSUMOS'!B650</f>
        <v>Soldadura liquida para PVC 1/4 GL</v>
      </c>
      <c r="E3060" s="108" t="str">
        <f>+'LISTA DE INSUMOS'!C650</f>
        <v>Un</v>
      </c>
      <c r="F3060" s="152">
        <v>6.0000000000000001E-3</v>
      </c>
      <c r="G3060" s="141">
        <f>'LISTA DE INSUMOS'!E650</f>
        <v>116100.56750324999</v>
      </c>
      <c r="H3060" s="108">
        <v>1.03</v>
      </c>
      <c r="I3060" s="141">
        <f>ROUND((F3060*G3060*H3060),0)</f>
        <v>718</v>
      </c>
      <c r="J3060" s="47"/>
      <c r="K3060" s="143"/>
    </row>
    <row r="3061" spans="2:11" ht="24.9" customHeight="1" thickTop="1" thickBot="1" x14ac:dyDescent="0.25">
      <c r="B3061" s="191" t="s">
        <v>1310</v>
      </c>
      <c r="C3061" s="108" t="str">
        <f>+B574</f>
        <v>ITE96</v>
      </c>
      <c r="D3061" s="139" t="str">
        <f>+D574</f>
        <v>Mortero 1:3 (producción)</v>
      </c>
      <c r="E3061" s="108" t="str">
        <f>+E574</f>
        <v>M3</v>
      </c>
      <c r="F3061" s="152">
        <v>4.0000000000000001E-3</v>
      </c>
      <c r="G3061" s="141">
        <f>G574</f>
        <v>580906</v>
      </c>
      <c r="H3061" s="108">
        <v>1.05</v>
      </c>
      <c r="I3061" s="141">
        <f>ROUND((F3061*G3061*H3061),0)</f>
        <v>2440</v>
      </c>
      <c r="J3061" s="47"/>
      <c r="K3061" s="143"/>
    </row>
    <row r="3062" spans="2:11" ht="24.9" customHeight="1" thickTop="1" thickBot="1" x14ac:dyDescent="0.25">
      <c r="B3062" s="250" t="s">
        <v>1034</v>
      </c>
      <c r="C3062" s="108" t="str">
        <f>+'LISTA DE INSUMOS'!A5</f>
        <v>MOB002</v>
      </c>
      <c r="D3062" s="139" t="str">
        <f>+'LISTA DE INSUMOS'!B5</f>
        <v>Oficial (jornal + prestaciones)</v>
      </c>
      <c r="E3062" s="108" t="str">
        <f>+'LISTA DE INSUMOS'!C5</f>
        <v>Día</v>
      </c>
      <c r="F3062" s="140">
        <v>1</v>
      </c>
      <c r="G3062" s="141">
        <f>'LISTA DE INSUMOS'!E5</f>
        <v>163723</v>
      </c>
      <c r="H3062" s="108">
        <v>0.01</v>
      </c>
      <c r="I3062" s="141">
        <f>ROUND((F3062*G3062*H3062),0)</f>
        <v>1637</v>
      </c>
      <c r="J3062" s="47"/>
      <c r="K3062" s="143"/>
    </row>
    <row r="3063" spans="2:11" ht="24.9" customHeight="1" thickTop="1" thickBot="1" x14ac:dyDescent="0.25">
      <c r="B3063" s="150" t="s">
        <v>1033</v>
      </c>
      <c r="C3063" s="151" t="str">
        <f>+'LISTA DE INSUMOS'!A758</f>
        <v>EQU002</v>
      </c>
      <c r="D3063" s="146" t="str">
        <f>+'LISTA DE INSUMOS'!B758</f>
        <v>Herramienta menor (% mano obra)</v>
      </c>
      <c r="E3063" s="145" t="str">
        <f>+'LISTA DE INSUMOS'!C758</f>
        <v>%MO</v>
      </c>
      <c r="F3063" s="147">
        <v>0.1</v>
      </c>
      <c r="G3063" s="148">
        <f>I3062</f>
        <v>1637</v>
      </c>
      <c r="H3063" s="145">
        <v>0</v>
      </c>
      <c r="I3063" s="148">
        <f>ROUND((F3063*G3063),0)</f>
        <v>164</v>
      </c>
      <c r="J3063" s="47"/>
      <c r="K3063" s="143"/>
    </row>
    <row r="3064" spans="2:11" ht="24.9" customHeight="1" x14ac:dyDescent="0.2">
      <c r="B3064" s="117" t="s">
        <v>1550</v>
      </c>
      <c r="C3064" s="117"/>
      <c r="D3064" s="112" t="s">
        <v>1995</v>
      </c>
      <c r="E3064" s="117" t="s">
        <v>1412</v>
      </c>
      <c r="F3064" s="118"/>
      <c r="G3064" s="119">
        <f>ROUND(SUM(I3065:I3066),0)</f>
        <v>8204</v>
      </c>
      <c r="H3064" s="120"/>
      <c r="I3064" s="119"/>
      <c r="J3064" s="47"/>
      <c r="K3064" s="143"/>
    </row>
    <row r="3065" spans="2:11" ht="24.9" customHeight="1" thickBot="1" x14ac:dyDescent="0.25">
      <c r="B3065" s="175" t="s">
        <v>1325</v>
      </c>
      <c r="C3065" s="108" t="str">
        <f>+'LISTA DE INSUMOS'!A189</f>
        <v>MAT145</v>
      </c>
      <c r="D3065" s="139" t="str">
        <f>+'LISTA DE INSUMOS'!B189</f>
        <v>Tubería PF + UAD 1/2" (manguera)</v>
      </c>
      <c r="E3065" s="108" t="str">
        <f>+'LISTA DE INSUMOS'!C189</f>
        <v>M</v>
      </c>
      <c r="F3065" s="140">
        <v>1</v>
      </c>
      <c r="G3065" s="141">
        <f>'LISTA DE INSUMOS'!E189</f>
        <v>3914.8795562368796</v>
      </c>
      <c r="H3065" s="108">
        <v>1.05</v>
      </c>
      <c r="I3065" s="141">
        <f>ROUND((F3065*G3065*H3065),0)</f>
        <v>4111</v>
      </c>
      <c r="J3065" s="47"/>
      <c r="K3065" s="143"/>
    </row>
    <row r="3066" spans="2:11" ht="24.9" customHeight="1" thickTop="1" thickBot="1" x14ac:dyDescent="0.25">
      <c r="B3066" s="153" t="s">
        <v>1034</v>
      </c>
      <c r="C3066" s="145" t="str">
        <f>+'LISTA DE INSUMOS'!A5</f>
        <v>MOB002</v>
      </c>
      <c r="D3066" s="146" t="str">
        <f>+'LISTA DE INSUMOS'!B5</f>
        <v>Oficial (jornal + prestaciones)</v>
      </c>
      <c r="E3066" s="145" t="str">
        <f>+'LISTA DE INSUMOS'!C5</f>
        <v>Día</v>
      </c>
      <c r="F3066" s="147">
        <v>1</v>
      </c>
      <c r="G3066" s="148">
        <f>'LISTA DE INSUMOS'!E5</f>
        <v>163723</v>
      </c>
      <c r="H3066" s="145">
        <f>1/40</f>
        <v>2.5000000000000001E-2</v>
      </c>
      <c r="I3066" s="148">
        <f>ROUND((F3066*G3066*H3066),0)</f>
        <v>4093</v>
      </c>
      <c r="J3066" s="47"/>
      <c r="K3066" s="143"/>
    </row>
    <row r="3067" spans="2:11" s="317" customFormat="1" ht="24.9" hidden="1" customHeight="1" x14ac:dyDescent="0.2">
      <c r="B3067" s="319" t="s">
        <v>1605</v>
      </c>
      <c r="C3067" s="319"/>
      <c r="D3067" s="320" t="s">
        <v>303</v>
      </c>
      <c r="E3067" s="319" t="s">
        <v>1412</v>
      </c>
      <c r="F3067" s="321"/>
      <c r="G3067" s="312">
        <f>ROUND(SUM(I3068:I3071),0)</f>
        <v>201902</v>
      </c>
      <c r="H3067" s="322"/>
      <c r="I3067" s="312"/>
      <c r="J3067" s="313"/>
      <c r="K3067" s="323"/>
    </row>
    <row r="3068" spans="2:11" s="317" customFormat="1" ht="24.9" hidden="1" customHeight="1" x14ac:dyDescent="0.2">
      <c r="B3068" s="658" t="s">
        <v>1325</v>
      </c>
      <c r="C3068" s="322" t="str">
        <f>+'LISTA DE INSUMOS'!A407</f>
        <v>MAT418</v>
      </c>
      <c r="D3068" s="324" t="str">
        <f>+'LISTA DE INSUMOS'!B407</f>
        <v>Tubería PVC acueducto unión platino de 8" rde 21</v>
      </c>
      <c r="E3068" s="322" t="str">
        <f>+'LISTA DE INSUMOS'!C407</f>
        <v>M</v>
      </c>
      <c r="F3068" s="325">
        <v>1</v>
      </c>
      <c r="G3068" s="312">
        <f>'LISTA DE INSUMOS'!E407</f>
        <v>170880.44694814499</v>
      </c>
      <c r="H3068" s="322">
        <v>1.05</v>
      </c>
      <c r="I3068" s="312">
        <f>ROUND((F3068*G3068*H3068),0)</f>
        <v>179424</v>
      </c>
      <c r="J3068" s="313"/>
      <c r="K3068" s="323"/>
    </row>
    <row r="3069" spans="2:11" s="317" customFormat="1" ht="24.9" hidden="1" customHeight="1" thickBot="1" x14ac:dyDescent="0.25">
      <c r="B3069" s="668"/>
      <c r="C3069" s="322" t="str">
        <f>+'LISTA DE INSUMOS'!A127</f>
        <v>MAT085</v>
      </c>
      <c r="D3069" s="324" t="str">
        <f>+'LISTA DE INSUMOS'!B127</f>
        <v>Accesorios PVC presión</v>
      </c>
      <c r="E3069" s="322" t="str">
        <f>+'LISTA DE INSUMOS'!C127</f>
        <v>%Tub</v>
      </c>
      <c r="F3069" s="325">
        <v>0.05</v>
      </c>
      <c r="G3069" s="312">
        <f>I3068</f>
        <v>179424</v>
      </c>
      <c r="H3069" s="322">
        <v>0</v>
      </c>
      <c r="I3069" s="312">
        <f>ROUND((F3069*G3069),0)</f>
        <v>8971</v>
      </c>
      <c r="J3069" s="313"/>
      <c r="K3069" s="323"/>
    </row>
    <row r="3070" spans="2:11" s="317" customFormat="1" ht="24.9" hidden="1" customHeight="1" thickTop="1" thickBot="1" x14ac:dyDescent="0.25">
      <c r="B3070" s="372" t="s">
        <v>1034</v>
      </c>
      <c r="C3070" s="322" t="str">
        <f>+'LISTA DE INSUMOS'!A18</f>
        <v>MOB015</v>
      </c>
      <c r="D3070" s="324" t="str">
        <f>+'LISTA DE INSUMOS'!B18</f>
        <v>Cuadrilla E 1 Of + 1 Ay (jornal + prestaciones)</v>
      </c>
      <c r="E3070" s="322" t="str">
        <f>+'LISTA DE INSUMOS'!C18</f>
        <v>Día</v>
      </c>
      <c r="F3070" s="325">
        <v>1</v>
      </c>
      <c r="G3070" s="312">
        <f>'LISTA DE INSUMOS'!E18</f>
        <v>245584</v>
      </c>
      <c r="H3070" s="322">
        <f>1/20</f>
        <v>0.05</v>
      </c>
      <c r="I3070" s="312">
        <f>ROUND((F3070*G3070*H3070),0)</f>
        <v>12279</v>
      </c>
      <c r="J3070" s="313"/>
      <c r="K3070" s="323"/>
    </row>
    <row r="3071" spans="2:11" s="317" customFormat="1" ht="24.9" hidden="1" customHeight="1" thickTop="1" thickBot="1" x14ac:dyDescent="0.25">
      <c r="B3071" s="255" t="s">
        <v>1033</v>
      </c>
      <c r="C3071" s="327" t="str">
        <f>+'LISTA DE INSUMOS'!A758</f>
        <v>EQU002</v>
      </c>
      <c r="D3071" s="328" t="str">
        <f>+'LISTA DE INSUMOS'!B758</f>
        <v>Herramienta menor (% mano obra)</v>
      </c>
      <c r="E3071" s="329" t="str">
        <f>+'LISTA DE INSUMOS'!C758</f>
        <v>%MO</v>
      </c>
      <c r="F3071" s="330">
        <v>0.1</v>
      </c>
      <c r="G3071" s="331">
        <f>I3070</f>
        <v>12279</v>
      </c>
      <c r="H3071" s="329">
        <v>0</v>
      </c>
      <c r="I3071" s="331">
        <f>ROUND((F3071*G3071),0)</f>
        <v>1228</v>
      </c>
      <c r="J3071" s="313"/>
      <c r="K3071" s="323"/>
    </row>
    <row r="3072" spans="2:11" ht="24.9" customHeight="1" x14ac:dyDescent="0.2">
      <c r="B3072" s="117" t="s">
        <v>1763</v>
      </c>
      <c r="C3072" s="117"/>
      <c r="D3072" s="112" t="s">
        <v>304</v>
      </c>
      <c r="E3072" s="117" t="s">
        <v>1412</v>
      </c>
      <c r="F3072" s="118"/>
      <c r="G3072" s="119">
        <f>ROUND(SUM(I3073:I3076),0)</f>
        <v>128336</v>
      </c>
      <c r="H3072" s="120"/>
      <c r="I3072" s="119"/>
      <c r="J3072" s="47"/>
      <c r="K3072" s="143"/>
    </row>
    <row r="3073" spans="2:11" ht="24.9" customHeight="1" x14ac:dyDescent="0.2">
      <c r="B3073" s="657" t="s">
        <v>1325</v>
      </c>
      <c r="C3073" s="108" t="str">
        <f>+'LISTA DE INSUMOS'!A406</f>
        <v>MAT417</v>
      </c>
      <c r="D3073" s="139" t="str">
        <f>+'LISTA DE INSUMOS'!B406</f>
        <v>Tubería PVC acueducto unión platino de 6" rde 21</v>
      </c>
      <c r="E3073" s="108" t="str">
        <f>+'LISTA DE INSUMOS'!C406</f>
        <v>M</v>
      </c>
      <c r="F3073" s="140">
        <v>1</v>
      </c>
      <c r="G3073" s="141">
        <f>'LISTA DE INSUMOS'!E406</f>
        <v>104153.17922624999</v>
      </c>
      <c r="H3073" s="108">
        <v>1.05</v>
      </c>
      <c r="I3073" s="141">
        <f>ROUND((F3073*G3073*H3073),0)</f>
        <v>109361</v>
      </c>
      <c r="J3073" s="47"/>
      <c r="K3073" s="143"/>
    </row>
    <row r="3074" spans="2:11" ht="24.9" customHeight="1" thickBot="1" x14ac:dyDescent="0.25">
      <c r="B3074" s="659"/>
      <c r="C3074" s="108" t="str">
        <f>+'LISTA DE INSUMOS'!A127</f>
        <v>MAT085</v>
      </c>
      <c r="D3074" s="139" t="str">
        <f>+'LISTA DE INSUMOS'!B127</f>
        <v>Accesorios PVC presión</v>
      </c>
      <c r="E3074" s="108" t="str">
        <f>+'LISTA DE INSUMOS'!C127</f>
        <v>%Tub</v>
      </c>
      <c r="F3074" s="140">
        <v>0.05</v>
      </c>
      <c r="G3074" s="141">
        <f>I3073</f>
        <v>109361</v>
      </c>
      <c r="H3074" s="108">
        <v>0</v>
      </c>
      <c r="I3074" s="141">
        <f>ROUND((F3074*G3074),0)</f>
        <v>5468</v>
      </c>
      <c r="J3074" s="47"/>
      <c r="K3074" s="143"/>
    </row>
    <row r="3075" spans="2:11" ht="24.9" customHeight="1" thickTop="1" thickBot="1" x14ac:dyDescent="0.25">
      <c r="B3075" s="250" t="s">
        <v>1034</v>
      </c>
      <c r="C3075" s="108" t="str">
        <f>+'LISTA DE INSUMOS'!A18</f>
        <v>MOB015</v>
      </c>
      <c r="D3075" s="139" t="str">
        <f>+'LISTA DE INSUMOS'!B18</f>
        <v>Cuadrilla E 1 Of + 1 Ay (jornal + prestaciones)</v>
      </c>
      <c r="E3075" s="108" t="str">
        <f>+'LISTA DE INSUMOS'!C18</f>
        <v>Día</v>
      </c>
      <c r="F3075" s="140">
        <v>1</v>
      </c>
      <c r="G3075" s="141">
        <f>'LISTA DE INSUMOS'!E18</f>
        <v>245584</v>
      </c>
      <c r="H3075" s="108">
        <f>1/20</f>
        <v>0.05</v>
      </c>
      <c r="I3075" s="141">
        <f>ROUND((F3075*G3075*H3075),0)</f>
        <v>12279</v>
      </c>
      <c r="J3075" s="47"/>
      <c r="K3075" s="143"/>
    </row>
    <row r="3076" spans="2:11" ht="24.9" customHeight="1" thickTop="1" thickBot="1" x14ac:dyDescent="0.25">
      <c r="B3076" s="150" t="s">
        <v>1033</v>
      </c>
      <c r="C3076" s="151" t="str">
        <f>+'LISTA DE INSUMOS'!A758</f>
        <v>EQU002</v>
      </c>
      <c r="D3076" s="146" t="str">
        <f>+'LISTA DE INSUMOS'!B758</f>
        <v>Herramienta menor (% mano obra)</v>
      </c>
      <c r="E3076" s="145" t="str">
        <f>+'LISTA DE INSUMOS'!C758</f>
        <v>%MO</v>
      </c>
      <c r="F3076" s="147">
        <v>0.1</v>
      </c>
      <c r="G3076" s="148">
        <f>I3075</f>
        <v>12279</v>
      </c>
      <c r="H3076" s="145">
        <v>0</v>
      </c>
      <c r="I3076" s="148">
        <f>ROUND((F3076*G3076),0)</f>
        <v>1228</v>
      </c>
      <c r="J3076" s="47"/>
      <c r="K3076" s="143"/>
    </row>
    <row r="3077" spans="2:11" ht="24.9" customHeight="1" x14ac:dyDescent="0.2">
      <c r="B3077" s="117" t="s">
        <v>2322</v>
      </c>
      <c r="C3077" s="117"/>
      <c r="D3077" s="112" t="s">
        <v>305</v>
      </c>
      <c r="E3077" s="117" t="s">
        <v>1412</v>
      </c>
      <c r="F3077" s="118"/>
      <c r="G3077" s="119">
        <f>ROUND(SUM(I3078:I3081),0)</f>
        <v>62433</v>
      </c>
      <c r="H3077" s="120"/>
      <c r="I3077" s="119"/>
      <c r="J3077" s="47"/>
      <c r="K3077" s="143"/>
    </row>
    <row r="3078" spans="2:11" ht="24.9" customHeight="1" x14ac:dyDescent="0.2">
      <c r="B3078" s="657" t="s">
        <v>1325</v>
      </c>
      <c r="C3078" s="108" t="str">
        <f>+'LISTA DE INSUMOS'!A405</f>
        <v>MAT416</v>
      </c>
      <c r="D3078" s="139" t="str">
        <f>+'LISTA DE INSUMOS'!B405</f>
        <v>Tubería PVC acueducto unión platino de 4" rde 21</v>
      </c>
      <c r="E3078" s="108" t="str">
        <f>+'LISTA DE INSUMOS'!C405</f>
        <v>M</v>
      </c>
      <c r="F3078" s="140">
        <v>1</v>
      </c>
      <c r="G3078" s="141">
        <f>'LISTA DE INSUMOS'!E405</f>
        <v>47552.151215249993</v>
      </c>
      <c r="H3078" s="108">
        <v>1.05</v>
      </c>
      <c r="I3078" s="141">
        <f>ROUND((F3078*G3078*H3078),0)</f>
        <v>49930</v>
      </c>
      <c r="J3078" s="47"/>
      <c r="K3078" s="143"/>
    </row>
    <row r="3079" spans="2:11" ht="24.9" customHeight="1" thickBot="1" x14ac:dyDescent="0.25">
      <c r="B3079" s="659"/>
      <c r="C3079" s="108" t="str">
        <f>+'LISTA DE INSUMOS'!A127</f>
        <v>MAT085</v>
      </c>
      <c r="D3079" s="139" t="str">
        <f>+'LISTA DE INSUMOS'!B127</f>
        <v>Accesorios PVC presión</v>
      </c>
      <c r="E3079" s="108" t="str">
        <f>+'LISTA DE INSUMOS'!C127</f>
        <v>%Tub</v>
      </c>
      <c r="F3079" s="140">
        <v>0.05</v>
      </c>
      <c r="G3079" s="141">
        <f>I3078</f>
        <v>49930</v>
      </c>
      <c r="H3079" s="108">
        <v>0</v>
      </c>
      <c r="I3079" s="141">
        <f>ROUND((F3079*G3079),0)</f>
        <v>2497</v>
      </c>
      <c r="J3079" s="47"/>
      <c r="K3079" s="143"/>
    </row>
    <row r="3080" spans="2:11" ht="24.9" customHeight="1" thickTop="1" thickBot="1" x14ac:dyDescent="0.25">
      <c r="B3080" s="250" t="s">
        <v>1034</v>
      </c>
      <c r="C3080" s="108" t="str">
        <f>+'LISTA DE INSUMOS'!A18</f>
        <v>MOB015</v>
      </c>
      <c r="D3080" s="139" t="str">
        <f>+'LISTA DE INSUMOS'!B18</f>
        <v>Cuadrilla E 1 Of + 1 Ay (jornal + prestaciones)</v>
      </c>
      <c r="E3080" s="108" t="str">
        <f>+'LISTA DE INSUMOS'!C18</f>
        <v>Día</v>
      </c>
      <c r="F3080" s="140">
        <v>1</v>
      </c>
      <c r="G3080" s="141">
        <f>'LISTA DE INSUMOS'!E18</f>
        <v>245584</v>
      </c>
      <c r="H3080" s="108">
        <f>1/27</f>
        <v>3.7037037037037035E-2</v>
      </c>
      <c r="I3080" s="141">
        <f>ROUND((F3080*G3080*H3080),0)</f>
        <v>9096</v>
      </c>
      <c r="J3080" s="47"/>
      <c r="K3080" s="143"/>
    </row>
    <row r="3081" spans="2:11" ht="24.9" customHeight="1" thickTop="1" thickBot="1" x14ac:dyDescent="0.25">
      <c r="B3081" s="150" t="s">
        <v>1033</v>
      </c>
      <c r="C3081" s="151" t="str">
        <f>+'LISTA DE INSUMOS'!A758</f>
        <v>EQU002</v>
      </c>
      <c r="D3081" s="146" t="str">
        <f>+'LISTA DE INSUMOS'!B758</f>
        <v>Herramienta menor (% mano obra)</v>
      </c>
      <c r="E3081" s="145" t="str">
        <f>+'LISTA DE INSUMOS'!C758</f>
        <v>%MO</v>
      </c>
      <c r="F3081" s="147">
        <v>0.1</v>
      </c>
      <c r="G3081" s="148">
        <f>I3080</f>
        <v>9096</v>
      </c>
      <c r="H3081" s="145">
        <v>0</v>
      </c>
      <c r="I3081" s="148">
        <f>ROUND((F3081*G3081),0)</f>
        <v>910</v>
      </c>
      <c r="J3081" s="47"/>
      <c r="K3081" s="143"/>
    </row>
    <row r="3082" spans="2:11" ht="24.9" customHeight="1" x14ac:dyDescent="0.2">
      <c r="B3082" s="117" t="s">
        <v>2320</v>
      </c>
      <c r="C3082" s="117"/>
      <c r="D3082" s="112" t="s">
        <v>306</v>
      </c>
      <c r="E3082" s="117" t="s">
        <v>1412</v>
      </c>
      <c r="F3082" s="118"/>
      <c r="G3082" s="119">
        <f>ROUND(SUM(I3083:I3086),0)</f>
        <v>44152</v>
      </c>
      <c r="H3082" s="120"/>
      <c r="I3082" s="119"/>
      <c r="J3082" s="47"/>
      <c r="K3082" s="143"/>
    </row>
    <row r="3083" spans="2:11" ht="24.9" customHeight="1" x14ac:dyDescent="0.2">
      <c r="B3083" s="657" t="s">
        <v>1325</v>
      </c>
      <c r="C3083" s="108" t="str">
        <f>+'LISTA DE INSUMOS'!A404</f>
        <v>MAT415</v>
      </c>
      <c r="D3083" s="139" t="str">
        <f>+'LISTA DE INSUMOS'!B404</f>
        <v>Tubería PVC acueducto unión platino de 3" rde 21</v>
      </c>
      <c r="E3083" s="108" t="str">
        <f>+'LISTA DE INSUMOS'!C404</f>
        <v>M</v>
      </c>
      <c r="F3083" s="140">
        <v>1</v>
      </c>
      <c r="G3083" s="141">
        <f>'LISTA DE INSUMOS'!E404</f>
        <v>30971.450928164995</v>
      </c>
      <c r="H3083" s="108">
        <v>1.05</v>
      </c>
      <c r="I3083" s="141">
        <f>ROUND((F3083*G3083*H3083),0)</f>
        <v>32520</v>
      </c>
      <c r="J3083" s="47"/>
      <c r="K3083" s="143"/>
    </row>
    <row r="3084" spans="2:11" ht="24.9" customHeight="1" thickBot="1" x14ac:dyDescent="0.25">
      <c r="B3084" s="659"/>
      <c r="C3084" s="108" t="str">
        <f>+'LISTA DE INSUMOS'!A127</f>
        <v>MAT085</v>
      </c>
      <c r="D3084" s="139" t="str">
        <f>+'LISTA DE INSUMOS'!B127</f>
        <v>Accesorios PVC presión</v>
      </c>
      <c r="E3084" s="108" t="str">
        <f>+'LISTA DE INSUMOS'!C127</f>
        <v>%Tub</v>
      </c>
      <c r="F3084" s="140">
        <v>0.05</v>
      </c>
      <c r="G3084" s="141">
        <f>I3083</f>
        <v>32520</v>
      </c>
      <c r="H3084" s="108">
        <v>0</v>
      </c>
      <c r="I3084" s="141">
        <f>ROUND((F3084*G3084),0)</f>
        <v>1626</v>
      </c>
      <c r="J3084" s="47"/>
      <c r="K3084" s="143"/>
    </row>
    <row r="3085" spans="2:11" ht="24.9" customHeight="1" thickTop="1" thickBot="1" x14ac:dyDescent="0.25">
      <c r="B3085" s="250" t="s">
        <v>1034</v>
      </c>
      <c r="C3085" s="108" t="str">
        <f>+'LISTA DE INSUMOS'!A18</f>
        <v>MOB015</v>
      </c>
      <c r="D3085" s="139" t="str">
        <f>+'LISTA DE INSUMOS'!B18</f>
        <v>Cuadrilla E 1 Of + 1 Ay (jornal + prestaciones)</v>
      </c>
      <c r="E3085" s="108" t="str">
        <f>+'LISTA DE INSUMOS'!C18</f>
        <v>Día</v>
      </c>
      <c r="F3085" s="140">
        <v>1</v>
      </c>
      <c r="G3085" s="141">
        <f>'LISTA DE INSUMOS'!E18</f>
        <v>245584</v>
      </c>
      <c r="H3085" s="108">
        <f>1/27</f>
        <v>3.7037037037037035E-2</v>
      </c>
      <c r="I3085" s="141">
        <f>ROUND((F3085*G3085*H3085),0)</f>
        <v>9096</v>
      </c>
      <c r="J3085" s="47"/>
      <c r="K3085" s="143"/>
    </row>
    <row r="3086" spans="2:11" ht="24.9" customHeight="1" thickTop="1" thickBot="1" x14ac:dyDescent="0.25">
      <c r="B3086" s="150" t="s">
        <v>1033</v>
      </c>
      <c r="C3086" s="151" t="str">
        <f>+'LISTA DE INSUMOS'!A758</f>
        <v>EQU002</v>
      </c>
      <c r="D3086" s="146" t="str">
        <f>+'LISTA DE INSUMOS'!B758</f>
        <v>Herramienta menor (% mano obra)</v>
      </c>
      <c r="E3086" s="145" t="str">
        <f>+'LISTA DE INSUMOS'!C758</f>
        <v>%MO</v>
      </c>
      <c r="F3086" s="147">
        <v>0.1</v>
      </c>
      <c r="G3086" s="148">
        <f>I3085</f>
        <v>9096</v>
      </c>
      <c r="H3086" s="145">
        <v>0</v>
      </c>
      <c r="I3086" s="148">
        <f>ROUND((F3086*G3086),0)</f>
        <v>910</v>
      </c>
      <c r="J3086" s="47"/>
      <c r="K3086" s="143"/>
    </row>
    <row r="3087" spans="2:11" ht="24.9" customHeight="1" x14ac:dyDescent="0.2">
      <c r="B3087" s="117" t="s">
        <v>2323</v>
      </c>
      <c r="C3087" s="117"/>
      <c r="D3087" s="112" t="s">
        <v>307</v>
      </c>
      <c r="E3087" s="117" t="s">
        <v>1412</v>
      </c>
      <c r="F3087" s="118"/>
      <c r="G3087" s="119">
        <f>ROUND(SUM(I3088:I3091),0)</f>
        <v>41272</v>
      </c>
      <c r="H3087" s="120"/>
      <c r="I3087" s="119"/>
      <c r="J3087" s="47"/>
      <c r="K3087" s="143"/>
    </row>
    <row r="3088" spans="2:11" ht="24.9" customHeight="1" x14ac:dyDescent="0.2">
      <c r="B3088" s="657" t="s">
        <v>1325</v>
      </c>
      <c r="C3088" s="108" t="str">
        <f>+'LISTA DE INSUMOS'!A389</f>
        <v>MAT384</v>
      </c>
      <c r="D3088" s="139" t="str">
        <f>+'LISTA DE INSUMOS'!B389</f>
        <v>Tubería PVC acueducto unión platino de 2 1/2" red 21</v>
      </c>
      <c r="E3088" s="108" t="str">
        <f>+'LISTA DE INSUMOS'!C389</f>
        <v>M</v>
      </c>
      <c r="F3088" s="140">
        <v>1</v>
      </c>
      <c r="G3088" s="141">
        <f>'LISTA DE INSUMOS'!E389</f>
        <v>30433.376777759997</v>
      </c>
      <c r="H3088" s="108">
        <v>1.05</v>
      </c>
      <c r="I3088" s="141">
        <f>ROUND((F3088*G3088*H3088),0)</f>
        <v>31955</v>
      </c>
      <c r="J3088" s="47"/>
      <c r="K3088" s="143"/>
    </row>
    <row r="3089" spans="2:11" ht="24.9" customHeight="1" thickBot="1" x14ac:dyDescent="0.25">
      <c r="B3089" s="659"/>
      <c r="C3089" s="108" t="str">
        <f>+'LISTA DE INSUMOS'!A127</f>
        <v>MAT085</v>
      </c>
      <c r="D3089" s="139" t="str">
        <f>+'LISTA DE INSUMOS'!B127</f>
        <v>Accesorios PVC presión</v>
      </c>
      <c r="E3089" s="108" t="str">
        <f>+'LISTA DE INSUMOS'!C127</f>
        <v>%Tub</v>
      </c>
      <c r="F3089" s="140">
        <v>0.05</v>
      </c>
      <c r="G3089" s="141">
        <f>I3088</f>
        <v>31955</v>
      </c>
      <c r="H3089" s="108">
        <v>0</v>
      </c>
      <c r="I3089" s="141">
        <f>ROUND((F3089*G3089),0)</f>
        <v>1598</v>
      </c>
      <c r="J3089" s="47"/>
      <c r="K3089" s="143"/>
    </row>
    <row r="3090" spans="2:11" ht="24.9" customHeight="1" thickTop="1" thickBot="1" x14ac:dyDescent="0.25">
      <c r="B3090" s="250" t="s">
        <v>1034</v>
      </c>
      <c r="C3090" s="108" t="str">
        <f>+'LISTA DE INSUMOS'!A18</f>
        <v>MOB015</v>
      </c>
      <c r="D3090" s="139" t="str">
        <f>+'LISTA DE INSUMOS'!B18</f>
        <v>Cuadrilla E 1 Of + 1 Ay (jornal + prestaciones)</v>
      </c>
      <c r="E3090" s="108" t="str">
        <f>+'LISTA DE INSUMOS'!C18</f>
        <v>Día</v>
      </c>
      <c r="F3090" s="140">
        <v>1</v>
      </c>
      <c r="G3090" s="141">
        <f>'LISTA DE INSUMOS'!E18</f>
        <v>245584</v>
      </c>
      <c r="H3090" s="108">
        <f>1/35</f>
        <v>2.8571428571428571E-2</v>
      </c>
      <c r="I3090" s="141">
        <f>ROUND((F3090*G3090*H3090),0)</f>
        <v>7017</v>
      </c>
      <c r="J3090" s="47"/>
      <c r="K3090" s="143"/>
    </row>
    <row r="3091" spans="2:11" ht="24.9" customHeight="1" thickTop="1" thickBot="1" x14ac:dyDescent="0.25">
      <c r="B3091" s="255" t="s">
        <v>1033</v>
      </c>
      <c r="C3091" s="151" t="str">
        <f>+'LISTA DE INSUMOS'!A758</f>
        <v>EQU002</v>
      </c>
      <c r="D3091" s="146" t="str">
        <f>+'LISTA DE INSUMOS'!B758</f>
        <v>Herramienta menor (% mano obra)</v>
      </c>
      <c r="E3091" s="145" t="str">
        <f>+'LISTA DE INSUMOS'!C758</f>
        <v>%MO</v>
      </c>
      <c r="F3091" s="147">
        <v>0.1</v>
      </c>
      <c r="G3091" s="148">
        <f>I3090</f>
        <v>7017</v>
      </c>
      <c r="H3091" s="145">
        <v>0</v>
      </c>
      <c r="I3091" s="148">
        <f>ROUND((F3091*G3091),0)</f>
        <v>702</v>
      </c>
      <c r="J3091" s="47"/>
      <c r="K3091" s="143"/>
    </row>
    <row r="3092" spans="2:11" ht="24.9" customHeight="1" x14ac:dyDescent="0.2">
      <c r="B3092" s="117" t="s">
        <v>1619</v>
      </c>
      <c r="C3092" s="117"/>
      <c r="D3092" s="112" t="s">
        <v>308</v>
      </c>
      <c r="E3092" s="117" t="s">
        <v>1412</v>
      </c>
      <c r="F3092" s="118"/>
      <c r="G3092" s="119">
        <f>ROUND(SUM(I3093:I3096),0)</f>
        <v>24817</v>
      </c>
      <c r="H3092" s="120"/>
      <c r="I3092" s="119"/>
      <c r="J3092" s="47"/>
      <c r="K3092" s="143"/>
    </row>
    <row r="3093" spans="2:11" ht="24.9" customHeight="1" x14ac:dyDescent="0.2">
      <c r="B3093" s="657" t="s">
        <v>1325</v>
      </c>
      <c r="C3093" s="108" t="str">
        <f>+'LISTA DE INSUMOS'!A374</f>
        <v>MAT368</v>
      </c>
      <c r="D3093" s="139" t="str">
        <f>+'LISTA DE INSUMOS'!B374</f>
        <v>Tubería PVC acueducto unión platino de 2" rde 21</v>
      </c>
      <c r="E3093" s="108" t="str">
        <f>+'LISTA DE INSUMOS'!C374</f>
        <v>M</v>
      </c>
      <c r="F3093" s="140">
        <v>1</v>
      </c>
      <c r="G3093" s="141">
        <f>'LISTA DE INSUMOS'!E374</f>
        <v>15508.195829279999</v>
      </c>
      <c r="H3093" s="108">
        <v>1.05</v>
      </c>
      <c r="I3093" s="141">
        <f>ROUND((F3093*G3093*H3093),0)</f>
        <v>16284</v>
      </c>
      <c r="J3093" s="47"/>
      <c r="K3093" s="143"/>
    </row>
    <row r="3094" spans="2:11" ht="24.9" customHeight="1" thickBot="1" x14ac:dyDescent="0.25">
      <c r="B3094" s="659"/>
      <c r="C3094" s="108" t="str">
        <f>+'LISTA DE INSUMOS'!A127</f>
        <v>MAT085</v>
      </c>
      <c r="D3094" s="139" t="str">
        <f>+'LISTA DE INSUMOS'!B127</f>
        <v>Accesorios PVC presión</v>
      </c>
      <c r="E3094" s="108" t="str">
        <f>+'LISTA DE INSUMOS'!C127</f>
        <v>%Tub</v>
      </c>
      <c r="F3094" s="140">
        <v>0.05</v>
      </c>
      <c r="G3094" s="141">
        <f>I3093</f>
        <v>16284</v>
      </c>
      <c r="H3094" s="108">
        <v>0</v>
      </c>
      <c r="I3094" s="141">
        <f>ROUND((F3094*G3094),0)</f>
        <v>814</v>
      </c>
      <c r="J3094" s="47"/>
      <c r="K3094" s="143"/>
    </row>
    <row r="3095" spans="2:11" ht="24.9" customHeight="1" thickTop="1" thickBot="1" x14ac:dyDescent="0.25">
      <c r="B3095" s="250" t="s">
        <v>1034</v>
      </c>
      <c r="C3095" s="108" t="str">
        <f>+'LISTA DE INSUMOS'!A18</f>
        <v>MOB015</v>
      </c>
      <c r="D3095" s="139" t="str">
        <f>+'LISTA DE INSUMOS'!B18</f>
        <v>Cuadrilla E 1 Of + 1 Ay (jornal + prestaciones)</v>
      </c>
      <c r="E3095" s="108" t="str">
        <f>+'LISTA DE INSUMOS'!C18</f>
        <v>Día</v>
      </c>
      <c r="F3095" s="140">
        <v>1</v>
      </c>
      <c r="G3095" s="141">
        <f>'LISTA DE INSUMOS'!E18</f>
        <v>245584</v>
      </c>
      <c r="H3095" s="108">
        <f>1/35</f>
        <v>2.8571428571428571E-2</v>
      </c>
      <c r="I3095" s="141">
        <f>ROUND((F3095*G3095*H3095),0)</f>
        <v>7017</v>
      </c>
      <c r="J3095" s="47"/>
      <c r="K3095" s="143"/>
    </row>
    <row r="3096" spans="2:11" ht="24.9" customHeight="1" thickTop="1" thickBot="1" x14ac:dyDescent="0.25">
      <c r="B3096" s="255" t="s">
        <v>1033</v>
      </c>
      <c r="C3096" s="151" t="str">
        <f>+'LISTA DE INSUMOS'!A758</f>
        <v>EQU002</v>
      </c>
      <c r="D3096" s="146" t="str">
        <f>+'LISTA DE INSUMOS'!B758</f>
        <v>Herramienta menor (% mano obra)</v>
      </c>
      <c r="E3096" s="145" t="str">
        <f>+'LISTA DE INSUMOS'!C758</f>
        <v>%MO</v>
      </c>
      <c r="F3096" s="147">
        <v>0.1</v>
      </c>
      <c r="G3096" s="148">
        <f>I3095</f>
        <v>7017</v>
      </c>
      <c r="H3096" s="145">
        <v>0</v>
      </c>
      <c r="I3096" s="148">
        <f>ROUND((F3096*G3096),0)</f>
        <v>702</v>
      </c>
      <c r="J3096" s="47"/>
      <c r="K3096" s="143"/>
    </row>
    <row r="3097" spans="2:11" s="317" customFormat="1" ht="24.9" hidden="1" customHeight="1" x14ac:dyDescent="0.2">
      <c r="B3097" s="319" t="s">
        <v>1537</v>
      </c>
      <c r="C3097" s="319"/>
      <c r="D3097" s="320" t="s">
        <v>2038</v>
      </c>
      <c r="E3097" s="319" t="s">
        <v>1435</v>
      </c>
      <c r="F3097" s="321"/>
      <c r="G3097" s="312">
        <f>ROUND(SUM(I3098:I3099),0)</f>
        <v>492737</v>
      </c>
      <c r="H3097" s="322"/>
      <c r="I3097" s="312"/>
      <c r="J3097" s="313"/>
      <c r="K3097" s="323"/>
    </row>
    <row r="3098" spans="2:11" s="317" customFormat="1" ht="24.9" hidden="1" customHeight="1" thickBot="1" x14ac:dyDescent="0.25">
      <c r="B3098" s="347" t="s">
        <v>1325</v>
      </c>
      <c r="C3098" s="322" t="str">
        <f>+'LISTA DE INSUMOS'!A319</f>
        <v>MAT295</v>
      </c>
      <c r="D3098" s="324" t="str">
        <f>+'LISTA DE INSUMOS'!B319</f>
        <v>Unión de reparación de 8"</v>
      </c>
      <c r="E3098" s="322" t="str">
        <f>+'LISTA DE INSUMOS'!C319</f>
        <v>Un</v>
      </c>
      <c r="F3098" s="325">
        <v>1</v>
      </c>
      <c r="G3098" s="312">
        <f>'LISTA DE INSUMOS'!E319</f>
        <v>477388.08729473391</v>
      </c>
      <c r="H3098" s="322">
        <v>0</v>
      </c>
      <c r="I3098" s="312">
        <f>ROUND((F3098*G3098),0)</f>
        <v>477388</v>
      </c>
      <c r="J3098" s="313"/>
      <c r="K3098" s="323"/>
    </row>
    <row r="3099" spans="2:11" s="317" customFormat="1" ht="24.9" hidden="1" customHeight="1" thickTop="1" thickBot="1" x14ac:dyDescent="0.25">
      <c r="B3099" s="363" t="s">
        <v>1034</v>
      </c>
      <c r="C3099" s="329" t="str">
        <f>+'LISTA DE INSUMOS'!A18</f>
        <v>MOB015</v>
      </c>
      <c r="D3099" s="328" t="str">
        <f>+'LISTA DE INSUMOS'!B18</f>
        <v>Cuadrilla E 1 Of + 1 Ay (jornal + prestaciones)</v>
      </c>
      <c r="E3099" s="329" t="str">
        <f>+'LISTA DE INSUMOS'!C18</f>
        <v>Día</v>
      </c>
      <c r="F3099" s="330">
        <v>1</v>
      </c>
      <c r="G3099" s="331">
        <f>'LISTA DE INSUMOS'!E18</f>
        <v>245584</v>
      </c>
      <c r="H3099" s="329">
        <f>1/16</f>
        <v>6.25E-2</v>
      </c>
      <c r="I3099" s="331">
        <f>ROUND((F3099*G3099*H3099),0)</f>
        <v>15349</v>
      </c>
      <c r="J3099" s="313"/>
      <c r="K3099" s="323"/>
    </row>
    <row r="3100" spans="2:11" s="317" customFormat="1" ht="24.9" hidden="1" customHeight="1" x14ac:dyDescent="0.2">
      <c r="B3100" s="319" t="s">
        <v>1538</v>
      </c>
      <c r="C3100" s="319"/>
      <c r="D3100" s="320" t="s">
        <v>2036</v>
      </c>
      <c r="E3100" s="319" t="s">
        <v>1435</v>
      </c>
      <c r="F3100" s="321"/>
      <c r="G3100" s="312">
        <f>ROUND(SUM(I3101:I3102),0)</f>
        <v>274983</v>
      </c>
      <c r="H3100" s="322"/>
      <c r="I3100" s="312"/>
      <c r="J3100" s="313"/>
      <c r="K3100" s="323"/>
    </row>
    <row r="3101" spans="2:11" s="317" customFormat="1" ht="24.9" hidden="1" customHeight="1" thickBot="1" x14ac:dyDescent="0.25">
      <c r="B3101" s="347" t="s">
        <v>1325</v>
      </c>
      <c r="C3101" s="322" t="str">
        <f>+'LISTA DE INSUMOS'!A278</f>
        <v>MAT250</v>
      </c>
      <c r="D3101" s="324" t="str">
        <f>+'LISTA DE INSUMOS'!B278</f>
        <v>Unión de reparación de 6"</v>
      </c>
      <c r="E3101" s="322" t="str">
        <f>+'LISTA DE INSUMOS'!C278</f>
        <v>Un</v>
      </c>
      <c r="F3101" s="325">
        <v>1</v>
      </c>
      <c r="G3101" s="312">
        <f>'LISTA DE INSUMOS'!E278</f>
        <v>259634.22003851639</v>
      </c>
      <c r="H3101" s="322">
        <v>0</v>
      </c>
      <c r="I3101" s="312">
        <f>ROUND((F3101*G3101),0)</f>
        <v>259634</v>
      </c>
      <c r="J3101" s="313"/>
      <c r="K3101" s="323"/>
    </row>
    <row r="3102" spans="2:11" s="317" customFormat="1" ht="24.9" hidden="1" customHeight="1" thickTop="1" thickBot="1" x14ac:dyDescent="0.25">
      <c r="B3102" s="363" t="s">
        <v>1034</v>
      </c>
      <c r="C3102" s="329" t="str">
        <f>+'LISTA DE INSUMOS'!A18</f>
        <v>MOB015</v>
      </c>
      <c r="D3102" s="328" t="str">
        <f>+'LISTA DE INSUMOS'!B18</f>
        <v>Cuadrilla E 1 Of + 1 Ay (jornal + prestaciones)</v>
      </c>
      <c r="E3102" s="329" t="str">
        <f>+'LISTA DE INSUMOS'!C18</f>
        <v>Día</v>
      </c>
      <c r="F3102" s="330">
        <v>1</v>
      </c>
      <c r="G3102" s="331">
        <f>'LISTA DE INSUMOS'!E18</f>
        <v>245584</v>
      </c>
      <c r="H3102" s="329">
        <f>1/16</f>
        <v>6.25E-2</v>
      </c>
      <c r="I3102" s="331">
        <f>ROUND((F3102*G3102*H3102),0)</f>
        <v>15349</v>
      </c>
      <c r="J3102" s="313"/>
      <c r="K3102" s="323"/>
    </row>
    <row r="3103" spans="2:11" ht="24.9" customHeight="1" x14ac:dyDescent="0.2">
      <c r="B3103" s="117" t="s">
        <v>1622</v>
      </c>
      <c r="C3103" s="117"/>
      <c r="D3103" s="112" t="s">
        <v>2035</v>
      </c>
      <c r="E3103" s="117" t="s">
        <v>1435</v>
      </c>
      <c r="F3103" s="118"/>
      <c r="G3103" s="119">
        <f>ROUND(SUM(I3104:I3105),0)</f>
        <v>128193</v>
      </c>
      <c r="H3103" s="120"/>
      <c r="I3103" s="119"/>
      <c r="J3103" s="47"/>
      <c r="K3103" s="143"/>
    </row>
    <row r="3104" spans="2:11" ht="24.9" customHeight="1" thickBot="1" x14ac:dyDescent="0.25">
      <c r="B3104" s="175" t="s">
        <v>1325</v>
      </c>
      <c r="C3104" s="108" t="str">
        <f>+'LISTA DE INSUMOS'!A408</f>
        <v>MAT419</v>
      </c>
      <c r="D3104" s="139" t="str">
        <f>+'LISTA DE INSUMOS'!B408</f>
        <v>Unión de reparación de 4"</v>
      </c>
      <c r="E3104" s="108" t="str">
        <f>+'LISTA DE INSUMOS'!C408</f>
        <v>Un</v>
      </c>
      <c r="F3104" s="140">
        <v>1</v>
      </c>
      <c r="G3104" s="141">
        <f>'LISTA DE INSUMOS'!E408</f>
        <v>115914.28983205499</v>
      </c>
      <c r="H3104" s="108">
        <v>0</v>
      </c>
      <c r="I3104" s="141">
        <f>ROUND((F3104*G3104),0)</f>
        <v>115914</v>
      </c>
      <c r="J3104" s="47"/>
      <c r="K3104" s="143"/>
    </row>
    <row r="3105" spans="2:11" ht="24.9" customHeight="1" thickTop="1" thickBot="1" x14ac:dyDescent="0.25">
      <c r="B3105" s="153" t="s">
        <v>1034</v>
      </c>
      <c r="C3105" s="145" t="str">
        <f>+'LISTA DE INSUMOS'!A18</f>
        <v>MOB015</v>
      </c>
      <c r="D3105" s="146" t="str">
        <f>+'LISTA DE INSUMOS'!B18</f>
        <v>Cuadrilla E 1 Of + 1 Ay (jornal + prestaciones)</v>
      </c>
      <c r="E3105" s="145" t="str">
        <f>+'LISTA DE INSUMOS'!C18</f>
        <v>Día</v>
      </c>
      <c r="F3105" s="147">
        <v>1</v>
      </c>
      <c r="G3105" s="148">
        <f>'LISTA DE INSUMOS'!E18</f>
        <v>245584</v>
      </c>
      <c r="H3105" s="145">
        <f>1/20</f>
        <v>0.05</v>
      </c>
      <c r="I3105" s="148">
        <f>ROUND((F3105*G3105*H3105),0)</f>
        <v>12279</v>
      </c>
      <c r="J3105" s="47"/>
      <c r="K3105" s="143"/>
    </row>
    <row r="3106" spans="2:11" ht="24.9" customHeight="1" x14ac:dyDescent="0.2">
      <c r="B3106" s="117" t="s">
        <v>1616</v>
      </c>
      <c r="C3106" s="117"/>
      <c r="D3106" s="112" t="s">
        <v>2034</v>
      </c>
      <c r="E3106" s="117" t="s">
        <v>1435</v>
      </c>
      <c r="F3106" s="118"/>
      <c r="G3106" s="119">
        <f>ROUND(SUM(I3107:I3108),0)</f>
        <v>85254</v>
      </c>
      <c r="H3106" s="120"/>
      <c r="I3106" s="119"/>
      <c r="J3106" s="47"/>
      <c r="K3106" s="143"/>
    </row>
    <row r="3107" spans="2:11" ht="24.9" customHeight="1" thickBot="1" x14ac:dyDescent="0.25">
      <c r="B3107" s="175" t="s">
        <v>1325</v>
      </c>
      <c r="C3107" s="108" t="str">
        <f>+'LISTA DE INSUMOS'!A246</f>
        <v>MAT214</v>
      </c>
      <c r="D3107" s="139" t="str">
        <f>+'LISTA DE INSUMOS'!B246</f>
        <v>Unión de reparación de 3"</v>
      </c>
      <c r="E3107" s="108" t="str">
        <f>+'LISTA DE INSUMOS'!C246</f>
        <v>Un</v>
      </c>
      <c r="F3107" s="140">
        <v>1</v>
      </c>
      <c r="G3107" s="141">
        <f>'LISTA DE INSUMOS'!E246</f>
        <v>72975.460283325607</v>
      </c>
      <c r="H3107" s="108">
        <v>0</v>
      </c>
      <c r="I3107" s="141">
        <f>ROUND((F3107*G3107),0)</f>
        <v>72975</v>
      </c>
      <c r="J3107" s="47"/>
      <c r="K3107" s="143"/>
    </row>
    <row r="3108" spans="2:11" ht="24.9" customHeight="1" thickTop="1" thickBot="1" x14ac:dyDescent="0.25">
      <c r="B3108" s="153" t="s">
        <v>1034</v>
      </c>
      <c r="C3108" s="145" t="str">
        <f>+'LISTA DE INSUMOS'!A18</f>
        <v>MOB015</v>
      </c>
      <c r="D3108" s="146" t="str">
        <f>+'LISTA DE INSUMOS'!B18</f>
        <v>Cuadrilla E 1 Of + 1 Ay (jornal + prestaciones)</v>
      </c>
      <c r="E3108" s="145" t="str">
        <f>+'LISTA DE INSUMOS'!C18</f>
        <v>Día</v>
      </c>
      <c r="F3108" s="147">
        <v>1</v>
      </c>
      <c r="G3108" s="148">
        <f>'LISTA DE INSUMOS'!E18</f>
        <v>245584</v>
      </c>
      <c r="H3108" s="145">
        <f>1/20</f>
        <v>0.05</v>
      </c>
      <c r="I3108" s="148">
        <f>ROUND((F3108*G3108*H3108),0)</f>
        <v>12279</v>
      </c>
      <c r="J3108" s="47"/>
      <c r="K3108" s="143"/>
    </row>
    <row r="3109" spans="2:11" ht="24.9" customHeight="1" x14ac:dyDescent="0.2">
      <c r="B3109" s="117" t="s">
        <v>1475</v>
      </c>
      <c r="C3109" s="117"/>
      <c r="D3109" s="112" t="s">
        <v>2031</v>
      </c>
      <c r="E3109" s="117" t="s">
        <v>1435</v>
      </c>
      <c r="F3109" s="118"/>
      <c r="G3109" s="119">
        <f>ROUND(SUM(I3110:I3111),0)</f>
        <v>35906</v>
      </c>
      <c r="H3109" s="120"/>
      <c r="I3109" s="119"/>
      <c r="J3109" s="47"/>
      <c r="K3109" s="143"/>
    </row>
    <row r="3110" spans="2:11" ht="24.9" customHeight="1" thickBot="1" x14ac:dyDescent="0.25">
      <c r="B3110" s="175" t="s">
        <v>1325</v>
      </c>
      <c r="C3110" s="108" t="str">
        <f>+'LISTA DE INSUMOS'!A245</f>
        <v>MAT213</v>
      </c>
      <c r="D3110" s="139" t="str">
        <f>+'LISTA DE INSUMOS'!B245</f>
        <v>Unión de reparación de 2 1/2"</v>
      </c>
      <c r="E3110" s="108" t="str">
        <f>+'LISTA DE INSUMOS'!C245</f>
        <v>Un</v>
      </c>
      <c r="F3110" s="140">
        <v>1</v>
      </c>
      <c r="G3110" s="141">
        <f>'LISTA DE INSUMOS'!E245</f>
        <v>23626.501373243998</v>
      </c>
      <c r="H3110" s="108">
        <v>0</v>
      </c>
      <c r="I3110" s="141">
        <f>ROUND((F3110*G3110),0)</f>
        <v>23627</v>
      </c>
      <c r="J3110" s="47"/>
      <c r="K3110" s="143"/>
    </row>
    <row r="3111" spans="2:11" ht="24.9" customHeight="1" thickTop="1" thickBot="1" x14ac:dyDescent="0.25">
      <c r="B3111" s="250" t="s">
        <v>1034</v>
      </c>
      <c r="C3111" s="145" t="str">
        <f>+'LISTA DE INSUMOS'!A18</f>
        <v>MOB015</v>
      </c>
      <c r="D3111" s="146" t="str">
        <f>+'LISTA DE INSUMOS'!B18</f>
        <v>Cuadrilla E 1 Of + 1 Ay (jornal + prestaciones)</v>
      </c>
      <c r="E3111" s="145" t="str">
        <f>+'LISTA DE INSUMOS'!C18</f>
        <v>Día</v>
      </c>
      <c r="F3111" s="147">
        <v>1</v>
      </c>
      <c r="G3111" s="148">
        <f>'LISTA DE INSUMOS'!E18</f>
        <v>245584</v>
      </c>
      <c r="H3111" s="145">
        <f>1/20</f>
        <v>0.05</v>
      </c>
      <c r="I3111" s="148">
        <f>ROUND((F3111*G3111*H3111),0)</f>
        <v>12279</v>
      </c>
      <c r="J3111" s="47"/>
      <c r="K3111" s="143"/>
    </row>
    <row r="3112" spans="2:11" ht="24.9" customHeight="1" x14ac:dyDescent="0.2">
      <c r="B3112" s="193" t="s">
        <v>2324</v>
      </c>
      <c r="C3112" s="117"/>
      <c r="D3112" s="112" t="s">
        <v>2032</v>
      </c>
      <c r="E3112" s="117" t="s">
        <v>1435</v>
      </c>
      <c r="F3112" s="118"/>
      <c r="G3112" s="119">
        <f>ROUND(SUM(I3113:I3114),0)</f>
        <v>58094</v>
      </c>
      <c r="H3112" s="120"/>
      <c r="I3112" s="119"/>
      <c r="J3112" s="47"/>
      <c r="K3112" s="143"/>
    </row>
    <row r="3113" spans="2:11" ht="24.9" customHeight="1" thickBot="1" x14ac:dyDescent="0.25">
      <c r="B3113" s="175" t="s">
        <v>1325</v>
      </c>
      <c r="C3113" s="108" t="str">
        <f>+'LISTA DE INSUMOS'!A244</f>
        <v>MAT212</v>
      </c>
      <c r="D3113" s="139" t="str">
        <f>+'LISTA DE INSUMOS'!B244</f>
        <v>Unión de reparación de 2"</v>
      </c>
      <c r="E3113" s="108" t="str">
        <f>+'LISTA DE INSUMOS'!C244</f>
        <v>Un</v>
      </c>
      <c r="F3113" s="140">
        <v>1</v>
      </c>
      <c r="G3113" s="141">
        <f>'LISTA DE INSUMOS'!E244</f>
        <v>45814.970042318389</v>
      </c>
      <c r="H3113" s="108">
        <v>0</v>
      </c>
      <c r="I3113" s="141">
        <f>ROUND((F3113*G3113),0)</f>
        <v>45815</v>
      </c>
      <c r="J3113" s="47"/>
      <c r="K3113" s="143"/>
    </row>
    <row r="3114" spans="2:11" ht="24.9" customHeight="1" thickTop="1" thickBot="1" x14ac:dyDescent="0.25">
      <c r="B3114" s="153" t="s">
        <v>1034</v>
      </c>
      <c r="C3114" s="145" t="str">
        <f>+'LISTA DE INSUMOS'!A18</f>
        <v>MOB015</v>
      </c>
      <c r="D3114" s="146" t="str">
        <f>+'LISTA DE INSUMOS'!B18</f>
        <v>Cuadrilla E 1 Of + 1 Ay (jornal + prestaciones)</v>
      </c>
      <c r="E3114" s="145" t="str">
        <f>+'LISTA DE INSUMOS'!C18</f>
        <v>Día</v>
      </c>
      <c r="F3114" s="147">
        <v>1</v>
      </c>
      <c r="G3114" s="148">
        <f>'LISTA DE INSUMOS'!E18</f>
        <v>245584</v>
      </c>
      <c r="H3114" s="145">
        <f>1/20</f>
        <v>0.05</v>
      </c>
      <c r="I3114" s="148">
        <f>ROUND((F3114*G3114*H3114),0)</f>
        <v>12279</v>
      </c>
      <c r="J3114" s="47"/>
      <c r="K3114" s="143"/>
    </row>
    <row r="3115" spans="2:11" s="317" customFormat="1" ht="24.9" hidden="1" customHeight="1" x14ac:dyDescent="0.2">
      <c r="B3115" s="319" t="s">
        <v>1822</v>
      </c>
      <c r="C3115" s="319"/>
      <c r="D3115" s="320" t="s">
        <v>1516</v>
      </c>
      <c r="E3115" s="319" t="s">
        <v>1435</v>
      </c>
      <c r="F3115" s="321"/>
      <c r="G3115" s="312">
        <f>ROUND(SUM(I3116:I3117),0)</f>
        <v>46214</v>
      </c>
      <c r="H3115" s="322"/>
      <c r="I3115" s="312"/>
      <c r="J3115" s="313"/>
      <c r="K3115" s="323"/>
    </row>
    <row r="3116" spans="2:11" s="317" customFormat="1" ht="24.9" hidden="1" customHeight="1" thickBot="1" x14ac:dyDescent="0.25">
      <c r="B3116" s="347" t="s">
        <v>1325</v>
      </c>
      <c r="C3116" s="322" t="str">
        <f>+'LISTA DE INSUMOS'!A232</f>
        <v>MAT200</v>
      </c>
      <c r="D3116" s="324" t="str">
        <f>+'LISTA DE INSUMOS'!B232</f>
        <v>Collar de derivación unión platino de 4" x 1/2"</v>
      </c>
      <c r="E3116" s="322" t="str">
        <f>+'LISTA DE INSUMOS'!C232</f>
        <v>Un</v>
      </c>
      <c r="F3116" s="325">
        <v>1</v>
      </c>
      <c r="G3116" s="312">
        <f>'LISTA DE INSUMOS'!E232</f>
        <v>33934.603742645755</v>
      </c>
      <c r="H3116" s="322">
        <v>0</v>
      </c>
      <c r="I3116" s="312">
        <f>ROUND((F3116*G3116),0)</f>
        <v>33935</v>
      </c>
      <c r="J3116" s="313"/>
      <c r="K3116" s="323"/>
    </row>
    <row r="3117" spans="2:11" s="317" customFormat="1" ht="24.9" hidden="1" customHeight="1" thickTop="1" thickBot="1" x14ac:dyDescent="0.25">
      <c r="B3117" s="363" t="s">
        <v>1034</v>
      </c>
      <c r="C3117" s="329" t="str">
        <f>+'LISTA DE INSUMOS'!A18</f>
        <v>MOB015</v>
      </c>
      <c r="D3117" s="328" t="str">
        <f>+'LISTA DE INSUMOS'!B18</f>
        <v>Cuadrilla E 1 Of + 1 Ay (jornal + prestaciones)</v>
      </c>
      <c r="E3117" s="329" t="str">
        <f>+'LISTA DE INSUMOS'!C18</f>
        <v>Día</v>
      </c>
      <c r="F3117" s="330">
        <v>1</v>
      </c>
      <c r="G3117" s="331">
        <f>'LISTA DE INSUMOS'!E18</f>
        <v>245584</v>
      </c>
      <c r="H3117" s="329">
        <f>1/20</f>
        <v>0.05</v>
      </c>
      <c r="I3117" s="331">
        <f>ROUND((F3117*G3117*H3117),0)</f>
        <v>12279</v>
      </c>
      <c r="J3117" s="313"/>
      <c r="K3117" s="323"/>
    </row>
    <row r="3118" spans="2:11" s="317" customFormat="1" ht="24.9" hidden="1" customHeight="1" x14ac:dyDescent="0.2">
      <c r="B3118" s="319" t="s">
        <v>1441</v>
      </c>
      <c r="C3118" s="319"/>
      <c r="D3118" s="320" t="s">
        <v>1514</v>
      </c>
      <c r="E3118" s="319" t="s">
        <v>1435</v>
      </c>
      <c r="F3118" s="321"/>
      <c r="G3118" s="312">
        <f>ROUND(SUM(I3119:I3120),0)</f>
        <v>45630</v>
      </c>
      <c r="H3118" s="322"/>
      <c r="I3118" s="312"/>
      <c r="J3118" s="313"/>
      <c r="K3118" s="323"/>
    </row>
    <row r="3119" spans="2:11" s="317" customFormat="1" ht="24.9" hidden="1" customHeight="1" thickBot="1" x14ac:dyDescent="0.25">
      <c r="B3119" s="347" t="s">
        <v>1325</v>
      </c>
      <c r="C3119" s="322" t="str">
        <f>+'LISTA DE INSUMOS'!A231</f>
        <v>MAT199</v>
      </c>
      <c r="D3119" s="324" t="str">
        <f>+'LISTA DE INSUMOS'!B231</f>
        <v>Collar de derivación unión platino de 3" x 1/2"</v>
      </c>
      <c r="E3119" s="322" t="str">
        <f>+'LISTA DE INSUMOS'!C231</f>
        <v>Un</v>
      </c>
      <c r="F3119" s="325">
        <v>1</v>
      </c>
      <c r="G3119" s="312">
        <f>'LISTA DE INSUMOS'!E231</f>
        <v>33351.290287558317</v>
      </c>
      <c r="H3119" s="322">
        <v>0</v>
      </c>
      <c r="I3119" s="312">
        <f>ROUND((F3119*G3119),0)</f>
        <v>33351</v>
      </c>
      <c r="J3119" s="313"/>
      <c r="K3119" s="323"/>
    </row>
    <row r="3120" spans="2:11" s="317" customFormat="1" ht="24.9" hidden="1" customHeight="1" thickTop="1" thickBot="1" x14ac:dyDescent="0.25">
      <c r="B3120" s="363" t="s">
        <v>1034</v>
      </c>
      <c r="C3120" s="329" t="str">
        <f>+'LISTA DE INSUMOS'!A18</f>
        <v>MOB015</v>
      </c>
      <c r="D3120" s="328" t="str">
        <f>+'LISTA DE INSUMOS'!B18</f>
        <v>Cuadrilla E 1 Of + 1 Ay (jornal + prestaciones)</v>
      </c>
      <c r="E3120" s="329" t="str">
        <f>+'LISTA DE INSUMOS'!C18</f>
        <v>Día</v>
      </c>
      <c r="F3120" s="330">
        <v>1</v>
      </c>
      <c r="G3120" s="331">
        <f>'LISTA DE INSUMOS'!E18</f>
        <v>245584</v>
      </c>
      <c r="H3120" s="329">
        <f>1/20</f>
        <v>0.05</v>
      </c>
      <c r="I3120" s="331">
        <f>ROUND((F3120*G3120*H3120),0)</f>
        <v>12279</v>
      </c>
      <c r="J3120" s="313"/>
      <c r="K3120" s="323"/>
    </row>
    <row r="3121" spans="2:11" s="317" customFormat="1" ht="24.9" hidden="1" customHeight="1" x14ac:dyDescent="0.2">
      <c r="B3121" s="319" t="s">
        <v>1795</v>
      </c>
      <c r="C3121" s="319"/>
      <c r="D3121" s="320" t="s">
        <v>1510</v>
      </c>
      <c r="E3121" s="319" t="s">
        <v>1435</v>
      </c>
      <c r="F3121" s="321"/>
      <c r="G3121" s="312">
        <f>ROUND(SUM(I3122:I3123),0)</f>
        <v>30126</v>
      </c>
      <c r="H3121" s="322"/>
      <c r="I3121" s="312"/>
      <c r="J3121" s="313"/>
      <c r="K3121" s="323"/>
    </row>
    <row r="3122" spans="2:11" s="317" customFormat="1" ht="24.9" hidden="1" customHeight="1" thickBot="1" x14ac:dyDescent="0.25">
      <c r="B3122" s="347" t="s">
        <v>1325</v>
      </c>
      <c r="C3122" s="322" t="str">
        <f>+'LISTA DE INSUMOS'!A230</f>
        <v>MAT198</v>
      </c>
      <c r="D3122" s="324" t="str">
        <f>+'LISTA DE INSUMOS'!B230</f>
        <v>Collar de derivación unión platino de 2 1/2" x 1/2"</v>
      </c>
      <c r="E3122" s="322" t="str">
        <f>+'LISTA DE INSUMOS'!C230</f>
        <v>Un</v>
      </c>
      <c r="F3122" s="325">
        <v>1</v>
      </c>
      <c r="G3122" s="312">
        <f>'LISTA DE INSUMOS'!E230</f>
        <v>17847.018501768456</v>
      </c>
      <c r="H3122" s="322">
        <v>0</v>
      </c>
      <c r="I3122" s="312">
        <f>ROUND((F3122*G3122),0)</f>
        <v>17847</v>
      </c>
      <c r="J3122" s="313"/>
      <c r="K3122" s="323"/>
    </row>
    <row r="3123" spans="2:11" s="317" customFormat="1" ht="24.9" hidden="1" customHeight="1" thickTop="1" thickBot="1" x14ac:dyDescent="0.25">
      <c r="B3123" s="363" t="s">
        <v>1034</v>
      </c>
      <c r="C3123" s="329" t="str">
        <f>+'LISTA DE INSUMOS'!A18</f>
        <v>MOB015</v>
      </c>
      <c r="D3123" s="328" t="str">
        <f>+'LISTA DE INSUMOS'!B18</f>
        <v>Cuadrilla E 1 Of + 1 Ay (jornal + prestaciones)</v>
      </c>
      <c r="E3123" s="329" t="str">
        <f>+'LISTA DE INSUMOS'!C18</f>
        <v>Día</v>
      </c>
      <c r="F3123" s="330">
        <v>1</v>
      </c>
      <c r="G3123" s="331">
        <f>'LISTA DE INSUMOS'!E18</f>
        <v>245584</v>
      </c>
      <c r="H3123" s="329">
        <f>1/20</f>
        <v>0.05</v>
      </c>
      <c r="I3123" s="331">
        <f>ROUND((F3123*G3123*H3123),0)</f>
        <v>12279</v>
      </c>
      <c r="J3123" s="313"/>
      <c r="K3123" s="323"/>
    </row>
    <row r="3124" spans="2:11" ht="24.9" customHeight="1" x14ac:dyDescent="0.2">
      <c r="B3124" s="117" t="s">
        <v>2325</v>
      </c>
      <c r="C3124" s="117"/>
      <c r="D3124" s="112" t="s">
        <v>1512</v>
      </c>
      <c r="E3124" s="117" t="s">
        <v>1435</v>
      </c>
      <c r="F3124" s="118"/>
      <c r="G3124" s="119">
        <f>ROUND(SUM(I3125:I3126),0)</f>
        <v>40357</v>
      </c>
      <c r="H3124" s="120"/>
      <c r="I3124" s="119"/>
      <c r="J3124" s="47"/>
      <c r="K3124" s="143"/>
    </row>
    <row r="3125" spans="2:11" ht="24.9" customHeight="1" thickBot="1" x14ac:dyDescent="0.25">
      <c r="B3125" s="175" t="s">
        <v>1325</v>
      </c>
      <c r="C3125" s="108" t="str">
        <f>+'LISTA DE INSUMOS'!A229</f>
        <v>MAT197</v>
      </c>
      <c r="D3125" s="139" t="str">
        <f>+'LISTA DE INSUMOS'!B229</f>
        <v>Collar de derivación unión platino de 2" x 1/2"</v>
      </c>
      <c r="E3125" s="108" t="str">
        <f>+'LISTA DE INSUMOS'!C229</f>
        <v>Un</v>
      </c>
      <c r="F3125" s="140">
        <v>1</v>
      </c>
      <c r="G3125" s="141">
        <f>'LISTA DE INSUMOS'!E229</f>
        <v>28078.486391827864</v>
      </c>
      <c r="H3125" s="108">
        <v>0</v>
      </c>
      <c r="I3125" s="141">
        <f>ROUND((F3125*G3125),0)</f>
        <v>28078</v>
      </c>
      <c r="J3125" s="47"/>
      <c r="K3125" s="143"/>
    </row>
    <row r="3126" spans="2:11" ht="24.9" customHeight="1" thickTop="1" thickBot="1" x14ac:dyDescent="0.25">
      <c r="B3126" s="250" t="s">
        <v>1034</v>
      </c>
      <c r="C3126" s="145" t="str">
        <f>+'LISTA DE INSUMOS'!A18</f>
        <v>MOB015</v>
      </c>
      <c r="D3126" s="146" t="str">
        <f>+'LISTA DE INSUMOS'!B18</f>
        <v>Cuadrilla E 1 Of + 1 Ay (jornal + prestaciones)</v>
      </c>
      <c r="E3126" s="145" t="str">
        <f>+'LISTA DE INSUMOS'!C18</f>
        <v>Día</v>
      </c>
      <c r="F3126" s="147">
        <v>1</v>
      </c>
      <c r="G3126" s="148">
        <f>'LISTA DE INSUMOS'!E18</f>
        <v>245584</v>
      </c>
      <c r="H3126" s="145">
        <f>1/20</f>
        <v>0.05</v>
      </c>
      <c r="I3126" s="148">
        <f>ROUND((F3126*G3126*H3126),0)</f>
        <v>12279</v>
      </c>
      <c r="J3126" s="47"/>
      <c r="K3126" s="143"/>
    </row>
    <row r="3127" spans="2:11" ht="24.9" customHeight="1" x14ac:dyDescent="0.2">
      <c r="B3127" s="193" t="s">
        <v>1482</v>
      </c>
      <c r="C3127" s="117"/>
      <c r="D3127" s="112" t="s">
        <v>2257</v>
      </c>
      <c r="E3127" s="117" t="s">
        <v>1412</v>
      </c>
      <c r="F3127" s="118"/>
      <c r="G3127" s="119">
        <f>ROUND(SUM(I3128:I3130),0)</f>
        <v>62899</v>
      </c>
      <c r="H3127" s="120"/>
      <c r="I3127" s="119"/>
      <c r="J3127" s="47"/>
      <c r="K3127" s="143"/>
    </row>
    <row r="3128" spans="2:11" ht="24.9" customHeight="1" x14ac:dyDescent="0.2">
      <c r="B3128" s="657" t="s">
        <v>1325</v>
      </c>
      <c r="C3128" s="108" t="str">
        <f>+'LISTA DE INSUMOS'!A243</f>
        <v>MAT211</v>
      </c>
      <c r="D3128" s="139" t="str">
        <f>+'LISTA DE INSUMOS'!B243</f>
        <v>Cinta PVC Sika Waterbar V-15</v>
      </c>
      <c r="E3128" s="108" t="str">
        <f>+'LISTA DE INSUMOS'!C243</f>
        <v>M</v>
      </c>
      <c r="F3128" s="140">
        <v>1</v>
      </c>
      <c r="G3128" s="141">
        <f>'LISTA DE INSUMOS'!E243</f>
        <v>48437.822999999997</v>
      </c>
      <c r="H3128" s="108">
        <v>1.03</v>
      </c>
      <c r="I3128" s="141">
        <f>IF(H3128&gt;=0,(F3128*G3128*(1+H3128/100)),ABS(F3128*G3128/H3128))</f>
        <v>48936.732576899994</v>
      </c>
      <c r="J3128" s="47"/>
      <c r="K3128" s="143"/>
    </row>
    <row r="3129" spans="2:11" ht="24.9" customHeight="1" thickBot="1" x14ac:dyDescent="0.25">
      <c r="B3129" s="659"/>
      <c r="C3129" s="108" t="str">
        <f>+'LISTA DE INSUMOS'!A53</f>
        <v>MAT022</v>
      </c>
      <c r="D3129" s="139" t="str">
        <f>+'LISTA DE INSUMOS'!B53</f>
        <v>Alambre negro calibre 17</v>
      </c>
      <c r="E3129" s="108" t="str">
        <f>+'LISTA DE INSUMOS'!C53</f>
        <v>Kg</v>
      </c>
      <c r="F3129" s="140">
        <v>0.04</v>
      </c>
      <c r="G3129" s="141">
        <f>'LISTA DE INSUMOS'!E53</f>
        <v>7948.98</v>
      </c>
      <c r="H3129" s="108">
        <v>0</v>
      </c>
      <c r="I3129" s="141">
        <f>ROUND((F3129*G3129),0)</f>
        <v>318</v>
      </c>
      <c r="J3129" s="47"/>
      <c r="K3129" s="143"/>
    </row>
    <row r="3130" spans="2:11" ht="24.9" customHeight="1" thickTop="1" thickBot="1" x14ac:dyDescent="0.25">
      <c r="B3130" s="153" t="s">
        <v>1034</v>
      </c>
      <c r="C3130" s="145" t="str">
        <f>+'LISTA DE INSUMOS'!A5</f>
        <v>MOB002</v>
      </c>
      <c r="D3130" s="146" t="str">
        <f>+'LISTA DE INSUMOS'!B5</f>
        <v>Oficial (jornal + prestaciones)</v>
      </c>
      <c r="E3130" s="145" t="str">
        <f>+'LISTA DE INSUMOS'!C5</f>
        <v>Día</v>
      </c>
      <c r="F3130" s="147">
        <v>1</v>
      </c>
      <c r="G3130" s="148">
        <f>'LISTA DE INSUMOS'!E5</f>
        <v>163723</v>
      </c>
      <c r="H3130" s="145">
        <f>1/12</f>
        <v>8.3333333333333329E-2</v>
      </c>
      <c r="I3130" s="148">
        <f>ROUND((F3130*G3130*H3130),0)</f>
        <v>13644</v>
      </c>
      <c r="J3130" s="47"/>
      <c r="K3130" s="143"/>
    </row>
    <row r="3131" spans="2:11" s="317" customFormat="1" ht="24.9" hidden="1" customHeight="1" x14ac:dyDescent="0.2">
      <c r="B3131" s="319" t="s">
        <v>2344</v>
      </c>
      <c r="C3131" s="319"/>
      <c r="D3131" s="320" t="s">
        <v>27</v>
      </c>
      <c r="E3131" s="319" t="s">
        <v>1435</v>
      </c>
      <c r="F3131" s="321"/>
      <c r="G3131" s="312">
        <f>ROUND(SUM(I3132:I3138),0)</f>
        <v>331207</v>
      </c>
      <c r="H3131" s="322"/>
      <c r="I3131" s="312"/>
      <c r="J3131" s="313"/>
      <c r="K3131" s="323"/>
    </row>
    <row r="3132" spans="2:11" s="317" customFormat="1" ht="24.9" hidden="1" customHeight="1" x14ac:dyDescent="0.2">
      <c r="B3132" s="691" t="s">
        <v>1035</v>
      </c>
      <c r="C3132" s="322" t="str">
        <f>+'LISTA DE INSUMOS'!A651</f>
        <v>MAT667</v>
      </c>
      <c r="D3132" s="324" t="str">
        <f>+'LISTA DE INSUMOS'!B651</f>
        <v>Limpiador removedor PVC 1/4</v>
      </c>
      <c r="E3132" s="322" t="str">
        <f>+'LISTA DE INSUMOS'!C651</f>
        <v>Un</v>
      </c>
      <c r="F3132" s="351">
        <v>1.4999999999999999E-2</v>
      </c>
      <c r="G3132" s="312">
        <f>+'LISTA DE INSUMOS'!E651</f>
        <v>55927.469152499994</v>
      </c>
      <c r="H3132" s="322">
        <v>1.03</v>
      </c>
      <c r="I3132" s="312">
        <f>ROUND((F3132*G3132*H3132),0)</f>
        <v>864</v>
      </c>
      <c r="J3132" s="313"/>
      <c r="K3132" s="323"/>
    </row>
    <row r="3133" spans="2:11" s="317" customFormat="1" ht="24.9" hidden="1" customHeight="1" x14ac:dyDescent="0.2">
      <c r="B3133" s="691"/>
      <c r="C3133" s="322" t="str">
        <f>+'LISTA DE INSUMOS'!A650</f>
        <v>MAT666</v>
      </c>
      <c r="D3133" s="324" t="str">
        <f>+'LISTA DE INSUMOS'!B650</f>
        <v>Soldadura liquida para PVC 1/4 GL</v>
      </c>
      <c r="E3133" s="322" t="str">
        <f>+'LISTA DE INSUMOS'!C650</f>
        <v>Un</v>
      </c>
      <c r="F3133" s="351">
        <v>1.4999999999999999E-2</v>
      </c>
      <c r="G3133" s="312">
        <f>+'LISTA DE INSUMOS'!E650</f>
        <v>116100.56750324999</v>
      </c>
      <c r="H3133" s="322">
        <v>1.03</v>
      </c>
      <c r="I3133" s="312">
        <f>ROUND((F3133*G3133*H3133),0)</f>
        <v>1794</v>
      </c>
      <c r="J3133" s="313"/>
      <c r="K3133" s="323"/>
    </row>
    <row r="3134" spans="2:11" s="317" customFormat="1" ht="24.9" hidden="1" customHeight="1" x14ac:dyDescent="0.2">
      <c r="B3134" s="691"/>
      <c r="C3134" s="322" t="str">
        <f>+'LISTA DE INSUMOS'!A332</f>
        <v>MAT315</v>
      </c>
      <c r="D3134" s="324" t="str">
        <f>+'LISTA DE INSUMOS'!B332</f>
        <v>Cheque de 1 1/2" 200 psi</v>
      </c>
      <c r="E3134" s="322" t="str">
        <f>+'LISTA DE INSUMOS'!C332</f>
        <v>Un</v>
      </c>
      <c r="F3134" s="325">
        <v>1</v>
      </c>
      <c r="G3134" s="312">
        <f>'LISTA DE INSUMOS'!E332</f>
        <v>306855.748815</v>
      </c>
      <c r="H3134" s="322">
        <v>0</v>
      </c>
      <c r="I3134" s="312">
        <f>ROUND((F3134*G3134),0)</f>
        <v>306856</v>
      </c>
      <c r="J3134" s="313"/>
      <c r="K3134" s="323"/>
    </row>
    <row r="3135" spans="2:11" s="317" customFormat="1" ht="24.9" hidden="1" customHeight="1" x14ac:dyDescent="0.2">
      <c r="B3135" s="691"/>
      <c r="C3135" s="322" t="str">
        <f>+'LISTA DE INSUMOS'!A370</f>
        <v>MAT363</v>
      </c>
      <c r="D3135" s="324" t="str">
        <f>+'LISTA DE INSUMOS'!B370</f>
        <v>Cinta Teflón 1/2" x 10 m x 0.30 Densidad</v>
      </c>
      <c r="E3135" s="322" t="str">
        <f>+'LISTA DE INSUMOS'!C370</f>
        <v>Un</v>
      </c>
      <c r="F3135" s="325">
        <v>1</v>
      </c>
      <c r="G3135" s="312">
        <f>'LISTA DE INSUMOS'!E370</f>
        <v>2584.69930488</v>
      </c>
      <c r="H3135" s="322">
        <f>1/50</f>
        <v>0.02</v>
      </c>
      <c r="I3135" s="312">
        <f>ROUND((F3135*G3135*H3135),0)</f>
        <v>52</v>
      </c>
      <c r="J3135" s="313"/>
      <c r="K3135" s="323"/>
    </row>
    <row r="3136" spans="2:11" s="317" customFormat="1" ht="24.9" hidden="1" customHeight="1" thickBot="1" x14ac:dyDescent="0.25">
      <c r="B3136" s="692"/>
      <c r="C3136" s="322" t="str">
        <f>+'LISTA DE INSUMOS'!A388</f>
        <v>MAT381</v>
      </c>
      <c r="D3136" s="324" t="str">
        <f>+'LISTA DE INSUMOS'!B388</f>
        <v>Adaptador PVC macho de 1 1/2" presión</v>
      </c>
      <c r="E3136" s="322" t="str">
        <f>+'LISTA DE INSUMOS'!C388</f>
        <v>Un</v>
      </c>
      <c r="F3136" s="325">
        <v>2</v>
      </c>
      <c r="G3136" s="312">
        <f>'LISTA DE INSUMOS'!E388</f>
        <v>4816.9396136400001</v>
      </c>
      <c r="H3136" s="322">
        <v>0</v>
      </c>
      <c r="I3136" s="312">
        <f>ROUND((F3136*G3136),0)</f>
        <v>9634</v>
      </c>
      <c r="J3136" s="313"/>
      <c r="K3136" s="323"/>
    </row>
    <row r="3137" spans="2:11" s="317" customFormat="1" ht="24.9" hidden="1" customHeight="1" thickTop="1" thickBot="1" x14ac:dyDescent="0.25">
      <c r="B3137" s="372" t="s">
        <v>1034</v>
      </c>
      <c r="C3137" s="322" t="str">
        <f>+'LISTA DE INSUMOS'!A5</f>
        <v>MOB002</v>
      </c>
      <c r="D3137" s="324" t="str">
        <f>+'LISTA DE INSUMOS'!B5</f>
        <v>Oficial (jornal + prestaciones)</v>
      </c>
      <c r="E3137" s="322" t="str">
        <f>+'LISTA DE INSUMOS'!C5</f>
        <v>Día</v>
      </c>
      <c r="F3137" s="325">
        <v>1</v>
      </c>
      <c r="G3137" s="312">
        <f>'LISTA DE INSUMOS'!E5</f>
        <v>163723</v>
      </c>
      <c r="H3137" s="322">
        <f>1/15</f>
        <v>6.6666666666666666E-2</v>
      </c>
      <c r="I3137" s="312">
        <f>ROUND((F3137*G3137*H3137),0)</f>
        <v>10915</v>
      </c>
      <c r="J3137" s="313"/>
      <c r="K3137" s="323"/>
    </row>
    <row r="3138" spans="2:11" s="317" customFormat="1" ht="24.9" hidden="1" customHeight="1" thickTop="1" thickBot="1" x14ac:dyDescent="0.25">
      <c r="B3138" s="255" t="s">
        <v>1033</v>
      </c>
      <c r="C3138" s="327" t="str">
        <f>+'LISTA DE INSUMOS'!A758</f>
        <v>EQU002</v>
      </c>
      <c r="D3138" s="328" t="str">
        <f>+'LISTA DE INSUMOS'!B758</f>
        <v>Herramienta menor (% mano obra)</v>
      </c>
      <c r="E3138" s="329" t="str">
        <f>+'LISTA DE INSUMOS'!C758</f>
        <v>%MO</v>
      </c>
      <c r="F3138" s="330">
        <v>0.1</v>
      </c>
      <c r="G3138" s="331">
        <f>I3137</f>
        <v>10915</v>
      </c>
      <c r="H3138" s="329">
        <v>0</v>
      </c>
      <c r="I3138" s="331">
        <f>ROUND((F3138*G3138),0)</f>
        <v>1092</v>
      </c>
      <c r="J3138" s="313"/>
      <c r="K3138" s="323"/>
    </row>
    <row r="3139" spans="2:11" ht="24.9" customHeight="1" x14ac:dyDescent="0.2">
      <c r="B3139" s="117" t="s">
        <v>1628</v>
      </c>
      <c r="C3139" s="117"/>
      <c r="D3139" s="112" t="s">
        <v>28</v>
      </c>
      <c r="E3139" s="117" t="s">
        <v>1435</v>
      </c>
      <c r="F3139" s="118"/>
      <c r="G3139" s="119">
        <f>ROUND(SUM(I3140:I3146),0)</f>
        <v>100233</v>
      </c>
      <c r="H3139" s="120"/>
      <c r="I3139" s="119"/>
      <c r="J3139" s="47"/>
      <c r="K3139" s="143"/>
    </row>
    <row r="3140" spans="2:11" ht="24.9" customHeight="1" x14ac:dyDescent="0.2">
      <c r="B3140" s="672" t="s">
        <v>1035</v>
      </c>
      <c r="C3140" s="108" t="str">
        <f>+'LISTA DE INSUMOS'!A101</f>
        <v>MAT061</v>
      </c>
      <c r="D3140" s="139" t="str">
        <f>+'LISTA DE INSUMOS'!B101</f>
        <v>Adaptador PVC macho de 1" presión</v>
      </c>
      <c r="E3140" s="108" t="str">
        <f>+'LISTA DE INSUMOS'!C101</f>
        <v>Un</v>
      </c>
      <c r="F3140" s="140">
        <v>2</v>
      </c>
      <c r="G3140" s="141">
        <f>'LISTA DE INSUMOS'!E101</f>
        <v>2853.4799999999996</v>
      </c>
      <c r="H3140" s="108">
        <v>0</v>
      </c>
      <c r="I3140" s="141">
        <f>ROUND((F3140*G3140),0)</f>
        <v>5707</v>
      </c>
      <c r="J3140" s="47"/>
      <c r="K3140" s="143"/>
    </row>
    <row r="3141" spans="2:11" ht="24.9" customHeight="1" x14ac:dyDescent="0.2">
      <c r="B3141" s="672"/>
      <c r="C3141" s="108" t="str">
        <f>+'LISTA DE INSUMOS'!A651</f>
        <v>MAT667</v>
      </c>
      <c r="D3141" s="139" t="str">
        <f>+'LISTA DE INSUMOS'!B651</f>
        <v>Limpiador removedor PVC 1/4</v>
      </c>
      <c r="E3141" s="108" t="str">
        <f>+'LISTA DE INSUMOS'!C651</f>
        <v>Un</v>
      </c>
      <c r="F3141" s="152">
        <v>0.01</v>
      </c>
      <c r="G3141" s="141">
        <f>+'LISTA DE INSUMOS'!E651</f>
        <v>55927.469152499994</v>
      </c>
      <c r="H3141" s="108">
        <v>1.03</v>
      </c>
      <c r="I3141" s="141">
        <f>ROUND((F3141*G3141*H3141),0)</f>
        <v>576</v>
      </c>
      <c r="J3141" s="47"/>
      <c r="K3141" s="143"/>
    </row>
    <row r="3142" spans="2:11" ht="24.9" customHeight="1" x14ac:dyDescent="0.2">
      <c r="B3142" s="672"/>
      <c r="C3142" s="108" t="str">
        <f>+'LISTA DE INSUMOS'!A650</f>
        <v>MAT666</v>
      </c>
      <c r="D3142" s="139" t="str">
        <f>+'LISTA DE INSUMOS'!B650</f>
        <v>Soldadura liquida para PVC 1/4 GL</v>
      </c>
      <c r="E3142" s="108" t="str">
        <f>+'LISTA DE INSUMOS'!C650</f>
        <v>Un</v>
      </c>
      <c r="F3142" s="152">
        <v>0.01</v>
      </c>
      <c r="G3142" s="141">
        <f>+'LISTA DE INSUMOS'!E650</f>
        <v>116100.56750324999</v>
      </c>
      <c r="H3142" s="108">
        <v>1.03</v>
      </c>
      <c r="I3142" s="141">
        <f>ROUND((F3142*G3142*H3142),0)</f>
        <v>1196</v>
      </c>
      <c r="J3142" s="47"/>
      <c r="K3142" s="143"/>
    </row>
    <row r="3143" spans="2:11" ht="24.9" customHeight="1" x14ac:dyDescent="0.2">
      <c r="B3143" s="672"/>
      <c r="C3143" s="108" t="str">
        <f>+'LISTA DE INSUMOS'!A334</f>
        <v>MAT317</v>
      </c>
      <c r="D3143" s="139" t="str">
        <f>+'LISTA DE INSUMOS'!B334</f>
        <v>Cheque de 1"    200 psi</v>
      </c>
      <c r="E3143" s="108" t="str">
        <f>+'LISTA DE INSUMOS'!C334</f>
        <v>Un</v>
      </c>
      <c r="F3143" s="140">
        <v>1</v>
      </c>
      <c r="G3143" s="141">
        <f>'LISTA DE INSUMOS'!E334</f>
        <v>80694.559637999992</v>
      </c>
      <c r="H3143" s="108">
        <v>0</v>
      </c>
      <c r="I3143" s="141">
        <f>ROUND((F3143*G3143),0)</f>
        <v>80695</v>
      </c>
      <c r="J3143" s="47"/>
      <c r="K3143" s="143"/>
    </row>
    <row r="3144" spans="2:11" ht="24.9" customHeight="1" thickBot="1" x14ac:dyDescent="0.25">
      <c r="B3144" s="673"/>
      <c r="C3144" s="108" t="str">
        <f>+'LISTA DE INSUMOS'!A370</f>
        <v>MAT363</v>
      </c>
      <c r="D3144" s="139" t="str">
        <f>+'LISTA DE INSUMOS'!B370</f>
        <v>Cinta Teflón 1/2" x 10 m x 0.30 Densidad</v>
      </c>
      <c r="E3144" s="108" t="str">
        <f>+'LISTA DE INSUMOS'!C370</f>
        <v>Un</v>
      </c>
      <c r="F3144" s="140">
        <v>1</v>
      </c>
      <c r="G3144" s="141">
        <f>'LISTA DE INSUMOS'!E370</f>
        <v>2584.69930488</v>
      </c>
      <c r="H3144" s="108">
        <f>1/50</f>
        <v>0.02</v>
      </c>
      <c r="I3144" s="141">
        <f>ROUND((F3144*G3144*H3144),0)</f>
        <v>52</v>
      </c>
      <c r="J3144" s="47"/>
      <c r="K3144" s="143"/>
    </row>
    <row r="3145" spans="2:11" ht="24.9" customHeight="1" thickTop="1" thickBot="1" x14ac:dyDescent="0.25">
      <c r="B3145" s="250" t="s">
        <v>1034</v>
      </c>
      <c r="C3145" s="108" t="str">
        <f>+'LISTA DE INSUMOS'!A5</f>
        <v>MOB002</v>
      </c>
      <c r="D3145" s="139" t="str">
        <f>+'LISTA DE INSUMOS'!B5</f>
        <v>Oficial (jornal + prestaciones)</v>
      </c>
      <c r="E3145" s="108" t="str">
        <f>+'LISTA DE INSUMOS'!C5</f>
        <v>Día</v>
      </c>
      <c r="F3145" s="140">
        <v>1</v>
      </c>
      <c r="G3145" s="141">
        <f>'LISTA DE INSUMOS'!E5</f>
        <v>163723</v>
      </c>
      <c r="H3145" s="108">
        <f>1/15</f>
        <v>6.6666666666666666E-2</v>
      </c>
      <c r="I3145" s="141">
        <f>ROUND((F3145*G3145*H3145),0)</f>
        <v>10915</v>
      </c>
      <c r="J3145" s="47"/>
      <c r="K3145" s="143"/>
    </row>
    <row r="3146" spans="2:11" ht="24.9" customHeight="1" thickTop="1" thickBot="1" x14ac:dyDescent="0.25">
      <c r="B3146" s="150" t="s">
        <v>1033</v>
      </c>
      <c r="C3146" s="151" t="str">
        <f>+'LISTA DE INSUMOS'!A758</f>
        <v>EQU002</v>
      </c>
      <c r="D3146" s="146" t="str">
        <f>+'LISTA DE INSUMOS'!B758</f>
        <v>Herramienta menor (% mano obra)</v>
      </c>
      <c r="E3146" s="145" t="str">
        <f>+'LISTA DE INSUMOS'!C758</f>
        <v>%MO</v>
      </c>
      <c r="F3146" s="147">
        <v>0.1</v>
      </c>
      <c r="G3146" s="148">
        <f>I3145</f>
        <v>10915</v>
      </c>
      <c r="H3146" s="145">
        <v>0</v>
      </c>
      <c r="I3146" s="148">
        <f>ROUND((F3146*G3146),0)</f>
        <v>1092</v>
      </c>
      <c r="J3146" s="47"/>
      <c r="K3146" s="143"/>
    </row>
    <row r="3147" spans="2:11" ht="24.9" customHeight="1" x14ac:dyDescent="0.2">
      <c r="B3147" s="117" t="s">
        <v>1627</v>
      </c>
      <c r="C3147" s="117"/>
      <c r="D3147" s="112" t="s">
        <v>29</v>
      </c>
      <c r="E3147" s="117" t="s">
        <v>1435</v>
      </c>
      <c r="F3147" s="118"/>
      <c r="G3147" s="119">
        <f>ROUND(SUM(I3148:I3154),0)</f>
        <v>107903</v>
      </c>
      <c r="H3147" s="120"/>
      <c r="I3147" s="119"/>
      <c r="J3147" s="47"/>
      <c r="K3147" s="143"/>
    </row>
    <row r="3148" spans="2:11" ht="24.9" customHeight="1" x14ac:dyDescent="0.2">
      <c r="B3148" s="672" t="s">
        <v>1035</v>
      </c>
      <c r="C3148" s="108" t="str">
        <f>+'LISTA DE INSUMOS'!A651</f>
        <v>MAT667</v>
      </c>
      <c r="D3148" s="139" t="str">
        <f>+'LISTA DE INSUMOS'!B651</f>
        <v>Limpiador removedor PVC 1/4</v>
      </c>
      <c r="E3148" s="108" t="str">
        <f>+'LISTA DE INSUMOS'!C651</f>
        <v>Un</v>
      </c>
      <c r="F3148" s="152">
        <v>6.0000000000000001E-3</v>
      </c>
      <c r="G3148" s="141">
        <f>+'LISTA DE INSUMOS'!E651</f>
        <v>55927.469152499994</v>
      </c>
      <c r="H3148" s="108">
        <v>1.03</v>
      </c>
      <c r="I3148" s="141">
        <f>ROUND((F3148*G3148*H3148),0)</f>
        <v>346</v>
      </c>
      <c r="J3148" s="47"/>
      <c r="K3148" s="143"/>
    </row>
    <row r="3149" spans="2:11" ht="24.9" customHeight="1" x14ac:dyDescent="0.2">
      <c r="B3149" s="672"/>
      <c r="C3149" s="108" t="str">
        <f>+'LISTA DE INSUMOS'!A650</f>
        <v>MAT666</v>
      </c>
      <c r="D3149" s="139" t="str">
        <f>+'LISTA DE INSUMOS'!B650</f>
        <v>Soldadura liquida para PVC 1/4 GL</v>
      </c>
      <c r="E3149" s="108" t="str">
        <f>+'LISTA DE INSUMOS'!C650</f>
        <v>Un</v>
      </c>
      <c r="F3149" s="152">
        <v>6.0000000000000001E-3</v>
      </c>
      <c r="G3149" s="141">
        <f>+'LISTA DE INSUMOS'!E650</f>
        <v>116100.56750324999</v>
      </c>
      <c r="H3149" s="108">
        <v>1.03</v>
      </c>
      <c r="I3149" s="141">
        <f>ROUND((F3149*G3149*H3149),0)</f>
        <v>718</v>
      </c>
      <c r="J3149" s="47"/>
      <c r="K3149" s="143"/>
    </row>
    <row r="3150" spans="2:11" ht="24.9" customHeight="1" x14ac:dyDescent="0.2">
      <c r="B3150" s="672"/>
      <c r="C3150" s="108" t="str">
        <f>+'LISTA DE INSUMOS'!A331</f>
        <v>MAT312</v>
      </c>
      <c r="D3150" s="139" t="str">
        <f>+'LISTA DE INSUMOS'!B331</f>
        <v>Cheque de 1/2" 200 psi</v>
      </c>
      <c r="E3150" s="108" t="str">
        <f>+'LISTA DE INSUMOS'!C331</f>
        <v>Un</v>
      </c>
      <c r="F3150" s="140">
        <v>1</v>
      </c>
      <c r="G3150" s="141">
        <f>'LISTA DE INSUMOS'!E331</f>
        <v>93746.142764999982</v>
      </c>
      <c r="H3150" s="108">
        <v>0</v>
      </c>
      <c r="I3150" s="141">
        <f>ROUND((F3150*G3150),0)</f>
        <v>93746</v>
      </c>
      <c r="J3150" s="47"/>
      <c r="K3150" s="143"/>
    </row>
    <row r="3151" spans="2:11" ht="24.9" customHeight="1" x14ac:dyDescent="0.2">
      <c r="B3151" s="672"/>
      <c r="C3151" s="108" t="str">
        <f>+'LISTA DE INSUMOS'!A370</f>
        <v>MAT363</v>
      </c>
      <c r="D3151" s="139" t="str">
        <f>+'LISTA DE INSUMOS'!B370</f>
        <v>Cinta Teflón 1/2" x 10 m x 0.30 Densidad</v>
      </c>
      <c r="E3151" s="108" t="str">
        <f>+'LISTA DE INSUMOS'!C370</f>
        <v>Un</v>
      </c>
      <c r="F3151" s="140">
        <v>1</v>
      </c>
      <c r="G3151" s="141">
        <f>'LISTA DE INSUMOS'!E370</f>
        <v>2584.69930488</v>
      </c>
      <c r="H3151" s="108">
        <f>1/50</f>
        <v>0.02</v>
      </c>
      <c r="I3151" s="141">
        <f>ROUND((F3151*G3151*H3151),0)</f>
        <v>52</v>
      </c>
      <c r="J3151" s="47"/>
      <c r="K3151" s="143"/>
    </row>
    <row r="3152" spans="2:11" ht="24.9" customHeight="1" thickBot="1" x14ac:dyDescent="0.25">
      <c r="B3152" s="673"/>
      <c r="C3152" s="108" t="str">
        <f>+'LISTA DE INSUMOS'!A372</f>
        <v>MAT365</v>
      </c>
      <c r="D3152" s="139" t="str">
        <f>+'LISTA DE INSUMOS'!B372</f>
        <v>Adaptador PVC macho de 1/2" presión</v>
      </c>
      <c r="E3152" s="108" t="str">
        <f>+'LISTA DE INSUMOS'!C372</f>
        <v>Un</v>
      </c>
      <c r="F3152" s="140">
        <v>2</v>
      </c>
      <c r="G3152" s="141">
        <f>'LISTA DE INSUMOS'!E372</f>
        <v>516.93986097599998</v>
      </c>
      <c r="H3152" s="108">
        <v>0</v>
      </c>
      <c r="I3152" s="141">
        <f>ROUND((F3152*G3152),0)</f>
        <v>1034</v>
      </c>
      <c r="J3152" s="47"/>
      <c r="K3152" s="143"/>
    </row>
    <row r="3153" spans="2:11" ht="24.9" customHeight="1" thickTop="1" thickBot="1" x14ac:dyDescent="0.25">
      <c r="B3153" s="250" t="s">
        <v>1034</v>
      </c>
      <c r="C3153" s="108" t="str">
        <f>+'LISTA DE INSUMOS'!A5</f>
        <v>MOB002</v>
      </c>
      <c r="D3153" s="139" t="str">
        <f>+'LISTA DE INSUMOS'!B5</f>
        <v>Oficial (jornal + prestaciones)</v>
      </c>
      <c r="E3153" s="108" t="str">
        <f>+'LISTA DE INSUMOS'!C5</f>
        <v>Día</v>
      </c>
      <c r="F3153" s="140">
        <v>1</v>
      </c>
      <c r="G3153" s="141">
        <f>'LISTA DE INSUMOS'!E5</f>
        <v>163723</v>
      </c>
      <c r="H3153" s="108">
        <f>1/15</f>
        <v>6.6666666666666666E-2</v>
      </c>
      <c r="I3153" s="141">
        <f>ROUND((F3153*G3153*H3153),0)</f>
        <v>10915</v>
      </c>
      <c r="J3153" s="47"/>
      <c r="K3153" s="143"/>
    </row>
    <row r="3154" spans="2:11" ht="24.9" customHeight="1" thickTop="1" thickBot="1" x14ac:dyDescent="0.25">
      <c r="B3154" s="150" t="s">
        <v>1033</v>
      </c>
      <c r="C3154" s="151" t="str">
        <f>+'LISTA DE INSUMOS'!A758</f>
        <v>EQU002</v>
      </c>
      <c r="D3154" s="146" t="str">
        <f>+'LISTA DE INSUMOS'!B758</f>
        <v>Herramienta menor (% mano obra)</v>
      </c>
      <c r="E3154" s="145" t="str">
        <f>+'LISTA DE INSUMOS'!C758</f>
        <v>%MO</v>
      </c>
      <c r="F3154" s="147">
        <v>0.1</v>
      </c>
      <c r="G3154" s="148">
        <f>I3153</f>
        <v>10915</v>
      </c>
      <c r="H3154" s="145">
        <v>0</v>
      </c>
      <c r="I3154" s="148">
        <f>ROUND((F3154*G3154),0)</f>
        <v>1092</v>
      </c>
      <c r="J3154" s="47"/>
      <c r="K3154" s="143"/>
    </row>
    <row r="3155" spans="2:11" ht="24.9" customHeight="1" x14ac:dyDescent="0.2">
      <c r="B3155" s="117" t="s">
        <v>1820</v>
      </c>
      <c r="C3155" s="117"/>
      <c r="D3155" s="112" t="s">
        <v>30</v>
      </c>
      <c r="E3155" s="117" t="s">
        <v>1435</v>
      </c>
      <c r="F3155" s="118"/>
      <c r="G3155" s="119">
        <f>ROUND(SUM(I3156:I3164),0)</f>
        <v>140752</v>
      </c>
      <c r="H3155" s="120"/>
      <c r="I3155" s="119"/>
      <c r="J3155" s="47"/>
      <c r="K3155" s="143"/>
    </row>
    <row r="3156" spans="2:11" ht="24.9" customHeight="1" x14ac:dyDescent="0.2">
      <c r="B3156" s="672" t="s">
        <v>1035</v>
      </c>
      <c r="C3156" s="108" t="str">
        <f>+'LISTA DE INSUMOS'!A233</f>
        <v>MAT201</v>
      </c>
      <c r="D3156" s="139" t="str">
        <f>+'LISTA DE INSUMOS'!B233</f>
        <v>Adaptador macho PF + UAD 1/2"</v>
      </c>
      <c r="E3156" s="108" t="str">
        <f>+'LISTA DE INSUMOS'!C233</f>
        <v>Un</v>
      </c>
      <c r="F3156" s="140">
        <v>2</v>
      </c>
      <c r="G3156" s="141">
        <f>'LISTA DE INSUMOS'!E233</f>
        <v>3465.8467951799994</v>
      </c>
      <c r="H3156" s="108">
        <v>0</v>
      </c>
      <c r="I3156" s="141">
        <f>ROUND((F3156*G3156),0)</f>
        <v>6932</v>
      </c>
      <c r="J3156" s="47"/>
      <c r="K3156" s="143"/>
    </row>
    <row r="3157" spans="2:11" ht="24.9" customHeight="1" x14ac:dyDescent="0.2">
      <c r="B3157" s="672"/>
      <c r="C3157" s="108" t="str">
        <f>+'LISTA DE INSUMOS'!A189</f>
        <v>MAT145</v>
      </c>
      <c r="D3157" s="139" t="str">
        <f>+'LISTA DE INSUMOS'!B189</f>
        <v>Tubería PF + UAD 1/2" (manguera)</v>
      </c>
      <c r="E3157" s="108" t="str">
        <f>+'LISTA DE INSUMOS'!C189</f>
        <v>M</v>
      </c>
      <c r="F3157" s="140">
        <v>3</v>
      </c>
      <c r="G3157" s="141">
        <f>'LISTA DE INSUMOS'!E189</f>
        <v>3914.8795562368796</v>
      </c>
      <c r="H3157" s="108">
        <v>1.05</v>
      </c>
      <c r="I3157" s="141">
        <f>ROUND((F3157*G3157),0)</f>
        <v>11745</v>
      </c>
      <c r="J3157" s="47"/>
      <c r="K3157" s="143"/>
    </row>
    <row r="3158" spans="2:11" ht="24.9" customHeight="1" x14ac:dyDescent="0.2">
      <c r="B3158" s="672"/>
      <c r="C3158" s="108" t="str">
        <f>+'LISTA DE INSUMOS'!A231</f>
        <v>MAT199</v>
      </c>
      <c r="D3158" s="139" t="str">
        <f>+'LISTA DE INSUMOS'!B231</f>
        <v>Collar de derivación unión platino de 3" x 1/2"</v>
      </c>
      <c r="E3158" s="108" t="str">
        <f>+'LISTA DE INSUMOS'!C231</f>
        <v>Un</v>
      </c>
      <c r="F3158" s="140">
        <v>1</v>
      </c>
      <c r="G3158" s="141">
        <f>'LISTA DE INSUMOS'!E231</f>
        <v>33351.290287558317</v>
      </c>
      <c r="H3158" s="108">
        <v>0</v>
      </c>
      <c r="I3158" s="141">
        <f>ROUND((F3158*G3158),0)</f>
        <v>33351</v>
      </c>
      <c r="J3158" s="47"/>
      <c r="K3158" s="143"/>
    </row>
    <row r="3159" spans="2:11" ht="24.9" customHeight="1" x14ac:dyDescent="0.2">
      <c r="B3159" s="672"/>
      <c r="C3159" s="108" t="str">
        <f>+'LISTA DE INSUMOS'!A651</f>
        <v>MAT667</v>
      </c>
      <c r="D3159" s="139" t="str">
        <f>+'LISTA DE INSUMOS'!B651</f>
        <v>Limpiador removedor PVC 1/4</v>
      </c>
      <c r="E3159" s="108" t="str">
        <f>+'LISTA DE INSUMOS'!C651</f>
        <v>Un</v>
      </c>
      <c r="F3159" s="152">
        <v>2.4E-2</v>
      </c>
      <c r="G3159" s="141">
        <f>+'LISTA DE INSUMOS'!E651</f>
        <v>55927.469152499994</v>
      </c>
      <c r="H3159" s="108">
        <v>1.03</v>
      </c>
      <c r="I3159" s="141">
        <f>ROUND((F3159*G3159*H3159),0)</f>
        <v>1383</v>
      </c>
      <c r="J3159" s="47"/>
      <c r="K3159" s="143"/>
    </row>
    <row r="3160" spans="2:11" ht="24.9" customHeight="1" x14ac:dyDescent="0.2">
      <c r="B3160" s="672"/>
      <c r="C3160" s="108" t="str">
        <f>+'LISTA DE INSUMOS'!A650</f>
        <v>MAT666</v>
      </c>
      <c r="D3160" s="139" t="str">
        <f>+'LISTA DE INSUMOS'!B650</f>
        <v>Soldadura liquida para PVC 1/4 GL</v>
      </c>
      <c r="E3160" s="108" t="str">
        <f>+'LISTA DE INSUMOS'!C650</f>
        <v>Un</v>
      </c>
      <c r="F3160" s="152">
        <v>2.4E-2</v>
      </c>
      <c r="G3160" s="141">
        <f>+'LISTA DE INSUMOS'!E650</f>
        <v>116100.56750324999</v>
      </c>
      <c r="H3160" s="108">
        <v>1.03</v>
      </c>
      <c r="I3160" s="141">
        <f>ROUND((F3160*G3160*H3160),0)</f>
        <v>2870</v>
      </c>
      <c r="J3160" s="47"/>
      <c r="K3160" s="143"/>
    </row>
    <row r="3161" spans="2:11" ht="24.9" customHeight="1" x14ac:dyDescent="0.2">
      <c r="B3161" s="672"/>
      <c r="C3161" s="108" t="str">
        <f>+'LISTA DE INSUMOS'!A330</f>
        <v>MAT311</v>
      </c>
      <c r="D3161" s="139" t="str">
        <f>+'LISTA DE INSUMOS'!B330</f>
        <v>Registro de incorporación de 1/2"</v>
      </c>
      <c r="E3161" s="108" t="str">
        <f>+'LISTA DE INSUMOS'!C330</f>
        <v>Un</v>
      </c>
      <c r="F3161" s="140">
        <v>1</v>
      </c>
      <c r="G3161" s="141">
        <f>'LISTA DE INSUMOS'!E330</f>
        <v>50651.26194273711</v>
      </c>
      <c r="H3161" s="108">
        <v>0</v>
      </c>
      <c r="I3161" s="141">
        <f>ROUND((F3161*G3161),0)</f>
        <v>50651</v>
      </c>
      <c r="J3161" s="47"/>
      <c r="K3161" s="143"/>
    </row>
    <row r="3162" spans="2:11" ht="24.9" customHeight="1" thickBot="1" x14ac:dyDescent="0.25">
      <c r="B3162" s="673"/>
      <c r="C3162" s="108" t="str">
        <f>+'LISTA DE INSUMOS'!A370</f>
        <v>MAT363</v>
      </c>
      <c r="D3162" s="139" t="str">
        <f>+'LISTA DE INSUMOS'!B370</f>
        <v>Cinta Teflón 1/2" x 10 m x 0.30 Densidad</v>
      </c>
      <c r="E3162" s="108" t="str">
        <f>+'LISTA DE INSUMOS'!C370</f>
        <v>Un</v>
      </c>
      <c r="F3162" s="140">
        <v>1</v>
      </c>
      <c r="G3162" s="141">
        <f>'LISTA DE INSUMOS'!E370</f>
        <v>2584.69930488</v>
      </c>
      <c r="H3162" s="108">
        <f>1/50</f>
        <v>0.02</v>
      </c>
      <c r="I3162" s="141">
        <f>ROUND((F3162*G3162*H3162),0)</f>
        <v>52</v>
      </c>
      <c r="J3162" s="47"/>
      <c r="K3162" s="143"/>
    </row>
    <row r="3163" spans="2:11" ht="24.9" customHeight="1" thickTop="1" thickBot="1" x14ac:dyDescent="0.25">
      <c r="B3163" s="250" t="s">
        <v>1034</v>
      </c>
      <c r="C3163" s="108" t="str">
        <f>+'LISTA DE INSUMOS'!A18</f>
        <v>MOB015</v>
      </c>
      <c r="D3163" s="139" t="str">
        <f>+'LISTA DE INSUMOS'!B18</f>
        <v>Cuadrilla E 1 Of + 1 Ay (jornal + prestaciones)</v>
      </c>
      <c r="E3163" s="108" t="str">
        <f>+'LISTA DE INSUMOS'!C18</f>
        <v>Día</v>
      </c>
      <c r="F3163" s="140">
        <v>1</v>
      </c>
      <c r="G3163" s="141">
        <f>'LISTA DE INSUMOS'!E18</f>
        <v>245584</v>
      </c>
      <c r="H3163" s="108">
        <f>1/8</f>
        <v>0.125</v>
      </c>
      <c r="I3163" s="141">
        <f>ROUND((F3163*G3163*H3163),0)</f>
        <v>30698</v>
      </c>
      <c r="J3163" s="47"/>
      <c r="K3163" s="143"/>
    </row>
    <row r="3164" spans="2:11" ht="24.9" customHeight="1" thickTop="1" thickBot="1" x14ac:dyDescent="0.25">
      <c r="B3164" s="150" t="s">
        <v>1033</v>
      </c>
      <c r="C3164" s="151" t="str">
        <f>+'LISTA DE INSUMOS'!A758</f>
        <v>EQU002</v>
      </c>
      <c r="D3164" s="146" t="str">
        <f>+'LISTA DE INSUMOS'!B758</f>
        <v>Herramienta menor (% mano obra)</v>
      </c>
      <c r="E3164" s="145" t="str">
        <f>+'LISTA DE INSUMOS'!C758</f>
        <v>%MO</v>
      </c>
      <c r="F3164" s="147">
        <v>0.1</v>
      </c>
      <c r="G3164" s="148">
        <f>I3163</f>
        <v>30698</v>
      </c>
      <c r="H3164" s="145">
        <v>0</v>
      </c>
      <c r="I3164" s="148">
        <f>ROUND((F3164*G3164),0)</f>
        <v>3070</v>
      </c>
      <c r="J3164" s="47"/>
      <c r="K3164" s="143"/>
    </row>
    <row r="3165" spans="2:11" ht="24.9" customHeight="1" x14ac:dyDescent="0.2">
      <c r="B3165" s="117" t="s">
        <v>1811</v>
      </c>
      <c r="C3165" s="117"/>
      <c r="D3165" s="112" t="s">
        <v>1890</v>
      </c>
      <c r="E3165" s="117" t="s">
        <v>1435</v>
      </c>
      <c r="F3165" s="149"/>
      <c r="G3165" s="119">
        <f>ROUND(SUM(I3166:I3171),0)</f>
        <v>50239</v>
      </c>
      <c r="H3165" s="120"/>
      <c r="I3165" s="119"/>
      <c r="J3165" s="47"/>
      <c r="K3165" s="143"/>
    </row>
    <row r="3166" spans="2:11" ht="24.9" customHeight="1" x14ac:dyDescent="0.2">
      <c r="B3166" s="672" t="s">
        <v>1035</v>
      </c>
      <c r="C3166" s="108" t="str">
        <f>+'LISTA DE INSUMOS'!A651</f>
        <v>MAT667</v>
      </c>
      <c r="D3166" s="139" t="str">
        <f>+'LISTA DE INSUMOS'!B651</f>
        <v>Limpiador removedor PVC 1/4</v>
      </c>
      <c r="E3166" s="108" t="str">
        <f>+'LISTA DE INSUMOS'!C651</f>
        <v>Un</v>
      </c>
      <c r="F3166" s="152">
        <v>6.0000000000000001E-3</v>
      </c>
      <c r="G3166" s="141">
        <f>+'LISTA DE INSUMOS'!E651</f>
        <v>55927.469152499994</v>
      </c>
      <c r="H3166" s="108">
        <v>1.03</v>
      </c>
      <c r="I3166" s="141">
        <f>ROUND((F3166*G3166*H3166),0)</f>
        <v>346</v>
      </c>
      <c r="J3166" s="47"/>
      <c r="K3166" s="143"/>
    </row>
    <row r="3167" spans="2:11" ht="24.9" customHeight="1" x14ac:dyDescent="0.2">
      <c r="B3167" s="672"/>
      <c r="C3167" s="108" t="str">
        <f>+'LISTA DE INSUMOS'!A650</f>
        <v>MAT666</v>
      </c>
      <c r="D3167" s="139" t="str">
        <f>+'LISTA DE INSUMOS'!B650</f>
        <v>Soldadura liquida para PVC 1/4 GL</v>
      </c>
      <c r="E3167" s="108" t="str">
        <f>+'LISTA DE INSUMOS'!C650</f>
        <v>Un</v>
      </c>
      <c r="F3167" s="152">
        <v>6.0000000000000001E-3</v>
      </c>
      <c r="G3167" s="141">
        <f>+'LISTA DE INSUMOS'!E650</f>
        <v>116100.56750324999</v>
      </c>
      <c r="H3167" s="108">
        <v>1.03</v>
      </c>
      <c r="I3167" s="141">
        <f>ROUND((F3167*G3167*H3167),0)</f>
        <v>718</v>
      </c>
      <c r="J3167" s="47"/>
      <c r="K3167" s="143"/>
    </row>
    <row r="3168" spans="2:11" ht="24.9" customHeight="1" x14ac:dyDescent="0.2">
      <c r="B3168" s="672"/>
      <c r="C3168" s="108" t="str">
        <f>+'LISTA DE INSUMOS'!A370</f>
        <v>MAT363</v>
      </c>
      <c r="D3168" s="139" t="str">
        <f>+'LISTA DE INSUMOS'!B370</f>
        <v>Cinta Teflón 1/2" x 10 m x 0.30 Densidad</v>
      </c>
      <c r="E3168" s="108" t="str">
        <f>+'LISTA DE INSUMOS'!C370</f>
        <v>Un</v>
      </c>
      <c r="F3168" s="140">
        <v>1</v>
      </c>
      <c r="G3168" s="141">
        <f>'LISTA DE INSUMOS'!E370</f>
        <v>2584.69930488</v>
      </c>
      <c r="H3168" s="108">
        <f>1/50</f>
        <v>0.02</v>
      </c>
      <c r="I3168" s="141">
        <f>ROUND((F3168*G3168*H3168),0)</f>
        <v>52</v>
      </c>
      <c r="J3168" s="47"/>
      <c r="K3168" s="143"/>
    </row>
    <row r="3169" spans="2:11" ht="24.9" customHeight="1" thickBot="1" x14ac:dyDescent="0.25">
      <c r="B3169" s="673"/>
      <c r="C3169" s="108" t="str">
        <f>+'LISTA DE INSUMOS'!A363</f>
        <v>MAT356</v>
      </c>
      <c r="D3169" s="139" t="str">
        <f>+'LISTA DE INSUMOS'!B363</f>
        <v>Registro de corte de 1/2"</v>
      </c>
      <c r="E3169" s="108" t="str">
        <f>+'LISTA DE INSUMOS'!C363</f>
        <v>Un</v>
      </c>
      <c r="F3169" s="140">
        <v>1</v>
      </c>
      <c r="G3169" s="141">
        <f>'LISTA DE INSUMOS'!E363</f>
        <v>31113.985434531514</v>
      </c>
      <c r="H3169" s="108">
        <v>0</v>
      </c>
      <c r="I3169" s="141">
        <f>ROUND((F3169*G3169),0)</f>
        <v>31114</v>
      </c>
      <c r="J3169" s="47"/>
      <c r="K3169" s="143"/>
    </row>
    <row r="3170" spans="2:11" ht="24.9" customHeight="1" thickTop="1" thickBot="1" x14ac:dyDescent="0.25">
      <c r="B3170" s="250" t="s">
        <v>1034</v>
      </c>
      <c r="C3170" s="108" t="str">
        <f>+'LISTA DE INSUMOS'!A18</f>
        <v>MOB015</v>
      </c>
      <c r="D3170" s="139" t="str">
        <f>+'LISTA DE INSUMOS'!B18</f>
        <v>Cuadrilla E 1 Of + 1 Ay (jornal + prestaciones)</v>
      </c>
      <c r="E3170" s="108" t="str">
        <f>+'LISTA DE INSUMOS'!C18</f>
        <v>Día</v>
      </c>
      <c r="F3170" s="140">
        <v>1</v>
      </c>
      <c r="G3170" s="141">
        <f>'LISTA DE INSUMOS'!E18</f>
        <v>245584</v>
      </c>
      <c r="H3170" s="108">
        <f>1/15</f>
        <v>6.6666666666666666E-2</v>
      </c>
      <c r="I3170" s="141">
        <f>ROUND((F3170*G3170*H3170),0)</f>
        <v>16372</v>
      </c>
      <c r="J3170" s="47"/>
      <c r="K3170" s="143"/>
    </row>
    <row r="3171" spans="2:11" ht="24.9" customHeight="1" thickTop="1" thickBot="1" x14ac:dyDescent="0.25">
      <c r="B3171" s="150" t="s">
        <v>1033</v>
      </c>
      <c r="C3171" s="151" t="str">
        <f>+'LISTA DE INSUMOS'!A758</f>
        <v>EQU002</v>
      </c>
      <c r="D3171" s="146" t="str">
        <f>+'LISTA DE INSUMOS'!B758</f>
        <v>Herramienta menor (% mano obra)</v>
      </c>
      <c r="E3171" s="145" t="str">
        <f>+'LISTA DE INSUMOS'!C758</f>
        <v>%MO</v>
      </c>
      <c r="F3171" s="147">
        <v>0.1</v>
      </c>
      <c r="G3171" s="148">
        <f>I3170</f>
        <v>16372</v>
      </c>
      <c r="H3171" s="145">
        <v>0</v>
      </c>
      <c r="I3171" s="148">
        <f>ROUND((F3171*G3171),0)</f>
        <v>1637</v>
      </c>
      <c r="J3171" s="47"/>
      <c r="K3171" s="143"/>
    </row>
    <row r="3172" spans="2:11" s="317" customFormat="1" ht="24.9" hidden="1" customHeight="1" x14ac:dyDescent="0.2">
      <c r="B3172" s="319" t="s">
        <v>1700</v>
      </c>
      <c r="C3172" s="319"/>
      <c r="D3172" s="320" t="s">
        <v>1721</v>
      </c>
      <c r="E3172" s="319" t="s">
        <v>1435</v>
      </c>
      <c r="F3172" s="321"/>
      <c r="G3172" s="312">
        <f>ROUND(SUM(I3173:I3180),0)</f>
        <v>470931</v>
      </c>
      <c r="H3172" s="322"/>
      <c r="I3172" s="312"/>
      <c r="J3172" s="313"/>
      <c r="K3172" s="323"/>
    </row>
    <row r="3173" spans="2:11" s="317" customFormat="1" ht="24.9" hidden="1" customHeight="1" x14ac:dyDescent="0.2">
      <c r="B3173" s="691" t="s">
        <v>1035</v>
      </c>
      <c r="C3173" s="322" t="str">
        <f>+'LISTA DE INSUMOS'!A651</f>
        <v>MAT667</v>
      </c>
      <c r="D3173" s="324" t="str">
        <f>+'LISTA DE INSUMOS'!B651</f>
        <v>Limpiador removedor PVC 1/4</v>
      </c>
      <c r="E3173" s="322" t="str">
        <f>+'LISTA DE INSUMOS'!C651</f>
        <v>Un</v>
      </c>
      <c r="F3173" s="351">
        <v>1.4999999999999999E-2</v>
      </c>
      <c r="G3173" s="312">
        <f>+'LISTA DE INSUMOS'!E651</f>
        <v>55927.469152499994</v>
      </c>
      <c r="H3173" s="322">
        <v>1.03</v>
      </c>
      <c r="I3173" s="312">
        <f>ROUND((F3173*G3173*H3173),0)</f>
        <v>864</v>
      </c>
      <c r="J3173" s="313"/>
      <c r="K3173" s="323"/>
    </row>
    <row r="3174" spans="2:11" s="317" customFormat="1" ht="24.9" hidden="1" customHeight="1" x14ac:dyDescent="0.2">
      <c r="B3174" s="691"/>
      <c r="C3174" s="322" t="str">
        <f>+'LISTA DE INSUMOS'!A650</f>
        <v>MAT666</v>
      </c>
      <c r="D3174" s="324" t="str">
        <f>+'LISTA DE INSUMOS'!B650</f>
        <v>Soldadura liquida para PVC 1/4 GL</v>
      </c>
      <c r="E3174" s="322" t="str">
        <f>+'LISTA DE INSUMOS'!C650</f>
        <v>Un</v>
      </c>
      <c r="F3174" s="351">
        <v>1.4999999999999999E-2</v>
      </c>
      <c r="G3174" s="312">
        <f>+'LISTA DE INSUMOS'!E650</f>
        <v>116100.56750324999</v>
      </c>
      <c r="H3174" s="322">
        <v>1.03</v>
      </c>
      <c r="I3174" s="312">
        <f>ROUND((F3174*G3174*H3174),0)</f>
        <v>1794</v>
      </c>
      <c r="J3174" s="313"/>
      <c r="K3174" s="323"/>
    </row>
    <row r="3175" spans="2:11" s="317" customFormat="1" ht="24.9" hidden="1" customHeight="1" x14ac:dyDescent="0.2">
      <c r="B3175" s="691"/>
      <c r="C3175" s="322" t="str">
        <f>+'LISTA DE INSUMOS'!A370</f>
        <v>MAT363</v>
      </c>
      <c r="D3175" s="324" t="str">
        <f>+'LISTA DE INSUMOS'!B370</f>
        <v>Cinta Teflón 1/2" x 10 m x 0.30 Densidad</v>
      </c>
      <c r="E3175" s="322" t="str">
        <f>+'LISTA DE INSUMOS'!C370</f>
        <v>Un</v>
      </c>
      <c r="F3175" s="325">
        <v>1</v>
      </c>
      <c r="G3175" s="312">
        <f>+'LISTA DE INSUMOS'!E370</f>
        <v>2584.69930488</v>
      </c>
      <c r="H3175" s="322">
        <f>1/50</f>
        <v>0.02</v>
      </c>
      <c r="I3175" s="312">
        <f>ROUND((F3175*G3175*H3175),0)</f>
        <v>52</v>
      </c>
      <c r="J3175" s="313"/>
      <c r="K3175" s="323"/>
    </row>
    <row r="3176" spans="2:11" s="317" customFormat="1" ht="24.9" hidden="1" customHeight="1" x14ac:dyDescent="0.2">
      <c r="B3176" s="691"/>
      <c r="C3176" s="322" t="str">
        <f>+'LISTA DE INSUMOS'!A382</f>
        <v>MAT376</v>
      </c>
      <c r="D3176" s="324" t="str">
        <f>+'LISTA DE INSUMOS'!B382</f>
        <v>Llave de paso tipo Red White de 1 1/2"</v>
      </c>
      <c r="E3176" s="322" t="str">
        <f>+'LISTA DE INSUMOS'!C382</f>
        <v>Un</v>
      </c>
      <c r="F3176" s="325">
        <v>1</v>
      </c>
      <c r="G3176" s="312">
        <f>'LISTA DE INSUMOS'!E382</f>
        <v>339970.55236649996</v>
      </c>
      <c r="H3176" s="322">
        <v>0</v>
      </c>
      <c r="I3176" s="312">
        <f>ROUND((F3176*G3176),0)</f>
        <v>339971</v>
      </c>
      <c r="J3176" s="313"/>
      <c r="K3176" s="323"/>
    </row>
    <row r="3177" spans="2:11" s="317" customFormat="1" ht="24.9" hidden="1" customHeight="1" x14ac:dyDescent="0.2">
      <c r="B3177" s="691"/>
      <c r="C3177" s="322" t="str">
        <f>+'LISTA DE INSUMOS'!A303</f>
        <v>MAT276</v>
      </c>
      <c r="D3177" s="324" t="str">
        <f>+'LISTA DE INSUMOS'!B303</f>
        <v>Universal PVC 1 1/2"</v>
      </c>
      <c r="E3177" s="322" t="str">
        <f>+'LISTA DE INSUMOS'!C303</f>
        <v>Un</v>
      </c>
      <c r="F3177" s="325">
        <v>2</v>
      </c>
      <c r="G3177" s="312">
        <f>'LISTA DE INSUMOS'!E303</f>
        <v>48051.909804359995</v>
      </c>
      <c r="H3177" s="322">
        <v>0</v>
      </c>
      <c r="I3177" s="312">
        <f>ROUND((F3177*G3177),0)</f>
        <v>96104</v>
      </c>
      <c r="J3177" s="313"/>
      <c r="K3177" s="323"/>
    </row>
    <row r="3178" spans="2:11" s="317" customFormat="1" ht="24.9" hidden="1" customHeight="1" thickBot="1" x14ac:dyDescent="0.25">
      <c r="B3178" s="692"/>
      <c r="C3178" s="322" t="str">
        <f>+'LISTA DE INSUMOS'!A388</f>
        <v>MAT381</v>
      </c>
      <c r="D3178" s="324" t="str">
        <f>+'LISTA DE INSUMOS'!B388</f>
        <v>Adaptador PVC macho de 1 1/2" presión</v>
      </c>
      <c r="E3178" s="322" t="str">
        <f>+'LISTA DE INSUMOS'!C388</f>
        <v>Un</v>
      </c>
      <c r="F3178" s="325">
        <v>2</v>
      </c>
      <c r="G3178" s="312">
        <f>'LISTA DE INSUMOS'!E388</f>
        <v>4816.9396136400001</v>
      </c>
      <c r="H3178" s="322">
        <v>0</v>
      </c>
      <c r="I3178" s="312">
        <f>ROUND((F3178*G3178),0)</f>
        <v>9634</v>
      </c>
      <c r="J3178" s="313"/>
      <c r="K3178" s="323"/>
    </row>
    <row r="3179" spans="2:11" s="317" customFormat="1" ht="24.9" hidden="1" customHeight="1" thickTop="1" thickBot="1" x14ac:dyDescent="0.25">
      <c r="B3179" s="372" t="s">
        <v>1034</v>
      </c>
      <c r="C3179" s="322" t="str">
        <f>+'LISTA DE INSUMOS'!A5</f>
        <v>MOB002</v>
      </c>
      <c r="D3179" s="324" t="str">
        <f>+'LISTA DE INSUMOS'!B5</f>
        <v>Oficial (jornal + prestaciones)</v>
      </c>
      <c r="E3179" s="322" t="str">
        <f>+'LISTA DE INSUMOS'!C5</f>
        <v>Día</v>
      </c>
      <c r="F3179" s="325">
        <v>1</v>
      </c>
      <c r="G3179" s="312">
        <f>'LISTA DE INSUMOS'!E5</f>
        <v>163723</v>
      </c>
      <c r="H3179" s="322">
        <f>1/8</f>
        <v>0.125</v>
      </c>
      <c r="I3179" s="312">
        <f>ROUND((F3179*G3179*H3179),0)</f>
        <v>20465</v>
      </c>
      <c r="J3179" s="313"/>
      <c r="K3179" s="323"/>
    </row>
    <row r="3180" spans="2:11" s="317" customFormat="1" ht="24.9" hidden="1" customHeight="1" thickTop="1" thickBot="1" x14ac:dyDescent="0.25">
      <c r="B3180" s="255" t="s">
        <v>1033</v>
      </c>
      <c r="C3180" s="327" t="s">
        <v>1017</v>
      </c>
      <c r="D3180" s="328" t="s">
        <v>1029</v>
      </c>
      <c r="E3180" s="329" t="s">
        <v>2066</v>
      </c>
      <c r="F3180" s="330">
        <v>0.1</v>
      </c>
      <c r="G3180" s="331">
        <f>I3179</f>
        <v>20465</v>
      </c>
      <c r="H3180" s="329">
        <v>0</v>
      </c>
      <c r="I3180" s="331">
        <f>ROUND((F3180*G3180),0)</f>
        <v>2047</v>
      </c>
      <c r="J3180" s="313"/>
      <c r="K3180" s="323"/>
    </row>
    <row r="3181" spans="2:11" ht="24.9" customHeight="1" x14ac:dyDescent="0.2">
      <c r="B3181" s="117" t="s">
        <v>1809</v>
      </c>
      <c r="C3181" s="117"/>
      <c r="D3181" s="112" t="s">
        <v>1722</v>
      </c>
      <c r="E3181" s="117" t="s">
        <v>1435</v>
      </c>
      <c r="F3181" s="118"/>
      <c r="G3181" s="119">
        <f>ROUND(SUM(I3182:I3189),0)</f>
        <v>247580</v>
      </c>
      <c r="H3181" s="120"/>
      <c r="I3181" s="119"/>
      <c r="J3181" s="47"/>
      <c r="K3181" s="143"/>
    </row>
    <row r="3182" spans="2:11" ht="24.9" customHeight="1" x14ac:dyDescent="0.2">
      <c r="B3182" s="672" t="s">
        <v>1035</v>
      </c>
      <c r="C3182" s="108" t="str">
        <f>+'LISTA DE INSUMOS'!A101</f>
        <v>MAT061</v>
      </c>
      <c r="D3182" s="139" t="str">
        <f>+'LISTA DE INSUMOS'!B101</f>
        <v>Adaptador PVC macho de 1" presión</v>
      </c>
      <c r="E3182" s="108" t="str">
        <f>+'LISTA DE INSUMOS'!C101</f>
        <v>Un</v>
      </c>
      <c r="F3182" s="140">
        <v>2</v>
      </c>
      <c r="G3182" s="141">
        <f>'LISTA DE INSUMOS'!E101</f>
        <v>2853.4799999999996</v>
      </c>
      <c r="H3182" s="108">
        <v>0</v>
      </c>
      <c r="I3182" s="141">
        <f>ROUND((F3182*G3182),0)</f>
        <v>5707</v>
      </c>
      <c r="J3182" s="47"/>
      <c r="K3182" s="143"/>
    </row>
    <row r="3183" spans="2:11" ht="24.9" customHeight="1" x14ac:dyDescent="0.2">
      <c r="B3183" s="672"/>
      <c r="C3183" s="108" t="str">
        <f>+'LISTA DE INSUMOS'!A651</f>
        <v>MAT667</v>
      </c>
      <c r="D3183" s="139" t="str">
        <f>+'LISTA DE INSUMOS'!B651</f>
        <v>Limpiador removedor PVC 1/4</v>
      </c>
      <c r="E3183" s="108" t="str">
        <f>+'LISTA DE INSUMOS'!C651</f>
        <v>Un</v>
      </c>
      <c r="F3183" s="152">
        <v>0.01</v>
      </c>
      <c r="G3183" s="141">
        <f>+'LISTA DE INSUMOS'!E651</f>
        <v>55927.469152499994</v>
      </c>
      <c r="H3183" s="108">
        <v>1.03</v>
      </c>
      <c r="I3183" s="141">
        <f>ROUND((F3183*G3183*H3183),0)</f>
        <v>576</v>
      </c>
      <c r="J3183" s="47"/>
      <c r="K3183" s="143"/>
    </row>
    <row r="3184" spans="2:11" ht="24.9" customHeight="1" x14ac:dyDescent="0.2">
      <c r="B3184" s="672"/>
      <c r="C3184" s="108" t="str">
        <f>+'LISTA DE INSUMOS'!A650</f>
        <v>MAT666</v>
      </c>
      <c r="D3184" s="139" t="str">
        <f>+'LISTA DE INSUMOS'!B650</f>
        <v>Soldadura liquida para PVC 1/4 GL</v>
      </c>
      <c r="E3184" s="108" t="str">
        <f>+'LISTA DE INSUMOS'!C650</f>
        <v>Un</v>
      </c>
      <c r="F3184" s="152">
        <v>0.01</v>
      </c>
      <c r="G3184" s="141">
        <f>+'LISTA DE INSUMOS'!E650</f>
        <v>116100.56750324999</v>
      </c>
      <c r="H3184" s="108">
        <v>1.03</v>
      </c>
      <c r="I3184" s="141">
        <f>ROUND((F3184*G3184*H3184),0)</f>
        <v>1196</v>
      </c>
      <c r="J3184" s="47"/>
      <c r="K3184" s="143"/>
    </row>
    <row r="3185" spans="2:11" ht="24.9" customHeight="1" x14ac:dyDescent="0.2">
      <c r="B3185" s="672"/>
      <c r="C3185" s="108" t="str">
        <f>+'LISTA DE INSUMOS'!A310</f>
        <v>MAT284</v>
      </c>
      <c r="D3185" s="139" t="str">
        <f>+'LISTA DE INSUMOS'!B310</f>
        <v>Llave de paso tipo Red White de 1"</v>
      </c>
      <c r="E3185" s="108" t="str">
        <f>+'LISTA DE INSUMOS'!C310</f>
        <v>Un</v>
      </c>
      <c r="F3185" s="140">
        <v>1</v>
      </c>
      <c r="G3185" s="141">
        <f>'LISTA DE INSUMOS'!E310</f>
        <v>195332.06896499998</v>
      </c>
      <c r="H3185" s="108">
        <v>0</v>
      </c>
      <c r="I3185" s="141">
        <f>ROUND((F3185*G3185),0)</f>
        <v>195332</v>
      </c>
      <c r="J3185" s="47"/>
      <c r="K3185" s="143"/>
    </row>
    <row r="3186" spans="2:11" ht="24.9" customHeight="1" x14ac:dyDescent="0.2">
      <c r="B3186" s="672"/>
      <c r="C3186" s="108" t="str">
        <f>+'LISTA DE INSUMOS'!A304</f>
        <v>MAT277</v>
      </c>
      <c r="D3186" s="139" t="str">
        <f>+'LISTA DE INSUMOS'!B304</f>
        <v>Universal PVC 1"</v>
      </c>
      <c r="E3186" s="108" t="str">
        <f>+'LISTA DE INSUMOS'!C304</f>
        <v>Un</v>
      </c>
      <c r="F3186" s="140">
        <v>2</v>
      </c>
      <c r="G3186" s="141">
        <f>'LISTA DE INSUMOS'!E304</f>
        <v>11102.45837778</v>
      </c>
      <c r="H3186" s="108">
        <v>0</v>
      </c>
      <c r="I3186" s="141">
        <f>ROUND((F3186*G3186),0)</f>
        <v>22205</v>
      </c>
      <c r="J3186" s="47"/>
      <c r="K3186" s="143"/>
    </row>
    <row r="3187" spans="2:11" ht="24.9" customHeight="1" thickBot="1" x14ac:dyDescent="0.25">
      <c r="B3187" s="673"/>
      <c r="C3187" s="108" t="str">
        <f>+'LISTA DE INSUMOS'!A370</f>
        <v>MAT363</v>
      </c>
      <c r="D3187" s="139" t="str">
        <f>+'LISTA DE INSUMOS'!B370</f>
        <v>Cinta Teflón 1/2" x 10 m x 0.30 Densidad</v>
      </c>
      <c r="E3187" s="108" t="str">
        <f>+'LISTA DE INSUMOS'!C370</f>
        <v>Un</v>
      </c>
      <c r="F3187" s="140">
        <v>1</v>
      </c>
      <c r="G3187" s="141">
        <f>'LISTA DE INSUMOS'!E370</f>
        <v>2584.69930488</v>
      </c>
      <c r="H3187" s="108">
        <f>1/50</f>
        <v>0.02</v>
      </c>
      <c r="I3187" s="141">
        <f>ROUND((F3187*G3187*H3187),0)</f>
        <v>52</v>
      </c>
      <c r="J3187" s="47"/>
      <c r="K3187" s="143"/>
    </row>
    <row r="3188" spans="2:11" ht="24.9" customHeight="1" thickTop="1" thickBot="1" x14ac:dyDescent="0.25">
      <c r="B3188" s="250" t="s">
        <v>1034</v>
      </c>
      <c r="C3188" s="108" t="str">
        <f>+'LISTA DE INSUMOS'!A5</f>
        <v>MOB002</v>
      </c>
      <c r="D3188" s="139" t="str">
        <f>+'LISTA DE INSUMOS'!B5</f>
        <v>Oficial (jornal + prestaciones)</v>
      </c>
      <c r="E3188" s="108" t="str">
        <f>+'LISTA DE INSUMOS'!C5</f>
        <v>Día</v>
      </c>
      <c r="F3188" s="140">
        <v>1</v>
      </c>
      <c r="G3188" s="141">
        <f>'LISTA DE INSUMOS'!E5</f>
        <v>163723</v>
      </c>
      <c r="H3188" s="108">
        <f>1/8</f>
        <v>0.125</v>
      </c>
      <c r="I3188" s="141">
        <f>ROUND((F3188*G3188*H3188),0)</f>
        <v>20465</v>
      </c>
      <c r="J3188" s="47"/>
      <c r="K3188" s="143"/>
    </row>
    <row r="3189" spans="2:11" ht="24.9" customHeight="1" thickTop="1" thickBot="1" x14ac:dyDescent="0.25">
      <c r="B3189" s="150" t="s">
        <v>1033</v>
      </c>
      <c r="C3189" s="151" t="str">
        <f>+'LISTA DE INSUMOS'!A758</f>
        <v>EQU002</v>
      </c>
      <c r="D3189" s="146" t="str">
        <f>+'LISTA DE INSUMOS'!B758</f>
        <v>Herramienta menor (% mano obra)</v>
      </c>
      <c r="E3189" s="145" t="str">
        <f>+'LISTA DE INSUMOS'!C758</f>
        <v>%MO</v>
      </c>
      <c r="F3189" s="147">
        <v>0.1</v>
      </c>
      <c r="G3189" s="148">
        <f>I3188</f>
        <v>20465</v>
      </c>
      <c r="H3189" s="145">
        <v>0</v>
      </c>
      <c r="I3189" s="148">
        <f>ROUND((F3189*G3189),0)</f>
        <v>2047</v>
      </c>
      <c r="J3189" s="47"/>
      <c r="K3189" s="143"/>
    </row>
    <row r="3190" spans="2:11" ht="24.9" customHeight="1" x14ac:dyDescent="0.2">
      <c r="B3190" s="117" t="s">
        <v>1666</v>
      </c>
      <c r="C3190" s="117"/>
      <c r="D3190" s="112" t="s">
        <v>1726</v>
      </c>
      <c r="E3190" s="117" t="s">
        <v>1435</v>
      </c>
      <c r="F3190" s="118"/>
      <c r="G3190" s="119">
        <f>ROUND(SUM(I3191:I3198),0)</f>
        <v>175857</v>
      </c>
      <c r="H3190" s="120"/>
      <c r="I3190" s="119"/>
      <c r="J3190" s="47"/>
      <c r="K3190" s="143"/>
    </row>
    <row r="3191" spans="2:11" ht="24.9" customHeight="1" x14ac:dyDescent="0.2">
      <c r="B3191" s="672" t="s">
        <v>1035</v>
      </c>
      <c r="C3191" s="108" t="str">
        <f>+'LISTA DE INSUMOS'!A651</f>
        <v>MAT667</v>
      </c>
      <c r="D3191" s="139" t="str">
        <f>+'LISTA DE INSUMOS'!B651</f>
        <v>Limpiador removedor PVC 1/4</v>
      </c>
      <c r="E3191" s="108" t="str">
        <f>+'LISTA DE INSUMOS'!C651</f>
        <v>Un</v>
      </c>
      <c r="F3191" s="152">
        <v>8.0000000000000002E-3</v>
      </c>
      <c r="G3191" s="141">
        <f>+'LISTA DE INSUMOS'!E651</f>
        <v>55927.469152499994</v>
      </c>
      <c r="H3191" s="108">
        <v>1.03</v>
      </c>
      <c r="I3191" s="141">
        <f>ROUND((F3191*G3191*H3191),0)</f>
        <v>461</v>
      </c>
      <c r="J3191" s="47"/>
      <c r="K3191" s="143"/>
    </row>
    <row r="3192" spans="2:11" ht="24.9" customHeight="1" x14ac:dyDescent="0.2">
      <c r="B3192" s="672"/>
      <c r="C3192" s="108" t="str">
        <f>+'LISTA DE INSUMOS'!A650</f>
        <v>MAT666</v>
      </c>
      <c r="D3192" s="139" t="str">
        <f>+'LISTA DE INSUMOS'!B650</f>
        <v>Soldadura liquida para PVC 1/4 GL</v>
      </c>
      <c r="E3192" s="108" t="str">
        <f>+'LISTA DE INSUMOS'!C650</f>
        <v>Un</v>
      </c>
      <c r="F3192" s="152">
        <v>8.0000000000000002E-3</v>
      </c>
      <c r="G3192" s="141">
        <f>+'LISTA DE INSUMOS'!E650</f>
        <v>116100.56750324999</v>
      </c>
      <c r="H3192" s="108">
        <v>1.03</v>
      </c>
      <c r="I3192" s="141">
        <f>ROUND((F3192*G3192*H3192),0)</f>
        <v>957</v>
      </c>
      <c r="J3192" s="47"/>
      <c r="K3192" s="143"/>
    </row>
    <row r="3193" spans="2:11" ht="24.9" customHeight="1" x14ac:dyDescent="0.2">
      <c r="B3193" s="672"/>
      <c r="C3193" s="108" t="str">
        <f>+'LISTA DE INSUMOS'!A309</f>
        <v>MAT283</v>
      </c>
      <c r="D3193" s="139" t="str">
        <f>+'LISTA DE INSUMOS'!B309</f>
        <v>Llave de paso tipo Red White de 3/4"</v>
      </c>
      <c r="E3193" s="108" t="str">
        <f>+'LISTA DE INSUMOS'!C309</f>
        <v>Un</v>
      </c>
      <c r="F3193" s="140">
        <v>1</v>
      </c>
      <c r="G3193" s="141">
        <f>'LISTA DE INSUMOS'!E309</f>
        <v>139018.13161499999</v>
      </c>
      <c r="H3193" s="108">
        <v>0</v>
      </c>
      <c r="I3193" s="141">
        <f>ROUND((F3193*G3193),0)</f>
        <v>139018</v>
      </c>
      <c r="J3193" s="47"/>
      <c r="K3193" s="143"/>
    </row>
    <row r="3194" spans="2:11" ht="24.9" customHeight="1" x14ac:dyDescent="0.2">
      <c r="B3194" s="672"/>
      <c r="C3194" s="108" t="str">
        <f>+'LISTA DE INSUMOS'!A369</f>
        <v>MAT362</v>
      </c>
      <c r="D3194" s="139" t="str">
        <f>+'LISTA DE INSUMOS'!B369</f>
        <v>Adaptador PVC macho de 3/4" presión</v>
      </c>
      <c r="E3194" s="108" t="str">
        <f>+'LISTA DE INSUMOS'!C369</f>
        <v>Un</v>
      </c>
      <c r="F3194" s="140">
        <v>2</v>
      </c>
      <c r="G3194" s="141">
        <f>'LISTA DE INSUMOS'!E369</f>
        <v>939.89065631999995</v>
      </c>
      <c r="H3194" s="108">
        <v>0</v>
      </c>
      <c r="I3194" s="141">
        <f>ROUND((F3194*G3194),0)</f>
        <v>1880</v>
      </c>
      <c r="J3194" s="47"/>
      <c r="K3194" s="143"/>
    </row>
    <row r="3195" spans="2:11" ht="24.9" customHeight="1" x14ac:dyDescent="0.2">
      <c r="B3195" s="672"/>
      <c r="C3195" s="108" t="str">
        <f>+'LISTA DE INSUMOS'!A652</f>
        <v>MAT668</v>
      </c>
      <c r="D3195" s="139" t="str">
        <f>+'LISTA DE INSUMOS'!B652</f>
        <v>Universal PVC 3/4"</v>
      </c>
      <c r="E3195" s="108" t="str">
        <f>+'LISTA DE INSUMOS'!C652</f>
        <v>Un</v>
      </c>
      <c r="F3195" s="140">
        <v>2</v>
      </c>
      <c r="G3195" s="141">
        <f>'LISTA DE INSUMOS'!E652</f>
        <v>7739.9995547952003</v>
      </c>
      <c r="H3195" s="108">
        <v>0</v>
      </c>
      <c r="I3195" s="141">
        <f>ROUND((F3195*G3195),0)</f>
        <v>15480</v>
      </c>
      <c r="J3195" s="47"/>
      <c r="K3195" s="143"/>
    </row>
    <row r="3196" spans="2:11" ht="24.9" customHeight="1" thickBot="1" x14ac:dyDescent="0.25">
      <c r="B3196" s="673"/>
      <c r="C3196" s="108" t="str">
        <f>+'LISTA DE INSUMOS'!A370</f>
        <v>MAT363</v>
      </c>
      <c r="D3196" s="139" t="str">
        <f>+'LISTA DE INSUMOS'!B370</f>
        <v>Cinta Teflón 1/2" x 10 m x 0.30 Densidad</v>
      </c>
      <c r="E3196" s="108" t="str">
        <f>+'LISTA DE INSUMOS'!C370</f>
        <v>Un</v>
      </c>
      <c r="F3196" s="140">
        <v>1</v>
      </c>
      <c r="G3196" s="141">
        <f>'LISTA DE INSUMOS'!E370</f>
        <v>2584.69930488</v>
      </c>
      <c r="H3196" s="108">
        <f>1/50</f>
        <v>0.02</v>
      </c>
      <c r="I3196" s="141">
        <f>ROUND((F3196*G3196*H3196),0)</f>
        <v>52</v>
      </c>
      <c r="J3196" s="47"/>
      <c r="K3196" s="143"/>
    </row>
    <row r="3197" spans="2:11" ht="24.9" customHeight="1" thickTop="1" thickBot="1" x14ac:dyDescent="0.25">
      <c r="B3197" s="250" t="s">
        <v>1034</v>
      </c>
      <c r="C3197" s="108" t="str">
        <f>+'LISTA DE INSUMOS'!A5</f>
        <v>MOB002</v>
      </c>
      <c r="D3197" s="139" t="str">
        <f>+'LISTA DE INSUMOS'!B5</f>
        <v>Oficial (jornal + prestaciones)</v>
      </c>
      <c r="E3197" s="108" t="str">
        <f>+'LISTA DE INSUMOS'!C5</f>
        <v>Día</v>
      </c>
      <c r="F3197" s="140">
        <v>1</v>
      </c>
      <c r="G3197" s="141">
        <f>'LISTA DE INSUMOS'!E5</f>
        <v>163723</v>
      </c>
      <c r="H3197" s="108">
        <f>1/10</f>
        <v>0.1</v>
      </c>
      <c r="I3197" s="141">
        <f>ROUND((F3197*G3197*H3197),0)</f>
        <v>16372</v>
      </c>
      <c r="J3197" s="47"/>
      <c r="K3197" s="143"/>
    </row>
    <row r="3198" spans="2:11" ht="24.9" customHeight="1" thickTop="1" thickBot="1" x14ac:dyDescent="0.25">
      <c r="B3198" s="150" t="s">
        <v>1033</v>
      </c>
      <c r="C3198" s="151" t="str">
        <f>+'LISTA DE INSUMOS'!A758</f>
        <v>EQU002</v>
      </c>
      <c r="D3198" s="146" t="str">
        <f>+'LISTA DE INSUMOS'!B758</f>
        <v>Herramienta menor (% mano obra)</v>
      </c>
      <c r="E3198" s="145" t="str">
        <f>+'LISTA DE INSUMOS'!C758</f>
        <v>%MO</v>
      </c>
      <c r="F3198" s="147">
        <v>0.1</v>
      </c>
      <c r="G3198" s="148">
        <f>I3197</f>
        <v>16372</v>
      </c>
      <c r="H3198" s="145">
        <v>0</v>
      </c>
      <c r="I3198" s="148">
        <f>ROUND((F3198*G3198),0)</f>
        <v>1637</v>
      </c>
      <c r="J3198" s="47"/>
      <c r="K3198" s="143"/>
    </row>
    <row r="3199" spans="2:11" ht="24.9" customHeight="1" x14ac:dyDescent="0.2">
      <c r="B3199" s="117" t="s">
        <v>2958</v>
      </c>
      <c r="C3199" s="117"/>
      <c r="D3199" s="112" t="s">
        <v>1724</v>
      </c>
      <c r="E3199" s="117" t="s">
        <v>1435</v>
      </c>
      <c r="F3199" s="118"/>
      <c r="G3199" s="119">
        <f>ROUND(SUM(I3200:I3207),0)</f>
        <v>125230</v>
      </c>
      <c r="H3199" s="120"/>
      <c r="I3199" s="119"/>
      <c r="J3199" s="47"/>
      <c r="K3199" s="143"/>
    </row>
    <row r="3200" spans="2:11" ht="24.9" customHeight="1" x14ac:dyDescent="0.2">
      <c r="B3200" s="672" t="s">
        <v>1035</v>
      </c>
      <c r="C3200" s="108" t="str">
        <f>+'LISTA DE INSUMOS'!A651</f>
        <v>MAT667</v>
      </c>
      <c r="D3200" s="139" t="str">
        <f>+'LISTA DE INSUMOS'!B651</f>
        <v>Limpiador removedor PVC 1/4</v>
      </c>
      <c r="E3200" s="108" t="str">
        <f>+'LISTA DE INSUMOS'!C651</f>
        <v>Un</v>
      </c>
      <c r="F3200" s="152">
        <v>6.0000000000000001E-3</v>
      </c>
      <c r="G3200" s="141">
        <f>+'LISTA DE INSUMOS'!E651</f>
        <v>55927.469152499994</v>
      </c>
      <c r="H3200" s="108">
        <v>1.03</v>
      </c>
      <c r="I3200" s="141">
        <f>ROUND((F3200*G3200*H3200),0)</f>
        <v>346</v>
      </c>
      <c r="J3200" s="47"/>
      <c r="K3200" s="143"/>
    </row>
    <row r="3201" spans="2:11" ht="24.9" customHeight="1" x14ac:dyDescent="0.2">
      <c r="B3201" s="672"/>
      <c r="C3201" s="108" t="str">
        <f>+'LISTA DE INSUMOS'!A650</f>
        <v>MAT666</v>
      </c>
      <c r="D3201" s="139" t="str">
        <f>+'LISTA DE INSUMOS'!B650</f>
        <v>Soldadura liquida para PVC 1/4 GL</v>
      </c>
      <c r="E3201" s="108" t="str">
        <f>+'LISTA DE INSUMOS'!C650</f>
        <v>Un</v>
      </c>
      <c r="F3201" s="152">
        <v>6.0000000000000001E-3</v>
      </c>
      <c r="G3201" s="141">
        <f>+'LISTA DE INSUMOS'!E650</f>
        <v>116100.56750324999</v>
      </c>
      <c r="H3201" s="108">
        <v>1.03</v>
      </c>
      <c r="I3201" s="141">
        <f>ROUND((F3201*G3201*H3201),0)</f>
        <v>718</v>
      </c>
      <c r="J3201" s="47"/>
      <c r="K3201" s="143"/>
    </row>
    <row r="3202" spans="2:11" ht="24.9" customHeight="1" x14ac:dyDescent="0.2">
      <c r="B3202" s="672"/>
      <c r="C3202" s="108" t="str">
        <f>+'LISTA DE INSUMOS'!A308</f>
        <v>MAT282</v>
      </c>
      <c r="D3202" s="139" t="str">
        <f>+'LISTA DE INSUMOS'!B308</f>
        <v>Llave de paso tipo Red White de 1/2"</v>
      </c>
      <c r="E3202" s="108" t="str">
        <f>+'LISTA DE INSUMOS'!C308</f>
        <v>Un</v>
      </c>
      <c r="F3202" s="140">
        <v>1</v>
      </c>
      <c r="G3202" s="141">
        <f>'LISTA DE INSUMOS'!E308</f>
        <v>94850.337614999982</v>
      </c>
      <c r="H3202" s="108">
        <v>0</v>
      </c>
      <c r="I3202" s="141">
        <f>ROUND((F3202*G3202),0)</f>
        <v>94850</v>
      </c>
      <c r="J3202" s="47"/>
      <c r="K3202" s="143"/>
    </row>
    <row r="3203" spans="2:11" ht="24.9" customHeight="1" x14ac:dyDescent="0.2">
      <c r="B3203" s="672"/>
      <c r="C3203" s="108" t="str">
        <f>+'LISTA DE INSUMOS'!A370</f>
        <v>MAT363</v>
      </c>
      <c r="D3203" s="139" t="str">
        <f>+'LISTA DE INSUMOS'!B370</f>
        <v>Cinta Teflón 1/2" x 10 m x 0.30 Densidad</v>
      </c>
      <c r="E3203" s="108" t="str">
        <f>+'LISTA DE INSUMOS'!C370</f>
        <v>Un</v>
      </c>
      <c r="F3203" s="140">
        <v>1</v>
      </c>
      <c r="G3203" s="141">
        <f>+'LISTA DE INSUMOS'!E370</f>
        <v>2584.69930488</v>
      </c>
      <c r="H3203" s="108">
        <f>1/50</f>
        <v>0.02</v>
      </c>
      <c r="I3203" s="141">
        <f>ROUND((F3203*G3203*H3203),0)</f>
        <v>52</v>
      </c>
      <c r="J3203" s="47"/>
      <c r="K3203" s="143"/>
    </row>
    <row r="3204" spans="2:11" ht="24.9" customHeight="1" x14ac:dyDescent="0.2">
      <c r="B3204" s="672"/>
      <c r="C3204" s="108" t="str">
        <f>+'LISTA DE INSUMOS'!A653</f>
        <v>MAT669</v>
      </c>
      <c r="D3204" s="139" t="str">
        <f>+'LISTA DE INSUMOS'!B653</f>
        <v>Universal PVC 1/2"</v>
      </c>
      <c r="E3204" s="108" t="str">
        <f>+'LISTA DE INSUMOS'!C653</f>
        <v>Un</v>
      </c>
      <c r="F3204" s="140">
        <v>2</v>
      </c>
      <c r="G3204" s="141">
        <f>'LISTA DE INSUMOS'!E653</f>
        <v>5110.65544374</v>
      </c>
      <c r="H3204" s="108">
        <v>0</v>
      </c>
      <c r="I3204" s="141">
        <f>ROUND((F3204*G3204),0)</f>
        <v>10221</v>
      </c>
      <c r="J3204" s="47"/>
      <c r="K3204" s="143"/>
    </row>
    <row r="3205" spans="2:11" ht="24.9" customHeight="1" thickBot="1" x14ac:dyDescent="0.25">
      <c r="B3205" s="673"/>
      <c r="C3205" s="108" t="str">
        <f>+'LISTA DE INSUMOS'!A372</f>
        <v>MAT365</v>
      </c>
      <c r="D3205" s="139" t="str">
        <f>+'LISTA DE INSUMOS'!B372</f>
        <v>Adaptador PVC macho de 1/2" presión</v>
      </c>
      <c r="E3205" s="108" t="str">
        <f>+'LISTA DE INSUMOS'!C372</f>
        <v>Un</v>
      </c>
      <c r="F3205" s="140">
        <v>2</v>
      </c>
      <c r="G3205" s="141">
        <f>'LISTA DE INSUMOS'!E372</f>
        <v>516.93986097599998</v>
      </c>
      <c r="H3205" s="108">
        <v>0</v>
      </c>
      <c r="I3205" s="141">
        <f>ROUND((F3205*G3205),0)</f>
        <v>1034</v>
      </c>
      <c r="J3205" s="47"/>
      <c r="K3205" s="143"/>
    </row>
    <row r="3206" spans="2:11" ht="24.9" customHeight="1" thickTop="1" thickBot="1" x14ac:dyDescent="0.25">
      <c r="B3206" s="250" t="s">
        <v>1034</v>
      </c>
      <c r="C3206" s="108" t="str">
        <f>+'LISTA DE INSUMOS'!A5</f>
        <v>MOB002</v>
      </c>
      <c r="D3206" s="139" t="str">
        <f>+'LISTA DE INSUMOS'!B5</f>
        <v>Oficial (jornal + prestaciones)</v>
      </c>
      <c r="E3206" s="108" t="str">
        <f>+'LISTA DE INSUMOS'!C5</f>
        <v>Día</v>
      </c>
      <c r="F3206" s="140">
        <v>1</v>
      </c>
      <c r="G3206" s="141">
        <f>'LISTA DE INSUMOS'!E5</f>
        <v>163723</v>
      </c>
      <c r="H3206" s="108">
        <f>1/10</f>
        <v>0.1</v>
      </c>
      <c r="I3206" s="141">
        <f>ROUND((F3206*G3206*H3206),0)</f>
        <v>16372</v>
      </c>
      <c r="J3206" s="47"/>
      <c r="K3206" s="143"/>
    </row>
    <row r="3207" spans="2:11" ht="24.9" customHeight="1" thickTop="1" thickBot="1" x14ac:dyDescent="0.25">
      <c r="B3207" s="150" t="s">
        <v>1033</v>
      </c>
      <c r="C3207" s="151" t="str">
        <f>+'LISTA DE INSUMOS'!A758</f>
        <v>EQU002</v>
      </c>
      <c r="D3207" s="146" t="str">
        <f>+'LISTA DE INSUMOS'!B758</f>
        <v>Herramienta menor (% mano obra)</v>
      </c>
      <c r="E3207" s="145" t="str">
        <f>+'LISTA DE INSUMOS'!C758</f>
        <v>%MO</v>
      </c>
      <c r="F3207" s="147">
        <v>0.1</v>
      </c>
      <c r="G3207" s="148">
        <f>I3206</f>
        <v>16372</v>
      </c>
      <c r="H3207" s="145">
        <v>0</v>
      </c>
      <c r="I3207" s="148">
        <f>ROUND((F3207*G3207),0)</f>
        <v>1637</v>
      </c>
      <c r="J3207" s="47"/>
      <c r="K3207" s="143"/>
    </row>
    <row r="3208" spans="2:11" ht="24.9" customHeight="1" x14ac:dyDescent="0.2">
      <c r="B3208" s="117" t="s">
        <v>1472</v>
      </c>
      <c r="C3208" s="117"/>
      <c r="D3208" s="112" t="s">
        <v>1728</v>
      </c>
      <c r="E3208" s="117" t="s">
        <v>1435</v>
      </c>
      <c r="F3208" s="149"/>
      <c r="G3208" s="119">
        <f>ROUND(SUM(I3209:I3215),0)</f>
        <v>97104</v>
      </c>
      <c r="H3208" s="120"/>
      <c r="I3208" s="119"/>
      <c r="J3208" s="47"/>
      <c r="K3208" s="143"/>
    </row>
    <row r="3209" spans="2:11" ht="24.9" customHeight="1" x14ac:dyDescent="0.2">
      <c r="B3209" s="672" t="s">
        <v>1035</v>
      </c>
      <c r="C3209" s="108" t="str">
        <f>+'LISTA DE INSUMOS'!A129</f>
        <v>MAT087</v>
      </c>
      <c r="D3209" s="139" t="str">
        <f>+'LISTA DE INSUMOS'!B129</f>
        <v>Llave terminal cromada de 1/2"</v>
      </c>
      <c r="E3209" s="108" t="str">
        <f>+'LISTA DE INSUMOS'!C129</f>
        <v>Un</v>
      </c>
      <c r="F3209" s="140">
        <v>1</v>
      </c>
      <c r="G3209" s="141">
        <f>'LISTA DE INSUMOS'!E129</f>
        <v>83464.289999999994</v>
      </c>
      <c r="H3209" s="108">
        <v>0</v>
      </c>
      <c r="I3209" s="141">
        <f>ROUND((F3209*G3209),0)</f>
        <v>83464</v>
      </c>
      <c r="J3209" s="47"/>
      <c r="K3209" s="143"/>
    </row>
    <row r="3210" spans="2:11" ht="24.9" customHeight="1" x14ac:dyDescent="0.2">
      <c r="B3210" s="672"/>
      <c r="C3210" s="108" t="str">
        <f>+'LISTA DE INSUMOS'!A651</f>
        <v>MAT667</v>
      </c>
      <c r="D3210" s="139" t="str">
        <f>+'LISTA DE INSUMOS'!B651</f>
        <v>Limpiador removedor PVC 1/4</v>
      </c>
      <c r="E3210" s="108" t="str">
        <f>+'LISTA DE INSUMOS'!C651</f>
        <v>Un</v>
      </c>
      <c r="F3210" s="152">
        <v>6.0000000000000001E-3</v>
      </c>
      <c r="G3210" s="141">
        <f>+'LISTA DE INSUMOS'!E651</f>
        <v>55927.469152499994</v>
      </c>
      <c r="H3210" s="108">
        <v>1.03</v>
      </c>
      <c r="I3210" s="141">
        <f>ROUND((F3210*G3210*H3210),0)</f>
        <v>346</v>
      </c>
      <c r="J3210" s="47"/>
      <c r="K3210" s="143"/>
    </row>
    <row r="3211" spans="2:11" ht="24.9" customHeight="1" x14ac:dyDescent="0.2">
      <c r="B3211" s="672"/>
      <c r="C3211" s="108" t="str">
        <f>+'LISTA DE INSUMOS'!A650</f>
        <v>MAT666</v>
      </c>
      <c r="D3211" s="139" t="str">
        <f>+'LISTA DE INSUMOS'!B650</f>
        <v>Soldadura liquida para PVC 1/4 GL</v>
      </c>
      <c r="E3211" s="108" t="str">
        <f>+'LISTA DE INSUMOS'!C650</f>
        <v>Un</v>
      </c>
      <c r="F3211" s="152">
        <v>6.0000000000000001E-3</v>
      </c>
      <c r="G3211" s="141">
        <f>+'LISTA DE INSUMOS'!E650</f>
        <v>116100.56750324999</v>
      </c>
      <c r="H3211" s="108">
        <v>1.03</v>
      </c>
      <c r="I3211" s="141">
        <f>ROUND((F3211*G3211*H3211),0)</f>
        <v>718</v>
      </c>
      <c r="J3211" s="47"/>
      <c r="K3211" s="143"/>
    </row>
    <row r="3212" spans="2:11" ht="24.9" customHeight="1" x14ac:dyDescent="0.2">
      <c r="B3212" s="672"/>
      <c r="C3212" s="108" t="str">
        <f>+'LISTA DE INSUMOS'!A370</f>
        <v>MAT363</v>
      </c>
      <c r="D3212" s="139" t="str">
        <f>+'LISTA DE INSUMOS'!B370</f>
        <v>Cinta Teflón 1/2" x 10 m x 0.30 Densidad</v>
      </c>
      <c r="E3212" s="108" t="str">
        <f>+'LISTA DE INSUMOS'!C370</f>
        <v>Un</v>
      </c>
      <c r="F3212" s="140">
        <v>1</v>
      </c>
      <c r="G3212" s="141">
        <f>'LISTA DE INSUMOS'!E370</f>
        <v>2584.69930488</v>
      </c>
      <c r="H3212" s="108">
        <f>1/50</f>
        <v>0.02</v>
      </c>
      <c r="I3212" s="141">
        <f>ROUND((F3212*G3212*H3212),0)</f>
        <v>52</v>
      </c>
      <c r="J3212" s="47"/>
      <c r="K3212" s="143"/>
    </row>
    <row r="3213" spans="2:11" ht="24.9" customHeight="1" thickBot="1" x14ac:dyDescent="0.25">
      <c r="B3213" s="673"/>
      <c r="C3213" s="108" t="str">
        <f>+'LISTA DE INSUMOS'!A372</f>
        <v>MAT365</v>
      </c>
      <c r="D3213" s="139" t="str">
        <f>+'LISTA DE INSUMOS'!B372</f>
        <v>Adaptador PVC macho de 1/2" presión</v>
      </c>
      <c r="E3213" s="108" t="str">
        <f>+'LISTA DE INSUMOS'!C372</f>
        <v>Un</v>
      </c>
      <c r="F3213" s="140">
        <v>1</v>
      </c>
      <c r="G3213" s="141">
        <f>'LISTA DE INSUMOS'!E372</f>
        <v>516.93986097599998</v>
      </c>
      <c r="H3213" s="108">
        <v>0</v>
      </c>
      <c r="I3213" s="141">
        <f>ROUND((F3213*G3213),0)</f>
        <v>517</v>
      </c>
      <c r="J3213" s="47"/>
      <c r="K3213" s="143"/>
    </row>
    <row r="3214" spans="2:11" ht="24.9" customHeight="1" thickTop="1" thickBot="1" x14ac:dyDescent="0.25">
      <c r="B3214" s="250" t="s">
        <v>1034</v>
      </c>
      <c r="C3214" s="108" t="str">
        <f>+'LISTA DE INSUMOS'!A5</f>
        <v>MOB002</v>
      </c>
      <c r="D3214" s="139" t="str">
        <f>+'LISTA DE INSUMOS'!B5</f>
        <v>Oficial (jornal + prestaciones)</v>
      </c>
      <c r="E3214" s="108" t="str">
        <f>+'LISTA DE INSUMOS'!C5</f>
        <v>Día</v>
      </c>
      <c r="F3214" s="140">
        <v>1</v>
      </c>
      <c r="G3214" s="141">
        <f>'LISTA DE INSUMOS'!E5</f>
        <v>163723</v>
      </c>
      <c r="H3214" s="108">
        <f>1/15</f>
        <v>6.6666666666666666E-2</v>
      </c>
      <c r="I3214" s="141">
        <f>ROUND((F3214*G3214*H3214),0)</f>
        <v>10915</v>
      </c>
      <c r="J3214" s="47"/>
      <c r="K3214" s="143"/>
    </row>
    <row r="3215" spans="2:11" ht="24.9" customHeight="1" thickTop="1" thickBot="1" x14ac:dyDescent="0.25">
      <c r="B3215" s="150" t="s">
        <v>1033</v>
      </c>
      <c r="C3215" s="151" t="str">
        <f>+'LISTA DE INSUMOS'!A758</f>
        <v>EQU002</v>
      </c>
      <c r="D3215" s="146" t="str">
        <f>+'LISTA DE INSUMOS'!B758</f>
        <v>Herramienta menor (% mano obra)</v>
      </c>
      <c r="E3215" s="145" t="str">
        <f>+'LISTA DE INSUMOS'!C758</f>
        <v>%MO</v>
      </c>
      <c r="F3215" s="147">
        <v>0.1</v>
      </c>
      <c r="G3215" s="148">
        <f>I3214</f>
        <v>10915</v>
      </c>
      <c r="H3215" s="145">
        <v>0</v>
      </c>
      <c r="I3215" s="148">
        <f>ROUND((F3215*G3215),0)</f>
        <v>1092</v>
      </c>
      <c r="J3215" s="47"/>
      <c r="K3215" s="143"/>
    </row>
    <row r="3216" spans="2:11" ht="24.9" customHeight="1" x14ac:dyDescent="0.2">
      <c r="B3216" s="117" t="s">
        <v>1470</v>
      </c>
      <c r="C3216" s="117"/>
      <c r="D3216" s="112" t="s">
        <v>1745</v>
      </c>
      <c r="E3216" s="117" t="s">
        <v>1435</v>
      </c>
      <c r="F3216" s="118"/>
      <c r="G3216" s="119">
        <f>ROUND(SUM(I3217:I3223),0)</f>
        <v>455374</v>
      </c>
      <c r="H3216" s="120"/>
      <c r="I3216" s="119"/>
      <c r="J3216" s="47"/>
      <c r="K3216" s="143"/>
    </row>
    <row r="3217" spans="2:11" ht="24.9" customHeight="1" x14ac:dyDescent="0.2">
      <c r="B3217" s="672" t="s">
        <v>1035</v>
      </c>
      <c r="C3217" s="108" t="str">
        <f>+'LISTA DE INSUMOS'!A101</f>
        <v>MAT061</v>
      </c>
      <c r="D3217" s="139" t="str">
        <f>+'LISTA DE INSUMOS'!B101</f>
        <v>Adaptador PVC macho de 1" presión</v>
      </c>
      <c r="E3217" s="108" t="str">
        <f>+'LISTA DE INSUMOS'!C101</f>
        <v>Un</v>
      </c>
      <c r="F3217" s="140">
        <v>2</v>
      </c>
      <c r="G3217" s="141">
        <f>'LISTA DE INSUMOS'!E101</f>
        <v>2853.4799999999996</v>
      </c>
      <c r="H3217" s="108">
        <v>0</v>
      </c>
      <c r="I3217" s="141">
        <f>ROUND((F3217*G3217),0)</f>
        <v>5707</v>
      </c>
      <c r="J3217" s="47"/>
      <c r="K3217" s="143"/>
    </row>
    <row r="3218" spans="2:11" ht="24.9" customHeight="1" x14ac:dyDescent="0.2">
      <c r="B3218" s="672"/>
      <c r="C3218" s="108" t="str">
        <f>+'LISTA DE INSUMOS'!A651</f>
        <v>MAT667</v>
      </c>
      <c r="D3218" s="139" t="str">
        <f>+'LISTA DE INSUMOS'!B651</f>
        <v>Limpiador removedor PVC 1/4</v>
      </c>
      <c r="E3218" s="108" t="str">
        <f>+'LISTA DE INSUMOS'!C651</f>
        <v>Un</v>
      </c>
      <c r="F3218" s="152">
        <v>0.01</v>
      </c>
      <c r="G3218" s="141">
        <f>+'LISTA DE INSUMOS'!E651</f>
        <v>55927.469152499994</v>
      </c>
      <c r="H3218" s="108">
        <v>1.03</v>
      </c>
      <c r="I3218" s="141">
        <f>ROUND((F3218*G3218*H3218),0)</f>
        <v>576</v>
      </c>
      <c r="J3218" s="47"/>
      <c r="K3218" s="143"/>
    </row>
    <row r="3219" spans="2:11" ht="24.9" customHeight="1" x14ac:dyDescent="0.2">
      <c r="B3219" s="672"/>
      <c r="C3219" s="108" t="str">
        <f>+'LISTA DE INSUMOS'!A650</f>
        <v>MAT666</v>
      </c>
      <c r="D3219" s="139" t="str">
        <f>+'LISTA DE INSUMOS'!B650</f>
        <v>Soldadura liquida para PVC 1/4 GL</v>
      </c>
      <c r="E3219" s="108" t="str">
        <f>+'LISTA DE INSUMOS'!C650</f>
        <v>Un</v>
      </c>
      <c r="F3219" s="152">
        <v>0.01</v>
      </c>
      <c r="G3219" s="141">
        <f>+'LISTA DE INSUMOS'!E650</f>
        <v>116100.56750324999</v>
      </c>
      <c r="H3219" s="108">
        <v>1.03</v>
      </c>
      <c r="I3219" s="141">
        <f>ROUND((F3219*G3219*H3219),0)</f>
        <v>1196</v>
      </c>
      <c r="J3219" s="47"/>
      <c r="K3219" s="143"/>
    </row>
    <row r="3220" spans="2:11" ht="24.9" customHeight="1" x14ac:dyDescent="0.2">
      <c r="B3220" s="672"/>
      <c r="C3220" s="108" t="str">
        <f>+'LISTA DE INSUMOS'!A370</f>
        <v>MAT363</v>
      </c>
      <c r="D3220" s="139" t="str">
        <f>+'LISTA DE INSUMOS'!B370</f>
        <v>Cinta Teflón 1/2" x 10 m x 0.30 Densidad</v>
      </c>
      <c r="E3220" s="108" t="str">
        <f>+'LISTA DE INSUMOS'!C370</f>
        <v>Un</v>
      </c>
      <c r="F3220" s="140">
        <v>1</v>
      </c>
      <c r="G3220" s="141">
        <f>'LISTA DE INSUMOS'!E370</f>
        <v>2584.69930488</v>
      </c>
      <c r="H3220" s="108">
        <f>1/50</f>
        <v>0.02</v>
      </c>
      <c r="I3220" s="141">
        <f>ROUND((F3220*G3220*H3220),0)</f>
        <v>52</v>
      </c>
      <c r="J3220" s="47"/>
      <c r="K3220" s="143"/>
    </row>
    <row r="3221" spans="2:11" ht="24.9" customHeight="1" thickBot="1" x14ac:dyDescent="0.25">
      <c r="B3221" s="673"/>
      <c r="C3221" s="108" t="str">
        <f>+'LISTA DE INSUMOS'!A387</f>
        <v>MAT380</v>
      </c>
      <c r="D3221" s="139" t="str">
        <f>+'LISTA DE INSUMOS'!B387</f>
        <v>Medidor de 1"    volumétrico tipo "B"</v>
      </c>
      <c r="E3221" s="108" t="str">
        <f>+'LISTA DE INSUMOS'!C387</f>
        <v>Un</v>
      </c>
      <c r="F3221" s="140">
        <v>1</v>
      </c>
      <c r="G3221" s="141">
        <f>'LISTA DE INSUMOS'!E387</f>
        <v>420828.90561848128</v>
      </c>
      <c r="H3221" s="108">
        <v>0</v>
      </c>
      <c r="I3221" s="141">
        <f>ROUND((F3221*G3221),0)</f>
        <v>420829</v>
      </c>
      <c r="J3221" s="47"/>
      <c r="K3221" s="143"/>
    </row>
    <row r="3222" spans="2:11" ht="24.9" customHeight="1" thickTop="1" thickBot="1" x14ac:dyDescent="0.25">
      <c r="B3222" s="250" t="s">
        <v>1034</v>
      </c>
      <c r="C3222" s="108" t="str">
        <f>+'LISTA DE INSUMOS'!A18</f>
        <v>MOB015</v>
      </c>
      <c r="D3222" s="139" t="str">
        <f>+'LISTA DE INSUMOS'!B18</f>
        <v>Cuadrilla E 1 Of + 1 Ay (jornal + prestaciones)</v>
      </c>
      <c r="E3222" s="108" t="str">
        <f>+'LISTA DE INSUMOS'!C18</f>
        <v>Día</v>
      </c>
      <c r="F3222" s="140">
        <v>1</v>
      </c>
      <c r="G3222" s="141">
        <f>'LISTA DE INSUMOS'!E18</f>
        <v>245584</v>
      </c>
      <c r="H3222" s="108">
        <f>1/10</f>
        <v>0.1</v>
      </c>
      <c r="I3222" s="141">
        <f>ROUND((F3222*G3222*H3222),0)</f>
        <v>24558</v>
      </c>
      <c r="J3222" s="47"/>
      <c r="K3222" s="143"/>
    </row>
    <row r="3223" spans="2:11" ht="24.9" customHeight="1" thickTop="1" thickBot="1" x14ac:dyDescent="0.25">
      <c r="B3223" s="150" t="s">
        <v>1033</v>
      </c>
      <c r="C3223" s="151" t="str">
        <f>+'LISTA DE INSUMOS'!A758</f>
        <v>EQU002</v>
      </c>
      <c r="D3223" s="146" t="str">
        <f>+'LISTA DE INSUMOS'!B758</f>
        <v>Herramienta menor (% mano obra)</v>
      </c>
      <c r="E3223" s="145" t="str">
        <f>+'LISTA DE INSUMOS'!C758</f>
        <v>%MO</v>
      </c>
      <c r="F3223" s="147">
        <v>0.1</v>
      </c>
      <c r="G3223" s="148">
        <f>I3222</f>
        <v>24558</v>
      </c>
      <c r="H3223" s="145">
        <v>0</v>
      </c>
      <c r="I3223" s="148">
        <f>ROUND((F3223*G3223),0)</f>
        <v>2456</v>
      </c>
      <c r="J3223" s="47"/>
      <c r="K3223" s="143"/>
    </row>
    <row r="3224" spans="2:11" ht="24.9" customHeight="1" x14ac:dyDescent="0.2">
      <c r="B3224" s="117" t="s">
        <v>1960</v>
      </c>
      <c r="C3224" s="117"/>
      <c r="D3224" s="112" t="s">
        <v>1746</v>
      </c>
      <c r="E3224" s="117" t="s">
        <v>1435</v>
      </c>
      <c r="F3224" s="118"/>
      <c r="G3224" s="119">
        <f>ROUND(SUM(I3225:I3231),0)</f>
        <v>192987</v>
      </c>
      <c r="H3224" s="120"/>
      <c r="I3224" s="119"/>
      <c r="J3224" s="47"/>
      <c r="K3224" s="143"/>
    </row>
    <row r="3225" spans="2:11" ht="24.9" customHeight="1" x14ac:dyDescent="0.2">
      <c r="B3225" s="672" t="s">
        <v>1035</v>
      </c>
      <c r="C3225" s="108" t="str">
        <f>+'LISTA DE INSUMOS'!A651</f>
        <v>MAT667</v>
      </c>
      <c r="D3225" s="139" t="str">
        <f>+'LISTA DE INSUMOS'!B651</f>
        <v>Limpiador removedor PVC 1/4</v>
      </c>
      <c r="E3225" s="108" t="str">
        <f>+'LISTA DE INSUMOS'!C651</f>
        <v>Un</v>
      </c>
      <c r="F3225" s="152">
        <v>6.0000000000000001E-3</v>
      </c>
      <c r="G3225" s="141">
        <f>+'LISTA DE INSUMOS'!E651</f>
        <v>55927.469152499994</v>
      </c>
      <c r="H3225" s="108">
        <v>1.03</v>
      </c>
      <c r="I3225" s="141">
        <f>ROUND((F3225*G3225*H3225),0)</f>
        <v>346</v>
      </c>
      <c r="J3225" s="47"/>
      <c r="K3225" s="143"/>
    </row>
    <row r="3226" spans="2:11" ht="24.9" customHeight="1" x14ac:dyDescent="0.2">
      <c r="B3226" s="672"/>
      <c r="C3226" s="108" t="str">
        <f>+'LISTA DE INSUMOS'!A650</f>
        <v>MAT666</v>
      </c>
      <c r="D3226" s="139" t="str">
        <f>+'LISTA DE INSUMOS'!B650</f>
        <v>Soldadura liquida para PVC 1/4 GL</v>
      </c>
      <c r="E3226" s="108" t="str">
        <f>+'LISTA DE INSUMOS'!C650</f>
        <v>Un</v>
      </c>
      <c r="F3226" s="152">
        <v>6.0000000000000001E-3</v>
      </c>
      <c r="G3226" s="141">
        <f>+'LISTA DE INSUMOS'!E650</f>
        <v>116100.56750324999</v>
      </c>
      <c r="H3226" s="108">
        <v>1.03</v>
      </c>
      <c r="I3226" s="141">
        <f>ROUND((F3226*G3226*H3226),0)</f>
        <v>718</v>
      </c>
      <c r="J3226" s="47"/>
      <c r="K3226" s="143"/>
    </row>
    <row r="3227" spans="2:11" ht="24.9" customHeight="1" x14ac:dyDescent="0.2">
      <c r="B3227" s="672"/>
      <c r="C3227" s="108" t="str">
        <f>+'LISTA DE INSUMOS'!A359</f>
        <v>MAT352</v>
      </c>
      <c r="D3227" s="139" t="str">
        <f>+'LISTA DE INSUMOS'!B359</f>
        <v>Medidor Agua Volumetrico R160 Magnetico L110mm AF de 1/2 Pulgadas</v>
      </c>
      <c r="E3227" s="108" t="str">
        <f>+'LISTA DE INSUMOS'!C359</f>
        <v>Un</v>
      </c>
      <c r="F3227" s="140">
        <v>1</v>
      </c>
      <c r="G3227" s="141">
        <f>'LISTA DE INSUMOS'!E359</f>
        <v>163822.76472539999</v>
      </c>
      <c r="H3227" s="108">
        <v>0</v>
      </c>
      <c r="I3227" s="141">
        <f>ROUND((F3227*G3227),0)</f>
        <v>163823</v>
      </c>
      <c r="J3227" s="47"/>
      <c r="K3227" s="143"/>
    </row>
    <row r="3228" spans="2:11" ht="24.9" customHeight="1" x14ac:dyDescent="0.2">
      <c r="B3228" s="672"/>
      <c r="C3228" s="108" t="str">
        <f>+'LISTA DE INSUMOS'!A370</f>
        <v>MAT363</v>
      </c>
      <c r="D3228" s="139" t="str">
        <f>+'LISTA DE INSUMOS'!B370</f>
        <v>Cinta Teflón 1/2" x 10 m x 0.30 Densidad</v>
      </c>
      <c r="E3228" s="108" t="str">
        <f>+'LISTA DE INSUMOS'!C370</f>
        <v>Un</v>
      </c>
      <c r="F3228" s="140">
        <v>1</v>
      </c>
      <c r="G3228" s="141">
        <f>'LISTA DE INSUMOS'!E370</f>
        <v>2584.69930488</v>
      </c>
      <c r="H3228" s="108">
        <f>1/50</f>
        <v>0.02</v>
      </c>
      <c r="I3228" s="141">
        <f>ROUND((F3228*G3228*H3228),0)</f>
        <v>52</v>
      </c>
      <c r="J3228" s="47"/>
      <c r="K3228" s="143"/>
    </row>
    <row r="3229" spans="2:11" ht="24.9" customHeight="1" thickBot="1" x14ac:dyDescent="0.25">
      <c r="B3229" s="673"/>
      <c r="C3229" s="108" t="str">
        <f>+'LISTA DE INSUMOS'!A372</f>
        <v>MAT365</v>
      </c>
      <c r="D3229" s="139" t="str">
        <f>+'LISTA DE INSUMOS'!B372</f>
        <v>Adaptador PVC macho de 1/2" presión</v>
      </c>
      <c r="E3229" s="108" t="str">
        <f>+'LISTA DE INSUMOS'!C372</f>
        <v>Un</v>
      </c>
      <c r="F3229" s="140">
        <v>2</v>
      </c>
      <c r="G3229" s="141">
        <f>'LISTA DE INSUMOS'!E372</f>
        <v>516.93986097599998</v>
      </c>
      <c r="H3229" s="108">
        <v>0</v>
      </c>
      <c r="I3229" s="141">
        <f>ROUND((F3229*G3229),0)</f>
        <v>1034</v>
      </c>
      <c r="J3229" s="47"/>
      <c r="K3229" s="143"/>
    </row>
    <row r="3230" spans="2:11" ht="24.9" customHeight="1" thickTop="1" thickBot="1" x14ac:dyDescent="0.25">
      <c r="B3230" s="250" t="s">
        <v>1034</v>
      </c>
      <c r="C3230" s="108" t="str">
        <f>+'LISTA DE INSUMOS'!A18</f>
        <v>MOB015</v>
      </c>
      <c r="D3230" s="139" t="str">
        <f>+'LISTA DE INSUMOS'!B18</f>
        <v>Cuadrilla E 1 Of + 1 Ay (jornal + prestaciones)</v>
      </c>
      <c r="E3230" s="108" t="str">
        <f>+'LISTA DE INSUMOS'!C18</f>
        <v>Día</v>
      </c>
      <c r="F3230" s="140">
        <v>1</v>
      </c>
      <c r="G3230" s="141">
        <f>'LISTA DE INSUMOS'!E18</f>
        <v>245584</v>
      </c>
      <c r="H3230" s="108">
        <f>1/10</f>
        <v>0.1</v>
      </c>
      <c r="I3230" s="141">
        <f>ROUND((F3230*G3230*H3230),0)</f>
        <v>24558</v>
      </c>
      <c r="J3230" s="47"/>
      <c r="K3230" s="143"/>
    </row>
    <row r="3231" spans="2:11" ht="24.9" customHeight="1" thickTop="1" thickBot="1" x14ac:dyDescent="0.25">
      <c r="B3231" s="150" t="s">
        <v>1033</v>
      </c>
      <c r="C3231" s="151" t="str">
        <f>+'LISTA DE INSUMOS'!A758</f>
        <v>EQU002</v>
      </c>
      <c r="D3231" s="146" t="str">
        <f>+'LISTA DE INSUMOS'!B758</f>
        <v>Herramienta menor (% mano obra)</v>
      </c>
      <c r="E3231" s="145" t="str">
        <f>+'LISTA DE INSUMOS'!C758</f>
        <v>%MO</v>
      </c>
      <c r="F3231" s="147">
        <v>0.1</v>
      </c>
      <c r="G3231" s="148">
        <f>I3230</f>
        <v>24558</v>
      </c>
      <c r="H3231" s="145">
        <v>0</v>
      </c>
      <c r="I3231" s="148">
        <f>ROUND((F3231*G3231),0)</f>
        <v>2456</v>
      </c>
      <c r="J3231" s="47"/>
      <c r="K3231" s="143"/>
    </row>
    <row r="3232" spans="2:11" ht="24.9" customHeight="1" x14ac:dyDescent="0.2">
      <c r="B3232" s="117" t="s">
        <v>2959</v>
      </c>
      <c r="C3232" s="117"/>
      <c r="D3232" s="112" t="s">
        <v>1495</v>
      </c>
      <c r="E3232" s="117" t="s">
        <v>1435</v>
      </c>
      <c r="F3232" s="118"/>
      <c r="G3232" s="119">
        <f>ROUND(SUM(I3233:I3239),0)</f>
        <v>86343</v>
      </c>
      <c r="H3232" s="120"/>
      <c r="I3232" s="119"/>
      <c r="J3232" s="47"/>
      <c r="K3232" s="143"/>
    </row>
    <row r="3233" spans="2:11" ht="24.9" customHeight="1" x14ac:dyDescent="0.2">
      <c r="B3233" s="672" t="s">
        <v>1035</v>
      </c>
      <c r="C3233" s="108" t="str">
        <f>+'LISTA DE INSUMOS'!A369</f>
        <v>MAT362</v>
      </c>
      <c r="D3233" s="139" t="str">
        <f>+'LISTA DE INSUMOS'!B369</f>
        <v>Adaptador PVC macho de 3/4" presión</v>
      </c>
      <c r="E3233" s="108" t="str">
        <f>+'LISTA DE INSUMOS'!C369</f>
        <v>Un</v>
      </c>
      <c r="F3233" s="140">
        <v>2</v>
      </c>
      <c r="G3233" s="141">
        <f>'LISTA DE INSUMOS'!E369</f>
        <v>939.89065631999995</v>
      </c>
      <c r="H3233" s="108">
        <v>0</v>
      </c>
      <c r="I3233" s="141">
        <f>ROUND((F3233*G3233),0)</f>
        <v>1880</v>
      </c>
      <c r="J3233" s="47"/>
      <c r="K3233" s="143"/>
    </row>
    <row r="3234" spans="2:11" ht="24.9" customHeight="1" x14ac:dyDescent="0.2">
      <c r="B3234" s="672"/>
      <c r="C3234" s="108" t="str">
        <f>+'LISTA DE INSUMOS'!A651</f>
        <v>MAT667</v>
      </c>
      <c r="D3234" s="139" t="str">
        <f>+'LISTA DE INSUMOS'!B651</f>
        <v>Limpiador removedor PVC 1/4</v>
      </c>
      <c r="E3234" s="108" t="str">
        <f>+'LISTA DE INSUMOS'!C651</f>
        <v>Un</v>
      </c>
      <c r="F3234" s="152">
        <v>8.0000000000000002E-3</v>
      </c>
      <c r="G3234" s="141">
        <f>+'LISTA DE INSUMOS'!E651</f>
        <v>55927.469152499994</v>
      </c>
      <c r="H3234" s="108">
        <v>1.03</v>
      </c>
      <c r="I3234" s="141">
        <f>ROUND((F3234*G3234*H3234),0)</f>
        <v>461</v>
      </c>
      <c r="J3234" s="47"/>
      <c r="K3234" s="143"/>
    </row>
    <row r="3235" spans="2:11" ht="24.9" customHeight="1" x14ac:dyDescent="0.2">
      <c r="B3235" s="672"/>
      <c r="C3235" s="108" t="str">
        <f>+'LISTA DE INSUMOS'!A650</f>
        <v>MAT666</v>
      </c>
      <c r="D3235" s="139" t="str">
        <f>+'LISTA DE INSUMOS'!B650</f>
        <v>Soldadura liquida para PVC 1/4 GL</v>
      </c>
      <c r="E3235" s="108" t="str">
        <f>+'LISTA DE INSUMOS'!C650</f>
        <v>Un</v>
      </c>
      <c r="F3235" s="152">
        <v>8.0000000000000002E-3</v>
      </c>
      <c r="G3235" s="141">
        <f>+'LISTA DE INSUMOS'!E650</f>
        <v>116100.56750324999</v>
      </c>
      <c r="H3235" s="108">
        <v>1.03</v>
      </c>
      <c r="I3235" s="141">
        <f>ROUND((F3235*G3235*H3235),0)</f>
        <v>957</v>
      </c>
      <c r="J3235" s="47"/>
      <c r="K3235" s="143"/>
    </row>
    <row r="3236" spans="2:11" ht="24.9" customHeight="1" x14ac:dyDescent="0.2">
      <c r="B3236" s="672"/>
      <c r="C3236" s="108" t="str">
        <f>+'LISTA DE INSUMOS'!A216</f>
        <v>MAT183</v>
      </c>
      <c r="D3236" s="139" t="str">
        <f>+'LISTA DE INSUMOS'!B216</f>
        <v>Cheque de 3/4" 200 psi</v>
      </c>
      <c r="E3236" s="108" t="str">
        <f>+'LISTA DE INSUMOS'!C216</f>
        <v>Un</v>
      </c>
      <c r="F3236" s="140">
        <v>1</v>
      </c>
      <c r="G3236" s="141">
        <f>'LISTA DE INSUMOS'!E216</f>
        <v>70986.284701453071</v>
      </c>
      <c r="H3236" s="108">
        <v>0</v>
      </c>
      <c r="I3236" s="141">
        <f>ROUND((F3236*G3236),0)</f>
        <v>70986</v>
      </c>
      <c r="J3236" s="47"/>
      <c r="K3236" s="143"/>
    </row>
    <row r="3237" spans="2:11" ht="24.9" customHeight="1" thickBot="1" x14ac:dyDescent="0.25">
      <c r="B3237" s="673"/>
      <c r="C3237" s="108" t="str">
        <f>+'LISTA DE INSUMOS'!A370</f>
        <v>MAT363</v>
      </c>
      <c r="D3237" s="139" t="str">
        <f>+'LISTA DE INSUMOS'!B370</f>
        <v>Cinta Teflón 1/2" x 10 m x 0.30 Densidad</v>
      </c>
      <c r="E3237" s="108" t="str">
        <f>+'LISTA DE INSUMOS'!C370</f>
        <v>Un</v>
      </c>
      <c r="F3237" s="140">
        <v>1</v>
      </c>
      <c r="G3237" s="141">
        <f>'LISTA DE INSUMOS'!E370</f>
        <v>2584.69930488</v>
      </c>
      <c r="H3237" s="108">
        <f>1/50</f>
        <v>0.02</v>
      </c>
      <c r="I3237" s="141">
        <f>ROUND((F3237*G3237*H3237),0)</f>
        <v>52</v>
      </c>
      <c r="J3237" s="47"/>
      <c r="K3237" s="143"/>
    </row>
    <row r="3238" spans="2:11" ht="24.9" customHeight="1" thickTop="1" thickBot="1" x14ac:dyDescent="0.25">
      <c r="B3238" s="250" t="s">
        <v>1034</v>
      </c>
      <c r="C3238" s="108" t="str">
        <f>+'LISTA DE INSUMOS'!A5</f>
        <v>MOB002</v>
      </c>
      <c r="D3238" s="139" t="str">
        <f>+'LISTA DE INSUMOS'!B5</f>
        <v>Oficial (jornal + prestaciones)</v>
      </c>
      <c r="E3238" s="108" t="str">
        <f>+'LISTA DE INSUMOS'!C5</f>
        <v>Día</v>
      </c>
      <c r="F3238" s="140">
        <v>1</v>
      </c>
      <c r="G3238" s="141">
        <f>'LISTA DE INSUMOS'!E5</f>
        <v>163723</v>
      </c>
      <c r="H3238" s="108">
        <f>1/15</f>
        <v>6.6666666666666666E-2</v>
      </c>
      <c r="I3238" s="141">
        <f>ROUND((F3238*G3238*H3238),0)</f>
        <v>10915</v>
      </c>
      <c r="J3238" s="47"/>
      <c r="K3238" s="143"/>
    </row>
    <row r="3239" spans="2:11" ht="24.9" customHeight="1" thickTop="1" thickBot="1" x14ac:dyDescent="0.25">
      <c r="B3239" s="150" t="s">
        <v>1033</v>
      </c>
      <c r="C3239" s="151" t="str">
        <f>+'LISTA DE INSUMOS'!A758</f>
        <v>EQU002</v>
      </c>
      <c r="D3239" s="146" t="str">
        <f>+'LISTA DE INSUMOS'!B758</f>
        <v>Herramienta menor (% mano obra)</v>
      </c>
      <c r="E3239" s="145" t="str">
        <f>+'LISTA DE INSUMOS'!C758</f>
        <v>%MO</v>
      </c>
      <c r="F3239" s="147">
        <v>0.1</v>
      </c>
      <c r="G3239" s="148">
        <f>I3238</f>
        <v>10915</v>
      </c>
      <c r="H3239" s="145">
        <v>0</v>
      </c>
      <c r="I3239" s="148">
        <f>ROUND((F3239*G3239),0)</f>
        <v>1092</v>
      </c>
      <c r="J3239" s="47"/>
      <c r="K3239" s="143"/>
    </row>
    <row r="3240" spans="2:11" s="317" customFormat="1" ht="24.9" hidden="1" customHeight="1" x14ac:dyDescent="0.2">
      <c r="B3240" s="319" t="s">
        <v>1895</v>
      </c>
      <c r="C3240" s="319"/>
      <c r="D3240" s="320" t="s">
        <v>1748</v>
      </c>
      <c r="E3240" s="319" t="s">
        <v>1435</v>
      </c>
      <c r="F3240" s="321"/>
      <c r="G3240" s="312">
        <f>ROUND(SUM(I3241:I3247),0)</f>
        <v>451193</v>
      </c>
      <c r="H3240" s="322"/>
      <c r="I3240" s="312"/>
      <c r="J3240" s="313"/>
      <c r="K3240" s="323"/>
    </row>
    <row r="3241" spans="2:11" s="317" customFormat="1" ht="24.9" hidden="1" customHeight="1" x14ac:dyDescent="0.2">
      <c r="B3241" s="691" t="s">
        <v>1035</v>
      </c>
      <c r="C3241" s="322" t="str">
        <f>+'LISTA DE INSUMOS'!A369</f>
        <v>MAT362</v>
      </c>
      <c r="D3241" s="324" t="str">
        <f>+'LISTA DE INSUMOS'!B369</f>
        <v>Adaptador PVC macho de 3/4" presión</v>
      </c>
      <c r="E3241" s="322" t="str">
        <f>+'LISTA DE INSUMOS'!C369</f>
        <v>Un</v>
      </c>
      <c r="F3241" s="325">
        <v>2</v>
      </c>
      <c r="G3241" s="312">
        <f>'LISTA DE INSUMOS'!E369</f>
        <v>939.89065631999995</v>
      </c>
      <c r="H3241" s="322">
        <v>0</v>
      </c>
      <c r="I3241" s="312">
        <f>ROUND((F3241*G3241),0)</f>
        <v>1880</v>
      </c>
      <c r="J3241" s="313"/>
      <c r="K3241" s="323"/>
    </row>
    <row r="3242" spans="2:11" s="317" customFormat="1" ht="24.9" hidden="1" customHeight="1" x14ac:dyDescent="0.2">
      <c r="B3242" s="691"/>
      <c r="C3242" s="322" t="str">
        <f>+'LISTA DE INSUMOS'!A651</f>
        <v>MAT667</v>
      </c>
      <c r="D3242" s="324" t="str">
        <f>+'LISTA DE INSUMOS'!B651</f>
        <v>Limpiador removedor PVC 1/4</v>
      </c>
      <c r="E3242" s="322" t="str">
        <f>+'LISTA DE INSUMOS'!C651</f>
        <v>Un</v>
      </c>
      <c r="F3242" s="351">
        <v>8.0000000000000002E-3</v>
      </c>
      <c r="G3242" s="312">
        <f>+'LISTA DE INSUMOS'!E651</f>
        <v>55927.469152499994</v>
      </c>
      <c r="H3242" s="322">
        <v>1.03</v>
      </c>
      <c r="I3242" s="312">
        <f>ROUND((F3242*G3242*H3242),0)</f>
        <v>461</v>
      </c>
      <c r="J3242" s="313"/>
      <c r="K3242" s="323"/>
    </row>
    <row r="3243" spans="2:11" s="317" customFormat="1" ht="24.9" hidden="1" customHeight="1" x14ac:dyDescent="0.2">
      <c r="B3243" s="691"/>
      <c r="C3243" s="322" t="str">
        <f>+'LISTA DE INSUMOS'!A650</f>
        <v>MAT666</v>
      </c>
      <c r="D3243" s="324" t="str">
        <f>+'LISTA DE INSUMOS'!B650</f>
        <v>Soldadura liquida para PVC 1/4 GL</v>
      </c>
      <c r="E3243" s="322" t="str">
        <f>+'LISTA DE INSUMOS'!C650</f>
        <v>Un</v>
      </c>
      <c r="F3243" s="351">
        <v>8.0000000000000002E-3</v>
      </c>
      <c r="G3243" s="312">
        <f>+'LISTA DE INSUMOS'!E650</f>
        <v>116100.56750324999</v>
      </c>
      <c r="H3243" s="322">
        <v>1.03</v>
      </c>
      <c r="I3243" s="312">
        <f>ROUND((F3243*G3243*H3243),0)</f>
        <v>957</v>
      </c>
      <c r="J3243" s="313"/>
      <c r="K3243" s="323"/>
    </row>
    <row r="3244" spans="2:11" s="317" customFormat="1" ht="24.9" hidden="1" customHeight="1" x14ac:dyDescent="0.2">
      <c r="B3244" s="691"/>
      <c r="C3244" s="322" t="str">
        <f>+'LISTA DE INSUMOS'!A370</f>
        <v>MAT363</v>
      </c>
      <c r="D3244" s="324" t="str">
        <f>+'LISTA DE INSUMOS'!B370</f>
        <v>Cinta Teflón 1/2" x 10 m x 0.30 Densidad</v>
      </c>
      <c r="E3244" s="322" t="str">
        <f>+'LISTA DE INSUMOS'!C370</f>
        <v>Un</v>
      </c>
      <c r="F3244" s="325">
        <v>1</v>
      </c>
      <c r="G3244" s="312">
        <f>'LISTA DE INSUMOS'!E370</f>
        <v>2584.69930488</v>
      </c>
      <c r="H3244" s="322">
        <f>1/50</f>
        <v>0.02</v>
      </c>
      <c r="I3244" s="312">
        <f>ROUND((F3244*G3244*H3244),0)</f>
        <v>52</v>
      </c>
      <c r="J3244" s="313"/>
      <c r="K3244" s="323"/>
    </row>
    <row r="3245" spans="2:11" s="317" customFormat="1" ht="24.9" hidden="1" customHeight="1" thickBot="1" x14ac:dyDescent="0.25">
      <c r="B3245" s="692"/>
      <c r="C3245" s="322" t="str">
        <f>+'LISTA DE INSUMOS'!A387</f>
        <v>MAT380</v>
      </c>
      <c r="D3245" s="324" t="str">
        <f>+'LISTA DE INSUMOS'!B387</f>
        <v>Medidor de 1"    volumétrico tipo "B"</v>
      </c>
      <c r="E3245" s="322" t="str">
        <f>+'LISTA DE INSUMOS'!C387</f>
        <v>Un</v>
      </c>
      <c r="F3245" s="325">
        <v>1</v>
      </c>
      <c r="G3245" s="312">
        <f>+'LISTA DE INSUMOS'!E387</f>
        <v>420828.90561848128</v>
      </c>
      <c r="H3245" s="322">
        <v>0</v>
      </c>
      <c r="I3245" s="312">
        <f>ROUND((F3245*G3245),0)</f>
        <v>420829</v>
      </c>
      <c r="J3245" s="313"/>
      <c r="K3245" s="323"/>
    </row>
    <row r="3246" spans="2:11" s="317" customFormat="1" ht="24.9" hidden="1" customHeight="1" thickTop="1" thickBot="1" x14ac:dyDescent="0.25">
      <c r="B3246" s="372" t="s">
        <v>1034</v>
      </c>
      <c r="C3246" s="322" t="str">
        <f>+'LISTA DE INSUMOS'!A18</f>
        <v>MOB015</v>
      </c>
      <c r="D3246" s="324" t="str">
        <f>+'LISTA DE INSUMOS'!B18</f>
        <v>Cuadrilla E 1 Of + 1 Ay (jornal + prestaciones)</v>
      </c>
      <c r="E3246" s="322" t="str">
        <f>+'LISTA DE INSUMOS'!C18</f>
        <v>Día</v>
      </c>
      <c r="F3246" s="325">
        <v>1</v>
      </c>
      <c r="G3246" s="312">
        <f>'LISTA DE INSUMOS'!E18</f>
        <v>245584</v>
      </c>
      <c r="H3246" s="322">
        <f>1/10</f>
        <v>0.1</v>
      </c>
      <c r="I3246" s="312">
        <f>ROUND((F3246*G3246*H3246),0)</f>
        <v>24558</v>
      </c>
      <c r="J3246" s="313"/>
      <c r="K3246" s="323"/>
    </row>
    <row r="3247" spans="2:11" s="317" customFormat="1" ht="24.9" hidden="1" customHeight="1" thickTop="1" thickBot="1" x14ac:dyDescent="0.25">
      <c r="B3247" s="255" t="s">
        <v>1033</v>
      </c>
      <c r="C3247" s="327" t="str">
        <f>+'LISTA DE INSUMOS'!A758</f>
        <v>EQU002</v>
      </c>
      <c r="D3247" s="328" t="str">
        <f>+'LISTA DE INSUMOS'!B758</f>
        <v>Herramienta menor (% mano obra)</v>
      </c>
      <c r="E3247" s="329" t="str">
        <f>+'LISTA DE INSUMOS'!C758</f>
        <v>%MO</v>
      </c>
      <c r="F3247" s="330">
        <v>0.1</v>
      </c>
      <c r="G3247" s="331">
        <f>I3246</f>
        <v>24558</v>
      </c>
      <c r="H3247" s="329">
        <v>0</v>
      </c>
      <c r="I3247" s="331">
        <f>ROUND((F3247*G3247),0)</f>
        <v>2456</v>
      </c>
      <c r="J3247" s="313"/>
      <c r="K3247" s="323"/>
    </row>
    <row r="3248" spans="2:11" ht="24.9" customHeight="1" x14ac:dyDescent="0.2">
      <c r="B3248" s="117" t="s">
        <v>2960</v>
      </c>
      <c r="C3248" s="117"/>
      <c r="D3248" s="112" t="s">
        <v>1333</v>
      </c>
      <c r="E3248" s="117" t="s">
        <v>1871</v>
      </c>
      <c r="F3248" s="149"/>
      <c r="G3248" s="119">
        <f>ROUND(SUM(I3249:I3256),0)</f>
        <v>73060</v>
      </c>
      <c r="H3248" s="120"/>
      <c r="I3248" s="119"/>
      <c r="J3248" s="47"/>
      <c r="K3248" s="143"/>
    </row>
    <row r="3249" spans="2:11" ht="24.9" customHeight="1" x14ac:dyDescent="0.2">
      <c r="B3249" s="672" t="s">
        <v>1035</v>
      </c>
      <c r="C3249" s="108" t="str">
        <f>+'LISTA DE INSUMOS'!A104</f>
        <v>MAT064</v>
      </c>
      <c r="D3249" s="139" t="str">
        <f>+'LISTA DE INSUMOS'!B104</f>
        <v>Tubería PVC presión de 3/4" rde 21</v>
      </c>
      <c r="E3249" s="108" t="str">
        <f>+'LISTA DE INSUMOS'!C104</f>
        <v>M</v>
      </c>
      <c r="F3249" s="140">
        <v>3</v>
      </c>
      <c r="G3249" s="141">
        <f>'LISTA DE INSUMOS'!E104</f>
        <v>4346.137670784</v>
      </c>
      <c r="H3249" s="108">
        <v>1.05</v>
      </c>
      <c r="I3249" s="141">
        <f>ROUND((F3249*G3249*H3249),0)</f>
        <v>13690</v>
      </c>
      <c r="J3249" s="47"/>
      <c r="K3249" s="143"/>
    </row>
    <row r="3250" spans="2:11" ht="24.9" customHeight="1" x14ac:dyDescent="0.2">
      <c r="B3250" s="672"/>
      <c r="C3250" s="108" t="str">
        <f>+'LISTA DE INSUMOS'!A127</f>
        <v>MAT085</v>
      </c>
      <c r="D3250" s="139" t="str">
        <f>+'LISTA DE INSUMOS'!B127</f>
        <v>Accesorios PVC presión</v>
      </c>
      <c r="E3250" s="108" t="str">
        <f>+'LISTA DE INSUMOS'!C127</f>
        <v>%Tub</v>
      </c>
      <c r="F3250" s="140">
        <v>0.5</v>
      </c>
      <c r="G3250" s="141">
        <f>I3249</f>
        <v>13690</v>
      </c>
      <c r="H3250" s="108">
        <v>0</v>
      </c>
      <c r="I3250" s="141">
        <f>ROUND((F3250*G3250),0)</f>
        <v>6845</v>
      </c>
      <c r="J3250" s="47"/>
      <c r="K3250" s="143"/>
    </row>
    <row r="3251" spans="2:11" ht="24.9" customHeight="1" x14ac:dyDescent="0.2">
      <c r="B3251" s="672"/>
      <c r="C3251" s="108" t="str">
        <f>+'LISTA DE INSUMOS'!A651</f>
        <v>MAT667</v>
      </c>
      <c r="D3251" s="139" t="str">
        <f>+'LISTA DE INSUMOS'!B651</f>
        <v>Limpiador removedor PVC 1/4</v>
      </c>
      <c r="E3251" s="108" t="str">
        <f>+'LISTA DE INSUMOS'!C651</f>
        <v>Un</v>
      </c>
      <c r="F3251" s="152">
        <v>2.4E-2</v>
      </c>
      <c r="G3251" s="141">
        <f>+'LISTA DE INSUMOS'!E651</f>
        <v>55927.469152499994</v>
      </c>
      <c r="H3251" s="108">
        <v>1.03</v>
      </c>
      <c r="I3251" s="141">
        <f>ROUND((F3251*G3251*H3251),0)</f>
        <v>1383</v>
      </c>
      <c r="J3251" s="47"/>
      <c r="K3251" s="143"/>
    </row>
    <row r="3252" spans="2:11" ht="24.9" customHeight="1" x14ac:dyDescent="0.2">
      <c r="B3252" s="672"/>
      <c r="C3252" s="108" t="str">
        <f>+'LISTA DE INSUMOS'!A650</f>
        <v>MAT666</v>
      </c>
      <c r="D3252" s="139" t="str">
        <f>+'LISTA DE INSUMOS'!B650</f>
        <v>Soldadura liquida para PVC 1/4 GL</v>
      </c>
      <c r="E3252" s="108" t="str">
        <f>+'LISTA DE INSUMOS'!C650</f>
        <v>Un</v>
      </c>
      <c r="F3252" s="152">
        <v>2.4E-2</v>
      </c>
      <c r="G3252" s="141">
        <f>+'LISTA DE INSUMOS'!E650</f>
        <v>116100.56750324999</v>
      </c>
      <c r="H3252" s="108">
        <v>1.03</v>
      </c>
      <c r="I3252" s="141">
        <f>ROUND((F3252*G3252*H3252),0)</f>
        <v>2870</v>
      </c>
      <c r="J3252" s="47"/>
      <c r="K3252" s="143"/>
    </row>
    <row r="3253" spans="2:11" ht="24.9" customHeight="1" thickBot="1" x14ac:dyDescent="0.25">
      <c r="B3253" s="673"/>
      <c r="C3253" s="125" t="str">
        <f>+'LISTA DE INSUMOS'!A536</f>
        <v>MAT553</v>
      </c>
      <c r="D3253" s="155" t="str">
        <f>+'LISTA DE INSUMOS'!B536</f>
        <v>Niple Tub Hg  3/4  L=.15M</v>
      </c>
      <c r="E3253" s="125" t="str">
        <f>+'LISTA DE INSUMOS'!C536</f>
        <v>Un</v>
      </c>
      <c r="F3253" s="152">
        <v>1</v>
      </c>
      <c r="G3253" s="141">
        <f>'LISTA DE INSUMOS'!E536</f>
        <v>7185.2167279199994</v>
      </c>
      <c r="H3253" s="108">
        <v>0</v>
      </c>
      <c r="I3253" s="141">
        <f>ROUND((F3253*G3253),0)</f>
        <v>7185</v>
      </c>
      <c r="J3253" s="47"/>
      <c r="K3253" s="143"/>
    </row>
    <row r="3254" spans="2:11" ht="24.9" customHeight="1" thickTop="1" thickBot="1" x14ac:dyDescent="0.25">
      <c r="B3254" s="191" t="s">
        <v>1310</v>
      </c>
      <c r="C3254" s="108" t="str">
        <f>+B574</f>
        <v>ITE96</v>
      </c>
      <c r="D3254" s="139" t="str">
        <f>+D574</f>
        <v>Mortero 1:3 (producción)</v>
      </c>
      <c r="E3254" s="108" t="str">
        <f>+E574</f>
        <v>M3</v>
      </c>
      <c r="F3254" s="140">
        <v>1.2E-2</v>
      </c>
      <c r="G3254" s="141">
        <f>G574</f>
        <v>580906</v>
      </c>
      <c r="H3254" s="108">
        <v>1.05</v>
      </c>
      <c r="I3254" s="141">
        <f>ROUND((F3254*G3254*H3254),0)</f>
        <v>7319</v>
      </c>
      <c r="J3254" s="47"/>
      <c r="K3254" s="143"/>
    </row>
    <row r="3255" spans="2:11" ht="24.9" customHeight="1" thickTop="1" thickBot="1" x14ac:dyDescent="0.25">
      <c r="B3255" s="250" t="s">
        <v>1034</v>
      </c>
      <c r="C3255" s="108" t="str">
        <f>+'LISTA DE INSUMOS'!A18</f>
        <v>MOB015</v>
      </c>
      <c r="D3255" s="139" t="str">
        <f>+'LISTA DE INSUMOS'!B18</f>
        <v>Cuadrilla E 1 Of + 1 Ay (jornal + prestaciones)</v>
      </c>
      <c r="E3255" s="108" t="str">
        <f>+'LISTA DE INSUMOS'!C18</f>
        <v>Día</v>
      </c>
      <c r="F3255" s="140">
        <v>1</v>
      </c>
      <c r="G3255" s="141">
        <f>'LISTA DE INSUMOS'!E18</f>
        <v>245584</v>
      </c>
      <c r="H3255" s="108">
        <f>1/8</f>
        <v>0.125</v>
      </c>
      <c r="I3255" s="141">
        <f>ROUND((F3255*G3255*H3255),0)</f>
        <v>30698</v>
      </c>
      <c r="J3255" s="47"/>
      <c r="K3255" s="143"/>
    </row>
    <row r="3256" spans="2:11" ht="24.9" customHeight="1" thickTop="1" thickBot="1" x14ac:dyDescent="0.25">
      <c r="B3256" s="150" t="s">
        <v>1033</v>
      </c>
      <c r="C3256" s="151" t="str">
        <f>+'LISTA DE INSUMOS'!A758</f>
        <v>EQU002</v>
      </c>
      <c r="D3256" s="146" t="str">
        <f>+'LISTA DE INSUMOS'!B758</f>
        <v>Herramienta menor (% mano obra)</v>
      </c>
      <c r="E3256" s="145" t="str">
        <f>+'LISTA DE INSUMOS'!C758</f>
        <v>%MO</v>
      </c>
      <c r="F3256" s="147">
        <v>0.1</v>
      </c>
      <c r="G3256" s="148">
        <f>I3255</f>
        <v>30698</v>
      </c>
      <c r="H3256" s="145">
        <v>0</v>
      </c>
      <c r="I3256" s="148">
        <f>ROUND((F3256*G3256),0)</f>
        <v>3070</v>
      </c>
      <c r="J3256" s="47"/>
      <c r="K3256" s="143"/>
    </row>
    <row r="3257" spans="2:11" ht="24.9" customHeight="1" x14ac:dyDescent="0.2">
      <c r="B3257" s="117" t="s">
        <v>2961</v>
      </c>
      <c r="C3257" s="117"/>
      <c r="D3257" s="112" t="s">
        <v>1334</v>
      </c>
      <c r="E3257" s="117" t="s">
        <v>1871</v>
      </c>
      <c r="F3257" s="149"/>
      <c r="G3257" s="119">
        <f>ROUND(SUM(I3258:I3265),0)</f>
        <v>88930</v>
      </c>
      <c r="H3257" s="120"/>
      <c r="I3257" s="119"/>
      <c r="J3257" s="47"/>
      <c r="K3257" s="143"/>
    </row>
    <row r="3258" spans="2:11" ht="24.9" customHeight="1" x14ac:dyDescent="0.2">
      <c r="B3258" s="672" t="s">
        <v>1035</v>
      </c>
      <c r="C3258" s="125" t="str">
        <f>+'LISTA DE INSUMOS'!A124</f>
        <v>MAT082</v>
      </c>
      <c r="D3258" s="155" t="str">
        <f>+'LISTA DE INSUMOS'!B124</f>
        <v>Tubería PVC presión de 1"    rde 21</v>
      </c>
      <c r="E3258" s="125" t="str">
        <f>+'LISTA DE INSUMOS'!C124</f>
        <v>M</v>
      </c>
      <c r="F3258" s="140">
        <v>3</v>
      </c>
      <c r="G3258" s="170">
        <f>'LISTA DE INSUMOS'!E124</f>
        <v>6822.4313015627995</v>
      </c>
      <c r="H3258" s="108">
        <v>1.05</v>
      </c>
      <c r="I3258" s="141">
        <f>ROUND((F3258*G3258*H3258),0)</f>
        <v>21491</v>
      </c>
      <c r="J3258" s="47"/>
      <c r="K3258" s="143"/>
    </row>
    <row r="3259" spans="2:11" ht="24.9" customHeight="1" x14ac:dyDescent="0.2">
      <c r="B3259" s="672"/>
      <c r="C3259" s="108" t="str">
        <f>+'LISTA DE INSUMOS'!A127</f>
        <v>MAT085</v>
      </c>
      <c r="D3259" s="139" t="str">
        <f>+'LISTA DE INSUMOS'!B127</f>
        <v>Accesorios PVC presión</v>
      </c>
      <c r="E3259" s="108" t="str">
        <f>+'LISTA DE INSUMOS'!C127</f>
        <v>%Tub</v>
      </c>
      <c r="F3259" s="140">
        <v>0.5</v>
      </c>
      <c r="G3259" s="141">
        <f>I3258</f>
        <v>21491</v>
      </c>
      <c r="H3259" s="108">
        <v>0</v>
      </c>
      <c r="I3259" s="141">
        <f>ROUND((F3259*G3259),0)</f>
        <v>10746</v>
      </c>
      <c r="J3259" s="47"/>
      <c r="K3259" s="143"/>
    </row>
    <row r="3260" spans="2:11" ht="24.9" customHeight="1" x14ac:dyDescent="0.2">
      <c r="B3260" s="672"/>
      <c r="C3260" s="108" t="str">
        <f>+'LISTA DE INSUMOS'!A651</f>
        <v>MAT667</v>
      </c>
      <c r="D3260" s="139" t="str">
        <f>+'LISTA DE INSUMOS'!B651</f>
        <v>Limpiador removedor PVC 1/4</v>
      </c>
      <c r="E3260" s="108" t="str">
        <f>+'LISTA DE INSUMOS'!C651</f>
        <v>Un</v>
      </c>
      <c r="F3260" s="152">
        <v>0.03</v>
      </c>
      <c r="G3260" s="141">
        <f>+'LISTA DE INSUMOS'!E651</f>
        <v>55927.469152499994</v>
      </c>
      <c r="H3260" s="108">
        <v>1.03</v>
      </c>
      <c r="I3260" s="141">
        <f>ROUND((F3260*G3260*H3260),0)</f>
        <v>1728</v>
      </c>
      <c r="J3260" s="47"/>
      <c r="K3260" s="143"/>
    </row>
    <row r="3261" spans="2:11" ht="24.9" customHeight="1" x14ac:dyDescent="0.2">
      <c r="B3261" s="672"/>
      <c r="C3261" s="108" t="str">
        <f>+'LISTA DE INSUMOS'!A650</f>
        <v>MAT666</v>
      </c>
      <c r="D3261" s="139" t="str">
        <f>+'LISTA DE INSUMOS'!B650</f>
        <v>Soldadura liquida para PVC 1/4 GL</v>
      </c>
      <c r="E3261" s="108" t="str">
        <f>+'LISTA DE INSUMOS'!C650</f>
        <v>Un</v>
      </c>
      <c r="F3261" s="152">
        <v>0.03</v>
      </c>
      <c r="G3261" s="141">
        <f>+'LISTA DE INSUMOS'!E650</f>
        <v>116100.56750324999</v>
      </c>
      <c r="H3261" s="108">
        <v>1.03</v>
      </c>
      <c r="I3261" s="141">
        <f>ROUND((F3261*G3261*H3261),0)</f>
        <v>3588</v>
      </c>
      <c r="J3261" s="47"/>
      <c r="K3261" s="143"/>
    </row>
    <row r="3262" spans="2:11" ht="24.9" customHeight="1" thickBot="1" x14ac:dyDescent="0.25">
      <c r="B3262" s="673"/>
      <c r="C3262" s="125" t="str">
        <f>+'LISTA DE INSUMOS'!A537</f>
        <v>MAT554</v>
      </c>
      <c r="D3262" s="155" t="str">
        <f>+'LISTA DE INSUMOS'!B537</f>
        <v>Niple Tub Hg 1     L=.15M</v>
      </c>
      <c r="E3262" s="125" t="str">
        <f>+'LISTA DE INSUMOS'!C537</f>
        <v>Un</v>
      </c>
      <c r="F3262" s="140">
        <v>1</v>
      </c>
      <c r="G3262" s="141">
        <f>+'LISTA DE INSUMOS'!E537</f>
        <v>10290.256813913998</v>
      </c>
      <c r="H3262" s="108">
        <v>0</v>
      </c>
      <c r="I3262" s="141">
        <f>ROUND((F3262*G3262),0)</f>
        <v>10290</v>
      </c>
      <c r="J3262" s="47"/>
      <c r="K3262" s="143"/>
    </row>
    <row r="3263" spans="2:11" ht="24.9" customHeight="1" thickTop="1" thickBot="1" x14ac:dyDescent="0.25">
      <c r="B3263" s="191" t="s">
        <v>1310</v>
      </c>
      <c r="C3263" s="108" t="str">
        <f>+B574</f>
        <v>ITE96</v>
      </c>
      <c r="D3263" s="139" t="str">
        <f>+D574</f>
        <v>Mortero 1:3 (producción)</v>
      </c>
      <c r="E3263" s="108" t="str">
        <f>+E574</f>
        <v>M3</v>
      </c>
      <c r="F3263" s="140">
        <v>1.2E-2</v>
      </c>
      <c r="G3263" s="141">
        <f>G574</f>
        <v>580906</v>
      </c>
      <c r="H3263" s="108">
        <v>1.05</v>
      </c>
      <c r="I3263" s="141">
        <f>ROUND((F3263*G3263*H3263),0)</f>
        <v>7319</v>
      </c>
      <c r="J3263" s="47"/>
      <c r="K3263" s="143"/>
    </row>
    <row r="3264" spans="2:11" ht="24.9" customHeight="1" thickTop="1" thickBot="1" x14ac:dyDescent="0.25">
      <c r="B3264" s="250" t="s">
        <v>1034</v>
      </c>
      <c r="C3264" s="108" t="str">
        <f>+'LISTA DE INSUMOS'!A18</f>
        <v>MOB015</v>
      </c>
      <c r="D3264" s="139" t="str">
        <f>+'LISTA DE INSUMOS'!B18</f>
        <v>Cuadrilla E 1 Of + 1 Ay (jornal + prestaciones)</v>
      </c>
      <c r="E3264" s="108" t="str">
        <f>+'LISTA DE INSUMOS'!C18</f>
        <v>Día</v>
      </c>
      <c r="F3264" s="140">
        <v>1</v>
      </c>
      <c r="G3264" s="141">
        <f>'LISTA DE INSUMOS'!E18</f>
        <v>245584</v>
      </c>
      <c r="H3264" s="108">
        <f>1/8</f>
        <v>0.125</v>
      </c>
      <c r="I3264" s="141">
        <f>ROUND((F3264*G3264*H3264),0)</f>
        <v>30698</v>
      </c>
      <c r="J3264" s="47"/>
      <c r="K3264" s="143"/>
    </row>
    <row r="3265" spans="2:11" ht="24.9" customHeight="1" thickTop="1" thickBot="1" x14ac:dyDescent="0.25">
      <c r="B3265" s="150" t="s">
        <v>1033</v>
      </c>
      <c r="C3265" s="151" t="str">
        <f>+'LISTA DE INSUMOS'!A758</f>
        <v>EQU002</v>
      </c>
      <c r="D3265" s="146" t="str">
        <f>+'LISTA DE INSUMOS'!B758</f>
        <v>Herramienta menor (% mano obra)</v>
      </c>
      <c r="E3265" s="145" t="str">
        <f>+'LISTA DE INSUMOS'!C758</f>
        <v>%MO</v>
      </c>
      <c r="F3265" s="147">
        <v>0.1</v>
      </c>
      <c r="G3265" s="148">
        <f>I3264</f>
        <v>30698</v>
      </c>
      <c r="H3265" s="145">
        <v>0</v>
      </c>
      <c r="I3265" s="148">
        <f>ROUND((F3265*G3265),0)</f>
        <v>3070</v>
      </c>
      <c r="J3265" s="47"/>
      <c r="K3265" s="143"/>
    </row>
    <row r="3266" spans="2:11" ht="24.9" customHeight="1" x14ac:dyDescent="0.2">
      <c r="B3266" s="117" t="s">
        <v>2962</v>
      </c>
      <c r="C3266" s="117"/>
      <c r="D3266" s="112" t="s">
        <v>1730</v>
      </c>
      <c r="E3266" s="117" t="s">
        <v>1435</v>
      </c>
      <c r="F3266" s="149"/>
      <c r="G3266" s="119">
        <f>ROUND(SUM(I3267:I3273),0)</f>
        <v>46243</v>
      </c>
      <c r="H3266" s="120"/>
      <c r="I3266" s="119"/>
      <c r="J3266" s="47"/>
      <c r="K3266" s="143"/>
    </row>
    <row r="3267" spans="2:11" ht="24.9" customHeight="1" x14ac:dyDescent="0.2">
      <c r="B3267" s="672" t="s">
        <v>1035</v>
      </c>
      <c r="C3267" s="108" t="str">
        <f>+'LISTA DE INSUMOS'!A275</f>
        <v>MAT246</v>
      </c>
      <c r="D3267" s="139" t="str">
        <f>+'LISTA DE INSUMOS'!B275</f>
        <v>Llave terminal roscada de 1/2" pesada</v>
      </c>
      <c r="E3267" s="108" t="str">
        <f>+'LISTA DE INSUMOS'!C275</f>
        <v>Un</v>
      </c>
      <c r="F3267" s="140">
        <v>1</v>
      </c>
      <c r="G3267" s="141">
        <f>'LISTA DE INSUMOS'!E275</f>
        <v>37432.205414999997</v>
      </c>
      <c r="H3267" s="108">
        <v>0</v>
      </c>
      <c r="I3267" s="141">
        <f>ROUND((F3267*G3267),0)</f>
        <v>37432</v>
      </c>
      <c r="J3267" s="47"/>
      <c r="K3267" s="143"/>
    </row>
    <row r="3268" spans="2:11" ht="24.9" customHeight="1" x14ac:dyDescent="0.2">
      <c r="B3268" s="672"/>
      <c r="C3268" s="108" t="str">
        <f>+'LISTA DE INSUMOS'!A651</f>
        <v>MAT667</v>
      </c>
      <c r="D3268" s="139" t="str">
        <f>+'LISTA DE INSUMOS'!B651</f>
        <v>Limpiador removedor PVC 1/4</v>
      </c>
      <c r="E3268" s="108" t="str">
        <f>+'LISTA DE INSUMOS'!C651</f>
        <v>Un</v>
      </c>
      <c r="F3268" s="152">
        <v>6.0000000000000001E-3</v>
      </c>
      <c r="G3268" s="141">
        <f>+'LISTA DE INSUMOS'!E651</f>
        <v>55927.469152499994</v>
      </c>
      <c r="H3268" s="108">
        <v>1.03</v>
      </c>
      <c r="I3268" s="141">
        <f>ROUND((F3268*G3268*H3268),0)</f>
        <v>346</v>
      </c>
      <c r="J3268" s="47"/>
      <c r="K3268" s="143"/>
    </row>
    <row r="3269" spans="2:11" ht="24.9" customHeight="1" x14ac:dyDescent="0.2">
      <c r="B3269" s="672"/>
      <c r="C3269" s="108" t="str">
        <f>+'LISTA DE INSUMOS'!A650</f>
        <v>MAT666</v>
      </c>
      <c r="D3269" s="139" t="str">
        <f>+'LISTA DE INSUMOS'!B650</f>
        <v>Soldadura liquida para PVC 1/4 GL</v>
      </c>
      <c r="E3269" s="108" t="str">
        <f>+'LISTA DE INSUMOS'!C650</f>
        <v>Un</v>
      </c>
      <c r="F3269" s="152">
        <v>6.0000000000000001E-3</v>
      </c>
      <c r="G3269" s="141">
        <f>'LISTA DE INSUMOS'!E650</f>
        <v>116100.56750324999</v>
      </c>
      <c r="H3269" s="108">
        <v>1.03</v>
      </c>
      <c r="I3269" s="141">
        <f>ROUND((F3269*G3269*H3269),0)</f>
        <v>718</v>
      </c>
      <c r="J3269" s="47"/>
      <c r="K3269" s="143"/>
    </row>
    <row r="3270" spans="2:11" ht="24.9" customHeight="1" x14ac:dyDescent="0.2">
      <c r="B3270" s="672"/>
      <c r="C3270" s="108" t="str">
        <f>+'LISTA DE INSUMOS'!A370</f>
        <v>MAT363</v>
      </c>
      <c r="D3270" s="139" t="str">
        <f>+'LISTA DE INSUMOS'!B370</f>
        <v>Cinta Teflón 1/2" x 10 m x 0.30 Densidad</v>
      </c>
      <c r="E3270" s="108" t="str">
        <f>+'LISTA DE INSUMOS'!C370</f>
        <v>Un</v>
      </c>
      <c r="F3270" s="140">
        <v>1</v>
      </c>
      <c r="G3270" s="141">
        <f>'LISTA DE INSUMOS'!E370</f>
        <v>2584.69930488</v>
      </c>
      <c r="H3270" s="108">
        <v>0.01</v>
      </c>
      <c r="I3270" s="141">
        <f>ROUND((F3270*G3270*H3270),0)</f>
        <v>26</v>
      </c>
      <c r="J3270" s="47"/>
      <c r="K3270" s="143"/>
    </row>
    <row r="3271" spans="2:11" ht="24.9" customHeight="1" thickBot="1" x14ac:dyDescent="0.25">
      <c r="B3271" s="673"/>
      <c r="C3271" s="108" t="str">
        <f>+'LISTA DE INSUMOS'!A372</f>
        <v>MAT365</v>
      </c>
      <c r="D3271" s="139" t="str">
        <f>+'LISTA DE INSUMOS'!B372</f>
        <v>Adaptador PVC macho de 1/2" presión</v>
      </c>
      <c r="E3271" s="108" t="str">
        <f>+'LISTA DE INSUMOS'!C372</f>
        <v>Un</v>
      </c>
      <c r="F3271" s="140">
        <v>1</v>
      </c>
      <c r="G3271" s="141">
        <f>'LISTA DE INSUMOS'!E372</f>
        <v>516.93986097599998</v>
      </c>
      <c r="H3271" s="108">
        <v>0</v>
      </c>
      <c r="I3271" s="141">
        <f>ROUND((F3271*G3271),0)</f>
        <v>517</v>
      </c>
      <c r="J3271" s="47"/>
      <c r="K3271" s="143"/>
    </row>
    <row r="3272" spans="2:11" ht="24.9" customHeight="1" thickTop="1" thickBot="1" x14ac:dyDescent="0.25">
      <c r="B3272" s="250" t="s">
        <v>1034</v>
      </c>
      <c r="C3272" s="108" t="str">
        <f>+'LISTA DE INSUMOS'!A5</f>
        <v>MOB002</v>
      </c>
      <c r="D3272" s="139" t="str">
        <f>+'LISTA DE INSUMOS'!B5</f>
        <v>Oficial (jornal + prestaciones)</v>
      </c>
      <c r="E3272" s="108" t="str">
        <f>+'LISTA DE INSUMOS'!C5</f>
        <v>Día</v>
      </c>
      <c r="F3272" s="140">
        <v>1</v>
      </c>
      <c r="G3272" s="141">
        <f>'LISTA DE INSUMOS'!E5</f>
        <v>163723</v>
      </c>
      <c r="H3272" s="108">
        <f>1/25</f>
        <v>0.04</v>
      </c>
      <c r="I3272" s="141">
        <f>ROUND((F3272*G3272*H3272),0)</f>
        <v>6549</v>
      </c>
      <c r="J3272" s="47"/>
      <c r="K3272" s="143"/>
    </row>
    <row r="3273" spans="2:11" ht="24.9" customHeight="1" thickTop="1" thickBot="1" x14ac:dyDescent="0.25">
      <c r="B3273" s="150" t="s">
        <v>1033</v>
      </c>
      <c r="C3273" s="151" t="str">
        <f>+'LISTA DE INSUMOS'!A758</f>
        <v>EQU002</v>
      </c>
      <c r="D3273" s="146" t="str">
        <f>+'LISTA DE INSUMOS'!B758</f>
        <v>Herramienta menor (% mano obra)</v>
      </c>
      <c r="E3273" s="145" t="str">
        <f>+'LISTA DE INSUMOS'!C758</f>
        <v>%MO</v>
      </c>
      <c r="F3273" s="147">
        <v>0.1</v>
      </c>
      <c r="G3273" s="148">
        <f>I3272</f>
        <v>6549</v>
      </c>
      <c r="H3273" s="145">
        <v>0</v>
      </c>
      <c r="I3273" s="148">
        <f>ROUND((F3273*G3273),0)</f>
        <v>655</v>
      </c>
      <c r="J3273" s="47"/>
      <c r="K3273" s="143"/>
    </row>
    <row r="3274" spans="2:11" ht="24.9" customHeight="1" x14ac:dyDescent="0.2">
      <c r="B3274" s="117" t="s">
        <v>2963</v>
      </c>
      <c r="C3274" s="117"/>
      <c r="D3274" s="112" t="s">
        <v>2279</v>
      </c>
      <c r="E3274" s="117" t="s">
        <v>1412</v>
      </c>
      <c r="F3274" s="118"/>
      <c r="G3274" s="119">
        <f>ROUND(SUM(I3275:I3278),0)</f>
        <v>37309</v>
      </c>
      <c r="H3274" s="120"/>
      <c r="I3274" s="119"/>
      <c r="J3274" s="47"/>
      <c r="K3274" s="143"/>
    </row>
    <row r="3275" spans="2:11" ht="24.9" customHeight="1" x14ac:dyDescent="0.2">
      <c r="B3275" s="657" t="s">
        <v>1325</v>
      </c>
      <c r="C3275" s="108" t="str">
        <f>+'LISTA DE INSUMOS'!A318</f>
        <v>MAT294</v>
      </c>
      <c r="D3275" s="139" t="str">
        <f>+'LISTA DE INSUMOS'!B318</f>
        <v>Cinta PVC Sika Waterbar V-10</v>
      </c>
      <c r="E3275" s="108" t="str">
        <f>+'LISTA DE INSUMOS'!C318</f>
        <v>M</v>
      </c>
      <c r="F3275" s="140">
        <v>1</v>
      </c>
      <c r="G3275" s="141">
        <f>'LISTA DE INSUMOS'!E318</f>
        <v>22005.189991092</v>
      </c>
      <c r="H3275" s="108">
        <v>1.03</v>
      </c>
      <c r="I3275" s="141">
        <f>ROUND((F3275*G3275*H3275),0)</f>
        <v>22665</v>
      </c>
      <c r="J3275" s="47"/>
      <c r="K3275" s="143"/>
    </row>
    <row r="3276" spans="2:11" ht="24.9" customHeight="1" thickBot="1" x14ac:dyDescent="0.25">
      <c r="B3276" s="659"/>
      <c r="C3276" s="108" t="str">
        <f>+'LISTA DE INSUMOS'!A53</f>
        <v>MAT022</v>
      </c>
      <c r="D3276" s="139" t="str">
        <f>+'LISTA DE INSUMOS'!B53</f>
        <v>Alambre negro calibre 17</v>
      </c>
      <c r="E3276" s="108" t="str">
        <f>+'LISTA DE INSUMOS'!C53</f>
        <v>Kg</v>
      </c>
      <c r="F3276" s="140">
        <v>0.04</v>
      </c>
      <c r="G3276" s="141">
        <f>'LISTA DE INSUMOS'!E53</f>
        <v>7948.98</v>
      </c>
      <c r="H3276" s="108">
        <v>0</v>
      </c>
      <c r="I3276" s="141">
        <f>ROUND((F3276*G3276),0)</f>
        <v>318</v>
      </c>
      <c r="J3276" s="47"/>
      <c r="K3276" s="143"/>
    </row>
    <row r="3277" spans="2:11" ht="24.9" customHeight="1" thickTop="1" thickBot="1" x14ac:dyDescent="0.25">
      <c r="B3277" s="250" t="s">
        <v>1034</v>
      </c>
      <c r="C3277" s="108" t="str">
        <f>+'LISTA DE INSUMOS'!A5</f>
        <v>MOB002</v>
      </c>
      <c r="D3277" s="139" t="str">
        <f>+'LISTA DE INSUMOS'!B5</f>
        <v>Oficial (jornal + prestaciones)</v>
      </c>
      <c r="E3277" s="108" t="str">
        <f>+'LISTA DE INSUMOS'!C5</f>
        <v>Día</v>
      </c>
      <c r="F3277" s="140">
        <v>1</v>
      </c>
      <c r="G3277" s="141">
        <f>'LISTA DE INSUMOS'!E5</f>
        <v>163723</v>
      </c>
      <c r="H3277" s="108">
        <f>1/12</f>
        <v>8.3333333333333329E-2</v>
      </c>
      <c r="I3277" s="141">
        <f>ROUND((F3277*G3277*H3277),0)</f>
        <v>13644</v>
      </c>
      <c r="J3277" s="47"/>
      <c r="K3277" s="143"/>
    </row>
    <row r="3278" spans="2:11" ht="16.5" customHeight="1" thickTop="1" thickBot="1" x14ac:dyDescent="0.25">
      <c r="B3278" s="150" t="s">
        <v>1033</v>
      </c>
      <c r="C3278" s="151" t="str">
        <f>+'LISTA DE INSUMOS'!A758</f>
        <v>EQU002</v>
      </c>
      <c r="D3278" s="146" t="str">
        <f>+'LISTA DE INSUMOS'!B758</f>
        <v>Herramienta menor (% mano obra)</v>
      </c>
      <c r="E3278" s="145" t="str">
        <f>+'LISTA DE INSUMOS'!C758</f>
        <v>%MO</v>
      </c>
      <c r="F3278" s="147">
        <v>0.05</v>
      </c>
      <c r="G3278" s="148">
        <f>I3277</f>
        <v>13644</v>
      </c>
      <c r="H3278" s="145">
        <v>0</v>
      </c>
      <c r="I3278" s="148">
        <f>ROUND((F3278*G3278),0)</f>
        <v>682</v>
      </c>
      <c r="J3278" s="47"/>
      <c r="K3278" s="143"/>
    </row>
    <row r="3279" spans="2:11" s="317" customFormat="1" ht="0.75" customHeight="1" x14ac:dyDescent="0.2">
      <c r="B3279" s="319" t="s">
        <v>1927</v>
      </c>
      <c r="C3279" s="319"/>
      <c r="D3279" s="320" t="s">
        <v>1339</v>
      </c>
      <c r="E3279" s="319" t="s">
        <v>1871</v>
      </c>
      <c r="F3279" s="332"/>
      <c r="G3279" s="312">
        <f>ROUND(SUM(I3280:I3287),0)</f>
        <v>107310</v>
      </c>
      <c r="H3279" s="322"/>
      <c r="I3279" s="312"/>
      <c r="J3279" s="313"/>
      <c r="K3279" s="323"/>
    </row>
    <row r="3280" spans="2:11" s="317" customFormat="1" ht="28.5" hidden="1" customHeight="1" x14ac:dyDescent="0.2">
      <c r="B3280" s="691" t="s">
        <v>1035</v>
      </c>
      <c r="C3280" s="338" t="str">
        <f>+'LISTA DE INSUMOS'!A324</f>
        <v>MAT301</v>
      </c>
      <c r="D3280" s="339" t="str">
        <f>+'LISTA DE INSUMOS'!B324</f>
        <v>Tubería PVC presión de 1 1/4" rde 21</v>
      </c>
      <c r="E3280" s="338" t="str">
        <f>+'LISTA DE INSUMOS'!C324</f>
        <v>M</v>
      </c>
      <c r="F3280" s="325">
        <v>3</v>
      </c>
      <c r="G3280" s="312">
        <f>'LISTA DE INSUMOS'!E324</f>
        <v>10221.31088748</v>
      </c>
      <c r="H3280" s="322">
        <v>1.05</v>
      </c>
      <c r="I3280" s="312">
        <f>ROUND((F3280*G3280*H3280),0)</f>
        <v>32197</v>
      </c>
      <c r="J3280" s="313"/>
      <c r="K3280" s="323"/>
    </row>
    <row r="3281" spans="2:11" s="317" customFormat="1" ht="33.75" hidden="1" customHeight="1" x14ac:dyDescent="0.2">
      <c r="B3281" s="691"/>
      <c r="C3281" s="322" t="str">
        <f>+'LISTA DE INSUMOS'!A127</f>
        <v>MAT085</v>
      </c>
      <c r="D3281" s="324" t="str">
        <f>+'LISTA DE INSUMOS'!B127</f>
        <v>Accesorios PVC presión</v>
      </c>
      <c r="E3281" s="322" t="str">
        <f>+'LISTA DE INSUMOS'!C127</f>
        <v>%Tub</v>
      </c>
      <c r="F3281" s="325">
        <v>0.5</v>
      </c>
      <c r="G3281" s="312">
        <f>I3280</f>
        <v>32197</v>
      </c>
      <c r="H3281" s="322">
        <v>0</v>
      </c>
      <c r="I3281" s="312">
        <f>ROUND((F3281*G3281),0)</f>
        <v>16099</v>
      </c>
      <c r="J3281" s="313"/>
      <c r="K3281" s="323"/>
    </row>
    <row r="3282" spans="2:11" s="317" customFormat="1" ht="37.5" hidden="1" customHeight="1" x14ac:dyDescent="0.2">
      <c r="B3282" s="691"/>
      <c r="C3282" s="322" t="str">
        <f>+'LISTA DE INSUMOS'!A651</f>
        <v>MAT667</v>
      </c>
      <c r="D3282" s="324" t="str">
        <f>+'LISTA DE INSUMOS'!B651</f>
        <v>Limpiador removedor PVC 1/4</v>
      </c>
      <c r="E3282" s="322" t="str">
        <f>+'LISTA DE INSUMOS'!C651</f>
        <v>Un</v>
      </c>
      <c r="F3282" s="351">
        <v>3.5999999999999997E-2</v>
      </c>
      <c r="G3282" s="312">
        <f>+'LISTA DE INSUMOS'!E651</f>
        <v>55927.469152499994</v>
      </c>
      <c r="H3282" s="322">
        <v>1.03</v>
      </c>
      <c r="I3282" s="312">
        <f>ROUND((F3282*G3282*H3282),0)</f>
        <v>2074</v>
      </c>
      <c r="J3282" s="313"/>
      <c r="K3282" s="323"/>
    </row>
    <row r="3283" spans="2:11" s="317" customFormat="1" ht="21.75" hidden="1" customHeight="1" x14ac:dyDescent="0.2">
      <c r="B3283" s="691"/>
      <c r="C3283" s="322" t="str">
        <f>+'LISTA DE INSUMOS'!A650</f>
        <v>MAT666</v>
      </c>
      <c r="D3283" s="324" t="str">
        <f>+'LISTA DE INSUMOS'!B650</f>
        <v>Soldadura liquida para PVC 1/4 GL</v>
      </c>
      <c r="E3283" s="322" t="str">
        <f>+'LISTA DE INSUMOS'!C650</f>
        <v>Un</v>
      </c>
      <c r="F3283" s="351">
        <v>3.5999999999999997E-2</v>
      </c>
      <c r="G3283" s="312">
        <f>+'LISTA DE INSUMOS'!E650</f>
        <v>116100.56750324999</v>
      </c>
      <c r="H3283" s="322">
        <v>1.03</v>
      </c>
      <c r="I3283" s="312">
        <f>ROUND((F3283*G3283*H3283),0)</f>
        <v>4305</v>
      </c>
      <c r="J3283" s="313"/>
      <c r="K3283" s="323"/>
    </row>
    <row r="3284" spans="2:11" s="317" customFormat="1" ht="26.25" hidden="1" customHeight="1" thickBot="1" x14ac:dyDescent="0.25">
      <c r="B3284" s="692"/>
      <c r="C3284" s="338" t="str">
        <f>+'LISTA DE INSUMOS'!A538</f>
        <v>MAT555</v>
      </c>
      <c r="D3284" s="339" t="str">
        <f>+'LISTA DE INSUMOS'!B538</f>
        <v>Niple Tub Hg 1- 1/4L=.15M</v>
      </c>
      <c r="E3284" s="338" t="str">
        <f>+'LISTA DE INSUMOS'!C538</f>
        <v>Un</v>
      </c>
      <c r="F3284" s="325">
        <v>1</v>
      </c>
      <c r="G3284" s="312">
        <f>'LISTA DE INSUMOS'!E538</f>
        <v>11547.669741299998</v>
      </c>
      <c r="H3284" s="322">
        <v>0</v>
      </c>
      <c r="I3284" s="312">
        <f>ROUND((F3284*G3284),0)</f>
        <v>11548</v>
      </c>
      <c r="J3284" s="313"/>
      <c r="K3284" s="323"/>
    </row>
    <row r="3285" spans="2:11" s="317" customFormat="1" ht="4.5" hidden="1" customHeight="1" thickTop="1" thickBot="1" x14ac:dyDescent="0.25">
      <c r="B3285" s="347" t="s">
        <v>1310</v>
      </c>
      <c r="C3285" s="322" t="str">
        <f>+B574</f>
        <v>ITE96</v>
      </c>
      <c r="D3285" s="324" t="str">
        <f>+D574</f>
        <v>Mortero 1:3 (producción)</v>
      </c>
      <c r="E3285" s="322" t="str">
        <f>+E574</f>
        <v>M3</v>
      </c>
      <c r="F3285" s="351">
        <v>1.2E-2</v>
      </c>
      <c r="G3285" s="312">
        <f>G574</f>
        <v>580906</v>
      </c>
      <c r="H3285" s="322">
        <v>1.05</v>
      </c>
      <c r="I3285" s="312">
        <f>ROUND((F3285*G3285*H3285),0)</f>
        <v>7319</v>
      </c>
      <c r="J3285" s="313"/>
      <c r="K3285" s="323"/>
    </row>
    <row r="3286" spans="2:11" s="317" customFormat="1" ht="28.5" hidden="1" customHeight="1" thickTop="1" thickBot="1" x14ac:dyDescent="0.25">
      <c r="B3286" s="372" t="s">
        <v>1034</v>
      </c>
      <c r="C3286" s="322" t="str">
        <f>+'LISTA DE INSUMOS'!A18</f>
        <v>MOB015</v>
      </c>
      <c r="D3286" s="324" t="str">
        <f>+'LISTA DE INSUMOS'!B18</f>
        <v>Cuadrilla E 1 Of + 1 Ay (jornal + prestaciones)</v>
      </c>
      <c r="E3286" s="322" t="str">
        <f>+'LISTA DE INSUMOS'!C18</f>
        <v>Día</v>
      </c>
      <c r="F3286" s="325">
        <v>1</v>
      </c>
      <c r="G3286" s="312">
        <f>'LISTA DE INSUMOS'!E18</f>
        <v>245584</v>
      </c>
      <c r="H3286" s="322">
        <f>1/8</f>
        <v>0.125</v>
      </c>
      <c r="I3286" s="312">
        <f>ROUND((F3286*G3286*H3286),0)</f>
        <v>30698</v>
      </c>
      <c r="J3286" s="313"/>
      <c r="K3286" s="323"/>
    </row>
    <row r="3287" spans="2:11" s="317" customFormat="1" ht="27" hidden="1" customHeight="1" thickTop="1" thickBot="1" x14ac:dyDescent="0.25">
      <c r="B3287" s="255" t="s">
        <v>1033</v>
      </c>
      <c r="C3287" s="327" t="str">
        <f>+'LISTA DE INSUMOS'!A758</f>
        <v>EQU002</v>
      </c>
      <c r="D3287" s="328" t="str">
        <f>+'LISTA DE INSUMOS'!B758</f>
        <v>Herramienta menor (% mano obra)</v>
      </c>
      <c r="E3287" s="329" t="str">
        <f>+'LISTA DE INSUMOS'!C758</f>
        <v>%MO</v>
      </c>
      <c r="F3287" s="330">
        <v>0.1</v>
      </c>
      <c r="G3287" s="331">
        <f>I3286</f>
        <v>30698</v>
      </c>
      <c r="H3287" s="329">
        <v>0</v>
      </c>
      <c r="I3287" s="331">
        <f>ROUND((F3287*G3287),0)</f>
        <v>3070</v>
      </c>
      <c r="J3287" s="313"/>
      <c r="K3287" s="323"/>
    </row>
    <row r="3288" spans="2:11" s="317" customFormat="1" ht="31.5" hidden="1" customHeight="1" x14ac:dyDescent="0.2">
      <c r="B3288" s="319" t="s">
        <v>1893</v>
      </c>
      <c r="C3288" s="319"/>
      <c r="D3288" s="320" t="s">
        <v>1340</v>
      </c>
      <c r="E3288" s="319" t="s">
        <v>1871</v>
      </c>
      <c r="F3288" s="321"/>
      <c r="G3288" s="312">
        <f>ROUND(SUM(I3289:I3296),0)</f>
        <v>124297</v>
      </c>
      <c r="H3288" s="322"/>
      <c r="I3288" s="312"/>
      <c r="J3288" s="313"/>
      <c r="K3288" s="323"/>
    </row>
    <row r="3289" spans="2:11" s="317" customFormat="1" ht="42.75" hidden="1" customHeight="1" x14ac:dyDescent="0.2">
      <c r="B3289" s="691" t="s">
        <v>1035</v>
      </c>
      <c r="C3289" s="338" t="str">
        <f>+'LISTA DE INSUMOS'!A327</f>
        <v>MAT304</v>
      </c>
      <c r="D3289" s="339" t="str">
        <f>+'LISTA DE INSUMOS'!B327</f>
        <v>Tubería PVC presión de 1 1/2" rde 21</v>
      </c>
      <c r="E3289" s="338" t="str">
        <f>+'LISTA DE INSUMOS'!C327</f>
        <v>M</v>
      </c>
      <c r="F3289" s="325">
        <v>3</v>
      </c>
      <c r="G3289" s="312">
        <f>'LISTA DE INSUMOS'!E327</f>
        <v>12494.671412453999</v>
      </c>
      <c r="H3289" s="322">
        <v>1.05</v>
      </c>
      <c r="I3289" s="312">
        <f>ROUND((F3289*G3289*H3289),0)</f>
        <v>39358</v>
      </c>
      <c r="J3289" s="313"/>
      <c r="K3289" s="323"/>
    </row>
    <row r="3290" spans="2:11" s="317" customFormat="1" ht="33.75" hidden="1" customHeight="1" x14ac:dyDescent="0.2">
      <c r="B3290" s="691"/>
      <c r="C3290" s="322" t="str">
        <f>+'LISTA DE INSUMOS'!A127</f>
        <v>MAT085</v>
      </c>
      <c r="D3290" s="324" t="str">
        <f>+'LISTA DE INSUMOS'!B127</f>
        <v>Accesorios PVC presión</v>
      </c>
      <c r="E3290" s="322" t="str">
        <f>+'LISTA DE INSUMOS'!C127</f>
        <v>%Tub</v>
      </c>
      <c r="F3290" s="325">
        <v>0.5</v>
      </c>
      <c r="G3290" s="312">
        <f>I3289</f>
        <v>39358</v>
      </c>
      <c r="H3290" s="322">
        <v>0</v>
      </c>
      <c r="I3290" s="312">
        <f>ROUND((F3290*G3290),0)</f>
        <v>19679</v>
      </c>
      <c r="J3290" s="313"/>
      <c r="K3290" s="323"/>
    </row>
    <row r="3291" spans="2:11" s="317" customFormat="1" ht="3.75" hidden="1" customHeight="1" x14ac:dyDescent="0.2">
      <c r="B3291" s="691"/>
      <c r="C3291" s="322" t="str">
        <f>+'LISTA DE INSUMOS'!A651</f>
        <v>MAT667</v>
      </c>
      <c r="D3291" s="324" t="str">
        <f>+'LISTA DE INSUMOS'!B651</f>
        <v>Limpiador removedor PVC 1/4</v>
      </c>
      <c r="E3291" s="322" t="str">
        <f>+'LISTA DE INSUMOS'!C651</f>
        <v>Un</v>
      </c>
      <c r="F3291" s="351">
        <v>4.4999999999999998E-2</v>
      </c>
      <c r="G3291" s="312">
        <f>+'LISTA DE INSUMOS'!E651</f>
        <v>55927.469152499994</v>
      </c>
      <c r="H3291" s="322">
        <v>1.03</v>
      </c>
      <c r="I3291" s="312">
        <f>ROUND((F3291*G3291*H3291),0)</f>
        <v>2592</v>
      </c>
      <c r="J3291" s="313"/>
      <c r="K3291" s="323"/>
    </row>
    <row r="3292" spans="2:11" s="317" customFormat="1" ht="33" hidden="1" customHeight="1" x14ac:dyDescent="0.2">
      <c r="B3292" s="691"/>
      <c r="C3292" s="322" t="str">
        <f>+'LISTA DE INSUMOS'!A650</f>
        <v>MAT666</v>
      </c>
      <c r="D3292" s="324" t="str">
        <f>+'LISTA DE INSUMOS'!B650</f>
        <v>Soldadura liquida para PVC 1/4 GL</v>
      </c>
      <c r="E3292" s="322" t="str">
        <f>+'LISTA DE INSUMOS'!C650</f>
        <v>Un</v>
      </c>
      <c r="F3292" s="351">
        <v>4.4999999999999998E-2</v>
      </c>
      <c r="G3292" s="312">
        <f>+'LISTA DE INSUMOS'!E650</f>
        <v>116100.56750324999</v>
      </c>
      <c r="H3292" s="322">
        <v>1.03</v>
      </c>
      <c r="I3292" s="312">
        <f>ROUND((F3292*G3292*H3292),0)</f>
        <v>5381</v>
      </c>
      <c r="J3292" s="313"/>
      <c r="K3292" s="323"/>
    </row>
    <row r="3293" spans="2:11" s="317" customFormat="1" ht="39.75" hidden="1" customHeight="1" thickBot="1" x14ac:dyDescent="0.25">
      <c r="B3293" s="692"/>
      <c r="C3293" s="338" t="str">
        <f>+'LISTA DE INSUMOS'!A539</f>
        <v>MAT556</v>
      </c>
      <c r="D3293" s="339" t="str">
        <f>+'LISTA DE INSUMOS'!B539</f>
        <v>Niple Tub Hg 1-1/2 L=.15M</v>
      </c>
      <c r="E3293" s="338" t="str">
        <f>+'LISTA DE INSUMOS'!C539</f>
        <v>Un</v>
      </c>
      <c r="F3293" s="325">
        <v>1</v>
      </c>
      <c r="G3293" s="312">
        <f>'LISTA DE INSUMOS'!E539</f>
        <v>14370.433455839999</v>
      </c>
      <c r="H3293" s="322">
        <v>0</v>
      </c>
      <c r="I3293" s="312">
        <f>ROUND((F3293*G3293),0)</f>
        <v>14370</v>
      </c>
      <c r="J3293" s="313"/>
      <c r="K3293" s="323"/>
    </row>
    <row r="3294" spans="2:11" s="317" customFormat="1" ht="36.75" hidden="1" customHeight="1" thickTop="1" thickBot="1" x14ac:dyDescent="0.25">
      <c r="B3294" s="347" t="s">
        <v>1310</v>
      </c>
      <c r="C3294" s="322" t="str">
        <f>+B574</f>
        <v>ITE96</v>
      </c>
      <c r="D3294" s="324" t="str">
        <f>+D574</f>
        <v>Mortero 1:3 (producción)</v>
      </c>
      <c r="E3294" s="322" t="str">
        <f>+E574</f>
        <v>M3</v>
      </c>
      <c r="F3294" s="351">
        <v>1.4999999999999999E-2</v>
      </c>
      <c r="G3294" s="312">
        <f>G574</f>
        <v>580906</v>
      </c>
      <c r="H3294" s="322">
        <v>1.05</v>
      </c>
      <c r="I3294" s="312">
        <f>ROUND((F3294*G3294*H3294),0)</f>
        <v>9149</v>
      </c>
      <c r="J3294" s="313"/>
      <c r="K3294" s="323"/>
    </row>
    <row r="3295" spans="2:11" s="317" customFormat="1" ht="25.5" hidden="1" customHeight="1" thickTop="1" thickBot="1" x14ac:dyDescent="0.25">
      <c r="B3295" s="372" t="s">
        <v>1034</v>
      </c>
      <c r="C3295" s="322" t="str">
        <f>+'LISTA DE INSUMOS'!A18</f>
        <v>MOB015</v>
      </c>
      <c r="D3295" s="324" t="str">
        <f>+'LISTA DE INSUMOS'!B18</f>
        <v>Cuadrilla E 1 Of + 1 Ay (jornal + prestaciones)</v>
      </c>
      <c r="E3295" s="322" t="str">
        <f>+'LISTA DE INSUMOS'!C18</f>
        <v>Día</v>
      </c>
      <c r="F3295" s="325">
        <v>1</v>
      </c>
      <c r="G3295" s="312">
        <f>'LISTA DE INSUMOS'!E18</f>
        <v>245584</v>
      </c>
      <c r="H3295" s="322">
        <f>1/8</f>
        <v>0.125</v>
      </c>
      <c r="I3295" s="312">
        <f>ROUND((F3295*G3295*H3295),0)</f>
        <v>30698</v>
      </c>
      <c r="J3295" s="313"/>
      <c r="K3295" s="323"/>
    </row>
    <row r="3296" spans="2:11" s="317" customFormat="1" ht="28.5" hidden="1" customHeight="1" thickTop="1" thickBot="1" x14ac:dyDescent="0.25">
      <c r="B3296" s="255" t="s">
        <v>1033</v>
      </c>
      <c r="C3296" s="327" t="str">
        <f>+'LISTA DE INSUMOS'!A758</f>
        <v>EQU002</v>
      </c>
      <c r="D3296" s="328" t="str">
        <f>+'LISTA DE INSUMOS'!B758</f>
        <v>Herramienta menor (% mano obra)</v>
      </c>
      <c r="E3296" s="329" t="str">
        <f>+'LISTA DE INSUMOS'!C758</f>
        <v>%MO</v>
      </c>
      <c r="F3296" s="330">
        <v>0.1</v>
      </c>
      <c r="G3296" s="331">
        <f>I3295</f>
        <v>30698</v>
      </c>
      <c r="H3296" s="329">
        <v>0</v>
      </c>
      <c r="I3296" s="331">
        <f>ROUND((F3296*G3296),0)</f>
        <v>3070</v>
      </c>
      <c r="J3296" s="313"/>
      <c r="K3296" s="323"/>
    </row>
    <row r="3297" spans="2:11" s="317" customFormat="1" ht="7.5" hidden="1" customHeight="1" x14ac:dyDescent="0.2">
      <c r="B3297" s="319" t="s">
        <v>1897</v>
      </c>
      <c r="C3297" s="319"/>
      <c r="D3297" s="320" t="s">
        <v>1341</v>
      </c>
      <c r="E3297" s="319" t="s">
        <v>1871</v>
      </c>
      <c r="F3297" s="332"/>
      <c r="G3297" s="312">
        <f>ROUND(SUM(I3298:I3305),0)</f>
        <v>191257</v>
      </c>
      <c r="H3297" s="322"/>
      <c r="I3297" s="312"/>
      <c r="J3297" s="313"/>
      <c r="K3297" s="323"/>
    </row>
    <row r="3298" spans="2:11" s="317" customFormat="1" ht="36" hidden="1" customHeight="1" x14ac:dyDescent="0.2">
      <c r="B3298" s="691" t="s">
        <v>1035</v>
      </c>
      <c r="C3298" s="338" t="str">
        <f>+'LISTA DE INSUMOS'!A125</f>
        <v>MAT083</v>
      </c>
      <c r="D3298" s="339" t="str">
        <f>+'LISTA DE INSUMOS'!B125</f>
        <v>Tubería PVC presión de 2"    rde 21</v>
      </c>
      <c r="E3298" s="338" t="str">
        <f>+'LISTA DE INSUMOS'!C125</f>
        <v>M</v>
      </c>
      <c r="F3298" s="325">
        <v>3</v>
      </c>
      <c r="G3298" s="312">
        <f>'LISTA DE INSUMOS'!E125</f>
        <v>24874.2062195088</v>
      </c>
      <c r="H3298" s="322">
        <v>1.05</v>
      </c>
      <c r="I3298" s="312">
        <f>ROUND((F3298*G3298*H3298),0)</f>
        <v>78354</v>
      </c>
      <c r="J3298" s="313"/>
      <c r="K3298" s="323"/>
    </row>
    <row r="3299" spans="2:11" s="317" customFormat="1" ht="26.25" hidden="1" customHeight="1" x14ac:dyDescent="0.2">
      <c r="B3299" s="691"/>
      <c r="C3299" s="322" t="str">
        <f>+'LISTA DE INSUMOS'!A127</f>
        <v>MAT085</v>
      </c>
      <c r="D3299" s="324" t="str">
        <f>+'LISTA DE INSUMOS'!B127</f>
        <v>Accesorios PVC presión</v>
      </c>
      <c r="E3299" s="322" t="str">
        <f>+'LISTA DE INSUMOS'!C127</f>
        <v>%Tub</v>
      </c>
      <c r="F3299" s="325">
        <v>0.5</v>
      </c>
      <c r="G3299" s="312">
        <f>I3298</f>
        <v>78354</v>
      </c>
      <c r="H3299" s="322">
        <v>0</v>
      </c>
      <c r="I3299" s="312">
        <f>ROUND((F3299*G3299),0)</f>
        <v>39177</v>
      </c>
      <c r="J3299" s="313"/>
      <c r="K3299" s="323"/>
    </row>
    <row r="3300" spans="2:11" s="317" customFormat="1" ht="10.5" hidden="1" customHeight="1" x14ac:dyDescent="0.2">
      <c r="B3300" s="691"/>
      <c r="C3300" s="322" t="str">
        <f>+'LISTA DE INSUMOS'!A651</f>
        <v>MAT667</v>
      </c>
      <c r="D3300" s="324" t="str">
        <f>+'LISTA DE INSUMOS'!B651</f>
        <v>Limpiador removedor PVC 1/4</v>
      </c>
      <c r="E3300" s="322" t="str">
        <f>+'LISTA DE INSUMOS'!C651</f>
        <v>Un</v>
      </c>
      <c r="F3300" s="351">
        <v>0.06</v>
      </c>
      <c r="G3300" s="312">
        <f>+'LISTA DE INSUMOS'!E651</f>
        <v>55927.469152499994</v>
      </c>
      <c r="H3300" s="322">
        <v>1.03</v>
      </c>
      <c r="I3300" s="312">
        <f>ROUND((F3300*G3300*H3300),0)</f>
        <v>3456</v>
      </c>
      <c r="J3300" s="313"/>
      <c r="K3300" s="323"/>
    </row>
    <row r="3301" spans="2:11" s="317" customFormat="1" ht="39.75" hidden="1" customHeight="1" x14ac:dyDescent="0.2">
      <c r="B3301" s="691"/>
      <c r="C3301" s="322" t="str">
        <f>+'LISTA DE INSUMOS'!A650</f>
        <v>MAT666</v>
      </c>
      <c r="D3301" s="324" t="str">
        <f>+'LISTA DE INSUMOS'!B650</f>
        <v>Soldadura liquida para PVC 1/4 GL</v>
      </c>
      <c r="E3301" s="322" t="str">
        <f>+'LISTA DE INSUMOS'!C650</f>
        <v>Un</v>
      </c>
      <c r="F3301" s="351">
        <v>0.06</v>
      </c>
      <c r="G3301" s="312">
        <f>+'LISTA DE INSUMOS'!E650</f>
        <v>116100.56750324999</v>
      </c>
      <c r="H3301" s="322">
        <v>1.03</v>
      </c>
      <c r="I3301" s="312">
        <f>ROUND((F3301*G3301*H3301),0)</f>
        <v>7175</v>
      </c>
      <c r="J3301" s="313"/>
      <c r="K3301" s="323"/>
    </row>
    <row r="3302" spans="2:11" s="317" customFormat="1" ht="31.5" hidden="1" customHeight="1" thickBot="1" x14ac:dyDescent="0.25">
      <c r="B3302" s="692"/>
      <c r="C3302" s="338" t="str">
        <f>+'LISTA DE INSUMOS'!A540</f>
        <v>MAT557</v>
      </c>
      <c r="D3302" s="339" t="str">
        <f>+'LISTA DE INSUMOS'!B540</f>
        <v>Niple Tub Hg 2     L=.15M</v>
      </c>
      <c r="E3302" s="338" t="str">
        <f>+'LISTA DE INSUMOS'!C540</f>
        <v>Un</v>
      </c>
      <c r="F3302" s="351">
        <v>1</v>
      </c>
      <c r="G3302" s="312">
        <f>'LISTA DE INSUMOS'!E540</f>
        <v>18347.964144509995</v>
      </c>
      <c r="H3302" s="322">
        <v>0</v>
      </c>
      <c r="I3302" s="312">
        <f>ROUND((F3302*G3302),0)</f>
        <v>18348</v>
      </c>
      <c r="J3302" s="313"/>
      <c r="K3302" s="323"/>
    </row>
    <row r="3303" spans="2:11" s="317" customFormat="1" ht="27.75" hidden="1" customHeight="1" thickTop="1" thickBot="1" x14ac:dyDescent="0.25">
      <c r="B3303" s="347" t="s">
        <v>1310</v>
      </c>
      <c r="C3303" s="322" t="str">
        <f>+B574</f>
        <v>ITE96</v>
      </c>
      <c r="D3303" s="324" t="str">
        <f>+D574</f>
        <v>Mortero 1:3 (producción)</v>
      </c>
      <c r="E3303" s="322" t="str">
        <f>+E574</f>
        <v>M3</v>
      </c>
      <c r="F3303" s="351">
        <v>1.7999999999999999E-2</v>
      </c>
      <c r="G3303" s="312">
        <f>G574</f>
        <v>580906</v>
      </c>
      <c r="H3303" s="322">
        <v>1.05</v>
      </c>
      <c r="I3303" s="312">
        <f>ROUND((F3303*G3303*H3303),0)</f>
        <v>10979</v>
      </c>
      <c r="J3303" s="313"/>
      <c r="K3303" s="323"/>
    </row>
    <row r="3304" spans="2:11" s="317" customFormat="1" ht="29.25" hidden="1" customHeight="1" thickTop="1" thickBot="1" x14ac:dyDescent="0.25">
      <c r="B3304" s="372" t="s">
        <v>1034</v>
      </c>
      <c r="C3304" s="322" t="str">
        <f>+'LISTA DE INSUMOS'!A18</f>
        <v>MOB015</v>
      </c>
      <c r="D3304" s="324" t="str">
        <f>+'LISTA DE INSUMOS'!B18</f>
        <v>Cuadrilla E 1 Of + 1 Ay (jornal + prestaciones)</v>
      </c>
      <c r="E3304" s="322" t="str">
        <f>+'LISTA DE INSUMOS'!C18</f>
        <v>Día</v>
      </c>
      <c r="F3304" s="325">
        <v>1</v>
      </c>
      <c r="G3304" s="312">
        <f>'LISTA DE INSUMOS'!E18</f>
        <v>245584</v>
      </c>
      <c r="H3304" s="322">
        <f>1/8</f>
        <v>0.125</v>
      </c>
      <c r="I3304" s="312">
        <f>ROUND((F3304*G3304*H3304),0)</f>
        <v>30698</v>
      </c>
      <c r="J3304" s="313"/>
      <c r="K3304" s="323"/>
    </row>
    <row r="3305" spans="2:11" s="317" customFormat="1" ht="31.5" hidden="1" customHeight="1" thickTop="1" thickBot="1" x14ac:dyDescent="0.25">
      <c r="B3305" s="255" t="s">
        <v>1033</v>
      </c>
      <c r="C3305" s="327" t="str">
        <f>+'LISTA DE INSUMOS'!A758</f>
        <v>EQU002</v>
      </c>
      <c r="D3305" s="328" t="str">
        <f>+'LISTA DE INSUMOS'!B758</f>
        <v>Herramienta menor (% mano obra)</v>
      </c>
      <c r="E3305" s="329" t="str">
        <f>+'LISTA DE INSUMOS'!C758</f>
        <v>%MO</v>
      </c>
      <c r="F3305" s="330">
        <v>0.1</v>
      </c>
      <c r="G3305" s="331">
        <f>I3304</f>
        <v>30698</v>
      </c>
      <c r="H3305" s="329">
        <v>0</v>
      </c>
      <c r="I3305" s="331">
        <f>ROUND((F3305*G3305),0)</f>
        <v>3070</v>
      </c>
      <c r="J3305" s="313"/>
      <c r="K3305" s="323"/>
    </row>
    <row r="3306" spans="2:11" s="317" customFormat="1" ht="12" hidden="1" customHeight="1" x14ac:dyDescent="0.2">
      <c r="B3306" s="319" t="s">
        <v>1896</v>
      </c>
      <c r="C3306" s="319"/>
      <c r="D3306" s="320" t="s">
        <v>1344</v>
      </c>
      <c r="E3306" s="319" t="s">
        <v>1871</v>
      </c>
      <c r="F3306" s="332"/>
      <c r="G3306" s="312">
        <f>ROUND(SUM(I3307:I3314),0)</f>
        <v>420638</v>
      </c>
      <c r="H3306" s="322"/>
      <c r="I3306" s="312"/>
      <c r="J3306" s="313"/>
      <c r="K3306" s="323"/>
    </row>
    <row r="3307" spans="2:11" s="317" customFormat="1" ht="21" hidden="1" customHeight="1" x14ac:dyDescent="0.2">
      <c r="B3307" s="691" t="s">
        <v>1035</v>
      </c>
      <c r="C3307" s="338" t="str">
        <f>+'LISTA DE INSUMOS'!A596</f>
        <v>MAT613</v>
      </c>
      <c r="D3307" s="339" t="str">
        <f>+'LISTA DE INSUMOS'!B596</f>
        <v>Tubería PVC presión de 3"    rde 21</v>
      </c>
      <c r="E3307" s="338" t="str">
        <f>+'LISTA DE INSUMOS'!C596</f>
        <v>M</v>
      </c>
      <c r="F3307" s="325">
        <v>3</v>
      </c>
      <c r="G3307" s="312">
        <f>'LISTA DE INSUMOS'!E596</f>
        <v>69192.529950500029</v>
      </c>
      <c r="H3307" s="322">
        <v>1.05</v>
      </c>
      <c r="I3307" s="312">
        <f>ROUND((F3307*G3307*H3307),0)</f>
        <v>217956</v>
      </c>
      <c r="J3307" s="313"/>
      <c r="K3307" s="323"/>
    </row>
    <row r="3308" spans="2:11" s="317" customFormat="1" ht="32.25" hidden="1" customHeight="1" x14ac:dyDescent="0.2">
      <c r="B3308" s="691"/>
      <c r="C3308" s="322" t="str">
        <f>+'LISTA DE INSUMOS'!A127</f>
        <v>MAT085</v>
      </c>
      <c r="D3308" s="324" t="str">
        <f>+'LISTA DE INSUMOS'!B127</f>
        <v>Accesorios PVC presión</v>
      </c>
      <c r="E3308" s="322" t="str">
        <f>+'LISTA DE INSUMOS'!C127</f>
        <v>%Tub</v>
      </c>
      <c r="F3308" s="325">
        <v>0.5</v>
      </c>
      <c r="G3308" s="312">
        <f>I3307</f>
        <v>217956</v>
      </c>
      <c r="H3308" s="322">
        <v>0</v>
      </c>
      <c r="I3308" s="312">
        <f>ROUND((F3308*G3308),0)</f>
        <v>108978</v>
      </c>
      <c r="J3308" s="313"/>
      <c r="K3308" s="323"/>
    </row>
    <row r="3309" spans="2:11" s="317" customFormat="1" ht="33" hidden="1" customHeight="1" x14ac:dyDescent="0.2">
      <c r="B3309" s="691"/>
      <c r="C3309" s="322" t="str">
        <f>+'LISTA DE INSUMOS'!A651</f>
        <v>MAT667</v>
      </c>
      <c r="D3309" s="324" t="str">
        <f>+'LISTA DE INSUMOS'!B651</f>
        <v>Limpiador removedor PVC 1/4</v>
      </c>
      <c r="E3309" s="322" t="str">
        <f>+'LISTA DE INSUMOS'!C651</f>
        <v>Un</v>
      </c>
      <c r="F3309" s="351">
        <v>0.1</v>
      </c>
      <c r="G3309" s="312">
        <f>+'LISTA DE INSUMOS'!E651</f>
        <v>55927.469152499994</v>
      </c>
      <c r="H3309" s="322">
        <v>1.03</v>
      </c>
      <c r="I3309" s="312">
        <f>ROUND((F3309*G3309*H3309),0)</f>
        <v>5761</v>
      </c>
      <c r="J3309" s="313"/>
      <c r="K3309" s="323"/>
    </row>
    <row r="3310" spans="2:11" s="317" customFormat="1" ht="32.25" hidden="1" customHeight="1" x14ac:dyDescent="0.2">
      <c r="B3310" s="691"/>
      <c r="C3310" s="322" t="str">
        <f>+'LISTA DE INSUMOS'!A650</f>
        <v>MAT666</v>
      </c>
      <c r="D3310" s="324" t="str">
        <f>+'LISTA DE INSUMOS'!B650</f>
        <v>Soldadura liquida para PVC 1/4 GL</v>
      </c>
      <c r="E3310" s="322" t="str">
        <f>+'LISTA DE INSUMOS'!C650</f>
        <v>Un</v>
      </c>
      <c r="F3310" s="351">
        <v>0.1</v>
      </c>
      <c r="G3310" s="312">
        <f>+'LISTA DE INSUMOS'!E650</f>
        <v>116100.56750324999</v>
      </c>
      <c r="H3310" s="322">
        <v>1.03</v>
      </c>
      <c r="I3310" s="312">
        <f>ROUND((F3310*G3310*H3310),0)</f>
        <v>11958</v>
      </c>
      <c r="J3310" s="313"/>
      <c r="K3310" s="323"/>
    </row>
    <row r="3311" spans="2:11" s="317" customFormat="1" ht="27.75" hidden="1" customHeight="1" thickBot="1" x14ac:dyDescent="0.25">
      <c r="B3311" s="692"/>
      <c r="C3311" s="338" t="str">
        <f>+'LISTA DE INSUMOS'!A597</f>
        <v>MAT614</v>
      </c>
      <c r="D3311" s="339" t="str">
        <f>+'LISTA DE INSUMOS'!B597</f>
        <v>Niple Tub Hg 3"     L=.15M</v>
      </c>
      <c r="E3311" s="338" t="str">
        <f>+'LISTA DE INSUMOS'!C597</f>
        <v>Un</v>
      </c>
      <c r="F3311" s="325">
        <v>1</v>
      </c>
      <c r="G3311" s="312">
        <f>'LISTA DE INSUMOS'!E597</f>
        <v>30018.377916713522</v>
      </c>
      <c r="H3311" s="322">
        <v>0</v>
      </c>
      <c r="I3311" s="312">
        <f>ROUND((F3311*G3311),0)</f>
        <v>30018</v>
      </c>
      <c r="J3311" s="313"/>
      <c r="K3311" s="323"/>
    </row>
    <row r="3312" spans="2:11" s="317" customFormat="1" ht="33.75" hidden="1" customHeight="1" thickTop="1" thickBot="1" x14ac:dyDescent="0.25">
      <c r="B3312" s="347" t="s">
        <v>1310</v>
      </c>
      <c r="C3312" s="322" t="str">
        <f>+B574</f>
        <v>ITE96</v>
      </c>
      <c r="D3312" s="324" t="str">
        <f>+D574</f>
        <v>Mortero 1:3 (producción)</v>
      </c>
      <c r="E3312" s="322" t="str">
        <f>+E574</f>
        <v>M3</v>
      </c>
      <c r="F3312" s="351">
        <v>0.02</v>
      </c>
      <c r="G3312" s="312">
        <f>G574</f>
        <v>580906</v>
      </c>
      <c r="H3312" s="322">
        <v>1.05</v>
      </c>
      <c r="I3312" s="312">
        <f>ROUND((F3312*G3312*H3312),0)</f>
        <v>12199</v>
      </c>
      <c r="J3312" s="313"/>
      <c r="K3312" s="323"/>
    </row>
    <row r="3313" spans="2:11" s="317" customFormat="1" ht="21" hidden="1" customHeight="1" thickTop="1" thickBot="1" x14ac:dyDescent="0.25">
      <c r="B3313" s="372" t="s">
        <v>1034</v>
      </c>
      <c r="C3313" s="322" t="str">
        <f>+'LISTA DE INSUMOS'!A18</f>
        <v>MOB015</v>
      </c>
      <c r="D3313" s="324" t="str">
        <f>+'LISTA DE INSUMOS'!B18</f>
        <v>Cuadrilla E 1 Of + 1 Ay (jornal + prestaciones)</v>
      </c>
      <c r="E3313" s="322" t="str">
        <f>+'LISTA DE INSUMOS'!C18</f>
        <v>Día</v>
      </c>
      <c r="F3313" s="325">
        <v>1</v>
      </c>
      <c r="G3313" s="312">
        <f>'LISTA DE INSUMOS'!E18</f>
        <v>245584</v>
      </c>
      <c r="H3313" s="322">
        <f>1/8</f>
        <v>0.125</v>
      </c>
      <c r="I3313" s="312">
        <f>ROUND((F3313*G3313*H3313),0)</f>
        <v>30698</v>
      </c>
      <c r="J3313" s="313"/>
      <c r="K3313" s="323"/>
    </row>
    <row r="3314" spans="2:11" s="317" customFormat="1" ht="25.5" hidden="1" customHeight="1" thickTop="1" thickBot="1" x14ac:dyDescent="0.25">
      <c r="B3314" s="255" t="s">
        <v>1033</v>
      </c>
      <c r="C3314" s="327" t="str">
        <f>+'LISTA DE INSUMOS'!A758</f>
        <v>EQU002</v>
      </c>
      <c r="D3314" s="328" t="str">
        <f>+'LISTA DE INSUMOS'!B758</f>
        <v>Herramienta menor (% mano obra)</v>
      </c>
      <c r="E3314" s="329" t="str">
        <f>+'LISTA DE INSUMOS'!C758</f>
        <v>%MO</v>
      </c>
      <c r="F3314" s="330">
        <v>0.1</v>
      </c>
      <c r="G3314" s="331">
        <f>I3313</f>
        <v>30698</v>
      </c>
      <c r="H3314" s="329">
        <v>0</v>
      </c>
      <c r="I3314" s="331">
        <f>ROUND((F3314*G3314),0)</f>
        <v>3070</v>
      </c>
      <c r="J3314" s="313"/>
      <c r="K3314" s="323"/>
    </row>
    <row r="3315" spans="2:11" s="317" customFormat="1" ht="43.5" hidden="1" customHeight="1" x14ac:dyDescent="0.2">
      <c r="B3315" s="319" t="s">
        <v>1614</v>
      </c>
      <c r="C3315" s="319"/>
      <c r="D3315" s="320" t="s">
        <v>1687</v>
      </c>
      <c r="E3315" s="319" t="s">
        <v>1435</v>
      </c>
      <c r="F3315" s="332"/>
      <c r="G3315" s="312">
        <f>ROUND(SUM(I3316:I3321),0)</f>
        <v>3257384</v>
      </c>
      <c r="H3315" s="322"/>
      <c r="I3315" s="312"/>
      <c r="J3315" s="313"/>
      <c r="K3315" s="323"/>
    </row>
    <row r="3316" spans="2:11" s="317" customFormat="1" ht="30.75" hidden="1" customHeight="1" x14ac:dyDescent="0.2">
      <c r="B3316" s="691" t="s">
        <v>1035</v>
      </c>
      <c r="C3316" s="322" t="str">
        <f>+'LISTA DE INSUMOS'!A443</f>
        <v>MAT459</v>
      </c>
      <c r="D3316" s="324" t="str">
        <f>+'LISTA DE INSUMOS'!B443</f>
        <v>Hidrante tipo Milán de 3" extremo brida, incluye kit de nivelación</v>
      </c>
      <c r="E3316" s="322" t="str">
        <f>+'LISTA DE INSUMOS'!C443</f>
        <v>Un</v>
      </c>
      <c r="F3316" s="321">
        <v>1</v>
      </c>
      <c r="G3316" s="312">
        <f>'LISTA DE INSUMOS'!E443</f>
        <v>2190572.5195593974</v>
      </c>
      <c r="H3316" s="349">
        <v>0</v>
      </c>
      <c r="I3316" s="312">
        <f>ROUND((F3316*G3316),0)</f>
        <v>2190573</v>
      </c>
      <c r="J3316" s="313"/>
      <c r="K3316" s="323"/>
    </row>
    <row r="3317" spans="2:11" s="317" customFormat="1" ht="11.25" hidden="1" customHeight="1" x14ac:dyDescent="0.2">
      <c r="B3317" s="691"/>
      <c r="C3317" s="322" t="str">
        <f>+'LISTA DE INSUMOS'!A447</f>
        <v>MAT464</v>
      </c>
      <c r="D3317" s="324" t="str">
        <f>+'LISTA DE INSUMOS'!B447</f>
        <v>Válvula de 3" sello de bronce extremo liso o junta hidráulica PVC</v>
      </c>
      <c r="E3317" s="322" t="str">
        <f>+'LISTA DE INSUMOS'!C447</f>
        <v>Un</v>
      </c>
      <c r="F3317" s="321">
        <v>1</v>
      </c>
      <c r="G3317" s="312">
        <f>'LISTA DE INSUMOS'!E447</f>
        <v>851610.87609443069</v>
      </c>
      <c r="H3317" s="349">
        <v>0</v>
      </c>
      <c r="I3317" s="312">
        <f>ROUND((F3317*G3317),0)</f>
        <v>851611</v>
      </c>
      <c r="J3317" s="313"/>
      <c r="K3317" s="323"/>
    </row>
    <row r="3318" spans="2:11" s="317" customFormat="1" ht="23.25" hidden="1" customHeight="1" x14ac:dyDescent="0.2">
      <c r="B3318" s="691"/>
      <c r="C3318" s="322" t="str">
        <f>+'LISTA DE INSUMOS'!A404</f>
        <v>MAT415</v>
      </c>
      <c r="D3318" s="324" t="str">
        <f>+'LISTA DE INSUMOS'!B404</f>
        <v>Tubería PVC acueducto unión platino de 3" rde 21</v>
      </c>
      <c r="E3318" s="322" t="str">
        <f>+'LISTA DE INSUMOS'!C404</f>
        <v>M</v>
      </c>
      <c r="F3318" s="321">
        <v>1</v>
      </c>
      <c r="G3318" s="312">
        <f>'LISTA DE INSUMOS'!E404</f>
        <v>30971.450928164995</v>
      </c>
      <c r="H3318" s="349">
        <v>1.05</v>
      </c>
      <c r="I3318" s="312">
        <f>ROUND((F3318*G3318*H3318),0)</f>
        <v>32520</v>
      </c>
      <c r="J3318" s="313"/>
      <c r="K3318" s="323"/>
    </row>
    <row r="3319" spans="2:11" s="317" customFormat="1" ht="18.75" hidden="1" customHeight="1" thickBot="1" x14ac:dyDescent="0.25">
      <c r="B3319" s="692"/>
      <c r="C3319" s="322" t="str">
        <f>+'LISTA DE INSUMOS'!A370</f>
        <v>MAT363</v>
      </c>
      <c r="D3319" s="324" t="str">
        <f>+'LISTA DE INSUMOS'!B370</f>
        <v>Cinta Teflón 1/2" x 10 m x 0.30 Densidad</v>
      </c>
      <c r="E3319" s="322" t="str">
        <f>+'LISTA DE INSUMOS'!C370</f>
        <v>Un</v>
      </c>
      <c r="F3319" s="321">
        <v>1</v>
      </c>
      <c r="G3319" s="312">
        <f>'LISTA DE INSUMOS'!E370</f>
        <v>2584.69930488</v>
      </c>
      <c r="H3319" s="349">
        <f>1</f>
        <v>1</v>
      </c>
      <c r="I3319" s="312">
        <f>ROUND((F3319*G3319*H3319),0)</f>
        <v>2585</v>
      </c>
      <c r="J3319" s="313"/>
      <c r="K3319" s="323"/>
    </row>
    <row r="3320" spans="2:11" s="317" customFormat="1" ht="26.25" hidden="1" customHeight="1" thickTop="1" thickBot="1" x14ac:dyDescent="0.25">
      <c r="B3320" s="372" t="s">
        <v>1034</v>
      </c>
      <c r="C3320" s="322" t="str">
        <f>+'LISTA DE INSUMOS'!A20</f>
        <v>MOB017</v>
      </c>
      <c r="D3320" s="324" t="str">
        <f>+'LISTA DE INSUMOS'!B20</f>
        <v>Cuadrilla G 1 Of + 2 Ay (jornal + prestaciones)</v>
      </c>
      <c r="E3320" s="322" t="str">
        <f>+'LISTA DE INSUMOS'!C20</f>
        <v>Día</v>
      </c>
      <c r="F3320" s="321">
        <v>1</v>
      </c>
      <c r="G3320" s="312">
        <f>'LISTA DE INSUMOS'!E20</f>
        <v>327445</v>
      </c>
      <c r="H3320" s="349">
        <f>1/2</f>
        <v>0.5</v>
      </c>
      <c r="I3320" s="312">
        <f>ROUND((F3320*G3320*H3320),0)</f>
        <v>163723</v>
      </c>
      <c r="J3320" s="313"/>
      <c r="K3320" s="323"/>
    </row>
    <row r="3321" spans="2:11" s="317" customFormat="1" ht="25.5" hidden="1" customHeight="1" thickTop="1" thickBot="1" x14ac:dyDescent="0.25">
      <c r="B3321" s="255" t="s">
        <v>1033</v>
      </c>
      <c r="C3321" s="327" t="str">
        <f>+'LISTA DE INSUMOS'!A758</f>
        <v>EQU002</v>
      </c>
      <c r="D3321" s="328" t="str">
        <f>+'LISTA DE INSUMOS'!B758</f>
        <v>Herramienta menor (% mano obra)</v>
      </c>
      <c r="E3321" s="329" t="str">
        <f>+'LISTA DE INSUMOS'!C758</f>
        <v>%MO</v>
      </c>
      <c r="F3321" s="362">
        <v>0.1</v>
      </c>
      <c r="G3321" s="331">
        <f>I3320</f>
        <v>163723</v>
      </c>
      <c r="H3321" s="350">
        <v>0</v>
      </c>
      <c r="I3321" s="331">
        <f>ROUND((F3321*G3321),0)</f>
        <v>16372</v>
      </c>
      <c r="J3321" s="313"/>
      <c r="K3321" s="323"/>
    </row>
    <row r="3322" spans="2:11" s="317" customFormat="1" ht="27" hidden="1" customHeight="1" x14ac:dyDescent="0.2">
      <c r="B3322" s="319" t="s">
        <v>1696</v>
      </c>
      <c r="C3322" s="319"/>
      <c r="D3322" s="320" t="s">
        <v>1347</v>
      </c>
      <c r="E3322" s="319" t="s">
        <v>1435</v>
      </c>
      <c r="F3322" s="332"/>
      <c r="G3322" s="312">
        <f>ROUND(SUM(I3323:I3328),0)</f>
        <v>6256814</v>
      </c>
      <c r="H3322" s="322"/>
      <c r="I3322" s="312"/>
      <c r="J3322" s="313"/>
      <c r="K3322" s="323"/>
    </row>
    <row r="3323" spans="2:11" s="317" customFormat="1" ht="27" hidden="1" customHeight="1" x14ac:dyDescent="0.2">
      <c r="B3323" s="691" t="s">
        <v>1035</v>
      </c>
      <c r="C3323" s="322" t="str">
        <f>+'LISTA DE INSUMOS'!A444</f>
        <v>MAT460</v>
      </c>
      <c r="D3323" s="324" t="str">
        <f>+'LISTA DE INSUMOS'!B444</f>
        <v>Hidrante tipo Columna Seca 4" carrete de 300 mm</v>
      </c>
      <c r="E3323" s="322" t="str">
        <f>+'LISTA DE INSUMOS'!C444</f>
        <v>Un</v>
      </c>
      <c r="F3323" s="321">
        <v>1</v>
      </c>
      <c r="G3323" s="312">
        <f>'LISTA DE INSUMOS'!E444</f>
        <v>5441603.2798951352</v>
      </c>
      <c r="H3323" s="349">
        <v>0</v>
      </c>
      <c r="I3323" s="312">
        <f>ROUND((F3323*G3323),0)</f>
        <v>5441603</v>
      </c>
      <c r="J3323" s="313"/>
      <c r="K3323" s="323"/>
    </row>
    <row r="3324" spans="2:11" s="317" customFormat="1" ht="27" hidden="1" customHeight="1" x14ac:dyDescent="0.2">
      <c r="B3324" s="691"/>
      <c r="C3324" s="322" t="str">
        <f>+'LISTA DE INSUMOS'!A456</f>
        <v>MAT473</v>
      </c>
      <c r="D3324" s="324" t="str">
        <f>+'LISTA DE INSUMOS'!B456</f>
        <v>Válvula de 3" sello elástico extremo liso o junta hidráulica PVC</v>
      </c>
      <c r="E3324" s="322" t="str">
        <f>+'LISTA DE INSUMOS'!C456</f>
        <v>Un</v>
      </c>
      <c r="F3324" s="321">
        <v>1</v>
      </c>
      <c r="G3324" s="312">
        <f>'LISTA DE INSUMOS'!E456</f>
        <v>600010.61662860098</v>
      </c>
      <c r="H3324" s="349">
        <v>0</v>
      </c>
      <c r="I3324" s="312">
        <f>ROUND((F3324*G3324),0)</f>
        <v>600011</v>
      </c>
      <c r="J3324" s="313"/>
      <c r="K3324" s="323"/>
    </row>
    <row r="3325" spans="2:11" s="317" customFormat="1" ht="24" hidden="1" customHeight="1" x14ac:dyDescent="0.2">
      <c r="B3325" s="691"/>
      <c r="C3325" s="322" t="str">
        <f>+'LISTA DE INSUMOS'!A404</f>
        <v>MAT415</v>
      </c>
      <c r="D3325" s="324" t="str">
        <f>+'LISTA DE INSUMOS'!B404</f>
        <v>Tubería PVC acueducto unión platino de 3" rde 21</v>
      </c>
      <c r="E3325" s="322" t="str">
        <f>+'LISTA DE INSUMOS'!C404</f>
        <v>M</v>
      </c>
      <c r="F3325" s="321">
        <v>1</v>
      </c>
      <c r="G3325" s="312">
        <f>'LISTA DE INSUMOS'!E404</f>
        <v>30971.450928164995</v>
      </c>
      <c r="H3325" s="349">
        <v>1.05</v>
      </c>
      <c r="I3325" s="312">
        <f>ROUND((F3325*G3325*H3325),0)</f>
        <v>32520</v>
      </c>
      <c r="J3325" s="313"/>
      <c r="K3325" s="323"/>
    </row>
    <row r="3326" spans="2:11" s="317" customFormat="1" ht="29.25" hidden="1" customHeight="1" thickBot="1" x14ac:dyDescent="0.25">
      <c r="B3326" s="692"/>
      <c r="C3326" s="322" t="str">
        <f>+'LISTA DE INSUMOS'!A370</f>
        <v>MAT363</v>
      </c>
      <c r="D3326" s="324" t="str">
        <f>+'LISTA DE INSUMOS'!B370</f>
        <v>Cinta Teflón 1/2" x 10 m x 0.30 Densidad</v>
      </c>
      <c r="E3326" s="322" t="str">
        <f>+'LISTA DE INSUMOS'!C370</f>
        <v>Un</v>
      </c>
      <c r="F3326" s="321">
        <v>1</v>
      </c>
      <c r="G3326" s="312">
        <f>'LISTA DE INSUMOS'!E370</f>
        <v>2584.69930488</v>
      </c>
      <c r="H3326" s="349">
        <f>1</f>
        <v>1</v>
      </c>
      <c r="I3326" s="312">
        <f>ROUND((F3326*G3326*H3326),0)</f>
        <v>2585</v>
      </c>
      <c r="J3326" s="313"/>
      <c r="K3326" s="323"/>
    </row>
    <row r="3327" spans="2:11" s="317" customFormat="1" ht="27" hidden="1" customHeight="1" thickTop="1" thickBot="1" x14ac:dyDescent="0.25">
      <c r="B3327" s="372" t="s">
        <v>1034</v>
      </c>
      <c r="C3327" s="322" t="str">
        <f>+'LISTA DE INSUMOS'!A20</f>
        <v>MOB017</v>
      </c>
      <c r="D3327" s="324" t="str">
        <f>+'LISTA DE INSUMOS'!B20</f>
        <v>Cuadrilla G 1 Of + 2 Ay (jornal + prestaciones)</v>
      </c>
      <c r="E3327" s="322" t="str">
        <f>+'LISTA DE INSUMOS'!C20</f>
        <v>Día</v>
      </c>
      <c r="F3327" s="321">
        <v>1</v>
      </c>
      <c r="G3327" s="312">
        <f>'LISTA DE INSUMOS'!E20</f>
        <v>327445</v>
      </c>
      <c r="H3327" s="349">
        <f>1/2</f>
        <v>0.5</v>
      </c>
      <c r="I3327" s="312">
        <f>ROUND((F3327*G3327*H3327),0)</f>
        <v>163723</v>
      </c>
      <c r="J3327" s="313"/>
      <c r="K3327" s="323"/>
    </row>
    <row r="3328" spans="2:11" s="317" customFormat="1" ht="23.25" hidden="1" customHeight="1" thickTop="1" thickBot="1" x14ac:dyDescent="0.25">
      <c r="B3328" s="255" t="s">
        <v>1033</v>
      </c>
      <c r="C3328" s="327" t="str">
        <f>+'LISTA DE INSUMOS'!A758</f>
        <v>EQU002</v>
      </c>
      <c r="D3328" s="328" t="str">
        <f>+'LISTA DE INSUMOS'!B758</f>
        <v>Herramienta menor (% mano obra)</v>
      </c>
      <c r="E3328" s="329" t="str">
        <f>+'LISTA DE INSUMOS'!C758</f>
        <v>%MO</v>
      </c>
      <c r="F3328" s="362">
        <v>0.1</v>
      </c>
      <c r="G3328" s="331">
        <f>I3327</f>
        <v>163723</v>
      </c>
      <c r="H3328" s="350">
        <v>0</v>
      </c>
      <c r="I3328" s="331">
        <f>ROUND((F3328*G3328),0)</f>
        <v>16372</v>
      </c>
      <c r="J3328" s="313"/>
      <c r="K3328" s="323"/>
    </row>
    <row r="3329" spans="2:11" s="317" customFormat="1" ht="14.25" hidden="1" customHeight="1" x14ac:dyDescent="0.2">
      <c r="B3329" s="319" t="s">
        <v>1698</v>
      </c>
      <c r="C3329" s="319"/>
      <c r="D3329" s="320" t="s">
        <v>1725</v>
      </c>
      <c r="E3329" s="319" t="s">
        <v>1435</v>
      </c>
      <c r="F3329" s="332"/>
      <c r="G3329" s="312">
        <f>ROUND(SUM(I3330:I3337),0)</f>
        <v>430418</v>
      </c>
      <c r="H3329" s="322"/>
      <c r="I3329" s="312"/>
      <c r="J3329" s="313"/>
      <c r="K3329" s="323"/>
    </row>
    <row r="3330" spans="2:11" s="317" customFormat="1" ht="20.25" hidden="1" customHeight="1" x14ac:dyDescent="0.2">
      <c r="B3330" s="691" t="s">
        <v>1035</v>
      </c>
      <c r="C3330" s="322" t="str">
        <f>+'LISTA DE INSUMOS'!A462</f>
        <v>MAT479</v>
      </c>
      <c r="D3330" s="324" t="str">
        <f>+'LISTA DE INSUMOS'!B462</f>
        <v>Adaptador PVC macho de 2" presión</v>
      </c>
      <c r="E3330" s="322" t="str">
        <f>+'LISTA DE INSUMOS'!C462</f>
        <v>Un</v>
      </c>
      <c r="F3330" s="321">
        <v>2</v>
      </c>
      <c r="G3330" s="312">
        <f>'LISTA DE INSUMOS'!E462</f>
        <v>6872.9504243399997</v>
      </c>
      <c r="H3330" s="349">
        <v>0</v>
      </c>
      <c r="I3330" s="312">
        <f>ROUND((F3330*G3330),0)</f>
        <v>13746</v>
      </c>
      <c r="J3330" s="313"/>
      <c r="K3330" s="323"/>
    </row>
    <row r="3331" spans="2:11" s="317" customFormat="1" ht="33.75" hidden="1" customHeight="1" x14ac:dyDescent="0.2">
      <c r="B3331" s="691"/>
      <c r="C3331" s="322" t="str">
        <f>+'LISTA DE INSUMOS'!A651</f>
        <v>MAT667</v>
      </c>
      <c r="D3331" s="324" t="str">
        <f>+'LISTA DE INSUMOS'!B651</f>
        <v>Limpiador removedor PVC 1/4</v>
      </c>
      <c r="E3331" s="322" t="str">
        <f>+'LISTA DE INSUMOS'!C651</f>
        <v>Un</v>
      </c>
      <c r="F3331" s="351">
        <v>0.02</v>
      </c>
      <c r="G3331" s="312">
        <f>+'LISTA DE INSUMOS'!E651</f>
        <v>55927.469152499994</v>
      </c>
      <c r="H3331" s="322">
        <v>1.03</v>
      </c>
      <c r="I3331" s="312">
        <f>ROUND((F3331*G3331*H3331),0)</f>
        <v>1152</v>
      </c>
      <c r="J3331" s="313"/>
      <c r="K3331" s="323"/>
    </row>
    <row r="3332" spans="2:11" s="317" customFormat="1" ht="25.5" hidden="1" customHeight="1" x14ac:dyDescent="0.2">
      <c r="B3332" s="691"/>
      <c r="C3332" s="322" t="str">
        <f>+'LISTA DE INSUMOS'!A650</f>
        <v>MAT666</v>
      </c>
      <c r="D3332" s="324" t="str">
        <f>+'LISTA DE INSUMOS'!B650</f>
        <v>Soldadura liquida para PVC 1/4 GL</v>
      </c>
      <c r="E3332" s="322" t="str">
        <f>+'LISTA DE INSUMOS'!C650</f>
        <v>Un</v>
      </c>
      <c r="F3332" s="351">
        <v>0.02</v>
      </c>
      <c r="G3332" s="312">
        <f>+'LISTA DE INSUMOS'!E650</f>
        <v>116100.56750324999</v>
      </c>
      <c r="H3332" s="322">
        <v>1.03</v>
      </c>
      <c r="I3332" s="312">
        <f>ROUND((F3332*G3332*H3332),0)</f>
        <v>2392</v>
      </c>
      <c r="J3332" s="313"/>
      <c r="K3332" s="323"/>
    </row>
    <row r="3333" spans="2:11" s="317" customFormat="1" ht="22.5" hidden="1" customHeight="1" x14ac:dyDescent="0.2">
      <c r="B3333" s="691"/>
      <c r="C3333" s="322" t="str">
        <f>+'LISTA DE INSUMOS'!A445</f>
        <v>MAT461</v>
      </c>
      <c r="D3333" s="324" t="str">
        <f>+'LISTA DE INSUMOS'!B445</f>
        <v>Llave de paso tipo Red White de 2"</v>
      </c>
      <c r="E3333" s="322" t="str">
        <f>+'LISTA DE INSUMOS'!C445</f>
        <v>Un</v>
      </c>
      <c r="F3333" s="321">
        <v>1</v>
      </c>
      <c r="G3333" s="312">
        <f>'LISTA DE INSUMOS'!E445</f>
        <v>300629.981125939</v>
      </c>
      <c r="H3333" s="349">
        <v>0</v>
      </c>
      <c r="I3333" s="312">
        <f>ROUND((F3333*G3333),0)</f>
        <v>300630</v>
      </c>
      <c r="J3333" s="313"/>
      <c r="K3333" s="323"/>
    </row>
    <row r="3334" spans="2:11" s="317" customFormat="1" ht="25.5" hidden="1" customHeight="1" x14ac:dyDescent="0.2">
      <c r="B3334" s="691"/>
      <c r="C3334" s="322" t="str">
        <f>+'LISTA DE INSUMOS'!A654</f>
        <v>MAT670</v>
      </c>
      <c r="D3334" s="324" t="str">
        <f>+'LISTA DE INSUMOS'!B654</f>
        <v>Universal PVC 2"</v>
      </c>
      <c r="E3334" s="322" t="str">
        <f>+'LISTA DE INSUMOS'!C654</f>
        <v>Un</v>
      </c>
      <c r="F3334" s="325">
        <v>2</v>
      </c>
      <c r="G3334" s="312">
        <f>'LISTA DE INSUMOS'!E654</f>
        <v>41197.757193146397</v>
      </c>
      <c r="H3334" s="322">
        <v>0</v>
      </c>
      <c r="I3334" s="312">
        <f>ROUND((F3334*G3334),0)</f>
        <v>82396</v>
      </c>
      <c r="J3334" s="313"/>
      <c r="K3334" s="323"/>
    </row>
    <row r="3335" spans="2:11" s="317" customFormat="1" ht="25.5" hidden="1" customHeight="1" thickBot="1" x14ac:dyDescent="0.25">
      <c r="B3335" s="692"/>
      <c r="C3335" s="322" t="str">
        <f>+'LISTA DE INSUMOS'!A370</f>
        <v>MAT363</v>
      </c>
      <c r="D3335" s="324" t="str">
        <f>+'LISTA DE INSUMOS'!B370</f>
        <v>Cinta Teflón 1/2" x 10 m x 0.30 Densidad</v>
      </c>
      <c r="E3335" s="322" t="str">
        <f>+'LISTA DE INSUMOS'!C370</f>
        <v>Un</v>
      </c>
      <c r="F3335" s="321">
        <v>1</v>
      </c>
      <c r="G3335" s="312">
        <f>'LISTA DE INSUMOS'!E370</f>
        <v>2584.69930488</v>
      </c>
      <c r="H3335" s="349">
        <f>1/30</f>
        <v>3.3333333333333333E-2</v>
      </c>
      <c r="I3335" s="312">
        <f>ROUND((F3335*G3335*H3335),0)</f>
        <v>86</v>
      </c>
      <c r="J3335" s="313"/>
      <c r="K3335" s="323"/>
    </row>
    <row r="3336" spans="2:11" s="317" customFormat="1" ht="19.5" hidden="1" customHeight="1" thickTop="1" thickBot="1" x14ac:dyDescent="0.25">
      <c r="B3336" s="372" t="s">
        <v>1034</v>
      </c>
      <c r="C3336" s="322" t="str">
        <f>+'LISTA DE INSUMOS'!A5</f>
        <v>MOB002</v>
      </c>
      <c r="D3336" s="324" t="str">
        <f>+'LISTA DE INSUMOS'!B5</f>
        <v>Oficial (jornal + prestaciones)</v>
      </c>
      <c r="E3336" s="322" t="str">
        <f>+'LISTA DE INSUMOS'!C5</f>
        <v>Día</v>
      </c>
      <c r="F3336" s="321">
        <v>1</v>
      </c>
      <c r="G3336" s="312">
        <f>'LISTA DE INSUMOS'!E5</f>
        <v>163723</v>
      </c>
      <c r="H3336" s="349">
        <f>1/6</f>
        <v>0.16666666666666666</v>
      </c>
      <c r="I3336" s="312">
        <f>ROUND((F3336*G3336*H3336),0)</f>
        <v>27287</v>
      </c>
      <c r="J3336" s="313"/>
      <c r="K3336" s="323"/>
    </row>
    <row r="3337" spans="2:11" s="317" customFormat="1" ht="28.5" hidden="1" customHeight="1" thickTop="1" thickBot="1" x14ac:dyDescent="0.25">
      <c r="B3337" s="255" t="s">
        <v>1033</v>
      </c>
      <c r="C3337" s="327" t="str">
        <f>+'LISTA DE INSUMOS'!A758</f>
        <v>EQU002</v>
      </c>
      <c r="D3337" s="328" t="str">
        <f>+'LISTA DE INSUMOS'!B758</f>
        <v>Herramienta menor (% mano obra)</v>
      </c>
      <c r="E3337" s="329" t="str">
        <f>+'LISTA DE INSUMOS'!C758</f>
        <v>%MO</v>
      </c>
      <c r="F3337" s="362">
        <v>0.1</v>
      </c>
      <c r="G3337" s="331">
        <f>I3336</f>
        <v>27287</v>
      </c>
      <c r="H3337" s="350">
        <v>0</v>
      </c>
      <c r="I3337" s="331">
        <f>ROUND((F3337*G3337),0)</f>
        <v>2729</v>
      </c>
      <c r="J3337" s="313"/>
      <c r="K3337" s="323"/>
    </row>
    <row r="3338" spans="2:11" ht="24.9" customHeight="1" x14ac:dyDescent="0.2">
      <c r="B3338" s="117" t="s">
        <v>2964</v>
      </c>
      <c r="C3338" s="117"/>
      <c r="D3338" s="112" t="s">
        <v>1657</v>
      </c>
      <c r="E3338" s="117" t="s">
        <v>1435</v>
      </c>
      <c r="F3338" s="149"/>
      <c r="G3338" s="119">
        <f>ROUND(SUM(I3339:I3344),0)</f>
        <v>2153580</v>
      </c>
      <c r="H3338" s="120"/>
      <c r="I3338" s="119"/>
      <c r="J3338" s="47"/>
      <c r="K3338" s="143"/>
    </row>
    <row r="3339" spans="2:11" ht="24.9" customHeight="1" x14ac:dyDescent="0.2">
      <c r="B3339" s="672" t="s">
        <v>1035</v>
      </c>
      <c r="C3339" s="108" t="str">
        <f>+'LISTA DE INSUMOS'!A458</f>
        <v>MAT475</v>
      </c>
      <c r="D3339" s="139" t="str">
        <f>+'LISTA DE INSUMOS'!B458</f>
        <v>Gabinete contra incendios completo tipo 3</v>
      </c>
      <c r="E3339" s="108" t="str">
        <f>+'LISTA DE INSUMOS'!C458</f>
        <v>Un</v>
      </c>
      <c r="F3339" s="176">
        <v>1</v>
      </c>
      <c r="G3339" s="141">
        <f>'LISTA DE INSUMOS'!E458</f>
        <v>1158274.0014304325</v>
      </c>
      <c r="H3339" s="205">
        <v>0</v>
      </c>
      <c r="I3339" s="141">
        <f>ROUND((F3339*G3339),0)</f>
        <v>1158274</v>
      </c>
      <c r="J3339" s="47"/>
      <c r="K3339" s="143"/>
    </row>
    <row r="3340" spans="2:11" ht="24.9" customHeight="1" x14ac:dyDescent="0.2">
      <c r="B3340" s="672"/>
      <c r="C3340" s="108" t="str">
        <f>+'LISTA DE INSUMOS'!A456</f>
        <v>MAT473</v>
      </c>
      <c r="D3340" s="139" t="str">
        <f>+'LISTA DE INSUMOS'!B456</f>
        <v>Válvula de 3" sello elástico extremo liso o junta hidráulica PVC</v>
      </c>
      <c r="E3340" s="108" t="str">
        <f>+'LISTA DE INSUMOS'!C456</f>
        <v>Un</v>
      </c>
      <c r="F3340" s="176">
        <v>1</v>
      </c>
      <c r="G3340" s="141">
        <f>'LISTA DE INSUMOS'!E456</f>
        <v>600010.61662860098</v>
      </c>
      <c r="H3340" s="205">
        <v>0</v>
      </c>
      <c r="I3340" s="141">
        <f>ROUND((F3340*G3340),0)</f>
        <v>600011</v>
      </c>
      <c r="J3340" s="47"/>
      <c r="K3340" s="143"/>
    </row>
    <row r="3341" spans="2:11" ht="24.9" customHeight="1" x14ac:dyDescent="0.2">
      <c r="B3341" s="672"/>
      <c r="C3341" s="108" t="str">
        <f>+'LISTA DE INSUMOS'!A404</f>
        <v>MAT415</v>
      </c>
      <c r="D3341" s="139" t="str">
        <f>+'LISTA DE INSUMOS'!B404</f>
        <v>Tubería PVC acueducto unión platino de 3" rde 21</v>
      </c>
      <c r="E3341" s="108" t="str">
        <f>+'LISTA DE INSUMOS'!C404</f>
        <v>M</v>
      </c>
      <c r="F3341" s="176">
        <v>1</v>
      </c>
      <c r="G3341" s="141">
        <f>'LISTA DE INSUMOS'!E404</f>
        <v>30971.450928164995</v>
      </c>
      <c r="H3341" s="205">
        <v>1.05</v>
      </c>
      <c r="I3341" s="141">
        <f>ROUND((F3341*G3341*H3341),0)</f>
        <v>32520</v>
      </c>
      <c r="J3341" s="47"/>
      <c r="K3341" s="143"/>
    </row>
    <row r="3342" spans="2:11" ht="24.9" customHeight="1" thickBot="1" x14ac:dyDescent="0.25">
      <c r="B3342" s="673"/>
      <c r="C3342" s="108" t="str">
        <f>+'LISTA DE INSUMOS'!A370</f>
        <v>MAT363</v>
      </c>
      <c r="D3342" s="139" t="str">
        <f>+'LISTA DE INSUMOS'!B370</f>
        <v>Cinta Teflón 1/2" x 10 m x 0.30 Densidad</v>
      </c>
      <c r="E3342" s="108" t="str">
        <f>+'LISTA DE INSUMOS'!C370</f>
        <v>Un</v>
      </c>
      <c r="F3342" s="176">
        <v>1</v>
      </c>
      <c r="G3342" s="141">
        <f>'LISTA DE INSUMOS'!E370</f>
        <v>2584.69930488</v>
      </c>
      <c r="H3342" s="205">
        <f>1</f>
        <v>1</v>
      </c>
      <c r="I3342" s="141">
        <f>ROUND((F3342*G3342*H3342),0)</f>
        <v>2585</v>
      </c>
      <c r="J3342" s="47"/>
      <c r="K3342" s="143"/>
    </row>
    <row r="3343" spans="2:11" ht="24.9" customHeight="1" thickTop="1" thickBot="1" x14ac:dyDescent="0.25">
      <c r="B3343" s="250" t="s">
        <v>1034</v>
      </c>
      <c r="C3343" s="108" t="str">
        <f>+'LISTA DE INSUMOS'!A20</f>
        <v>MOB017</v>
      </c>
      <c r="D3343" s="139" t="str">
        <f>+'LISTA DE INSUMOS'!B20</f>
        <v>Cuadrilla G 1 Of + 2 Ay (jornal + prestaciones)</v>
      </c>
      <c r="E3343" s="108" t="str">
        <f>+'LISTA DE INSUMOS'!C20</f>
        <v>Día</v>
      </c>
      <c r="F3343" s="176">
        <v>1</v>
      </c>
      <c r="G3343" s="141">
        <f>'LISTA DE INSUMOS'!E20</f>
        <v>327445</v>
      </c>
      <c r="H3343" s="205">
        <f>1</f>
        <v>1</v>
      </c>
      <c r="I3343" s="141">
        <f>ROUND((F3343*G3343*H3343),0)</f>
        <v>327445</v>
      </c>
      <c r="J3343" s="47"/>
      <c r="K3343" s="143"/>
    </row>
    <row r="3344" spans="2:11" ht="21.75" customHeight="1" thickTop="1" thickBot="1" x14ac:dyDescent="0.25">
      <c r="B3344" s="150" t="s">
        <v>1033</v>
      </c>
      <c r="C3344" s="151" t="str">
        <f>+'LISTA DE INSUMOS'!A758</f>
        <v>EQU002</v>
      </c>
      <c r="D3344" s="146" t="str">
        <f>+'LISTA DE INSUMOS'!B758</f>
        <v>Herramienta menor (% mano obra)</v>
      </c>
      <c r="E3344" s="145" t="str">
        <f>+'LISTA DE INSUMOS'!C758</f>
        <v>%MO</v>
      </c>
      <c r="F3344" s="229">
        <v>0.1</v>
      </c>
      <c r="G3344" s="148">
        <f>I3343</f>
        <v>327445</v>
      </c>
      <c r="H3344" s="206">
        <v>0</v>
      </c>
      <c r="I3344" s="148">
        <f>ROUND((F3344*G3344),0)</f>
        <v>32745</v>
      </c>
      <c r="J3344" s="47"/>
      <c r="K3344" s="143"/>
    </row>
    <row r="3345" spans="2:11" s="317" customFormat="1" ht="25.5" hidden="1" customHeight="1" x14ac:dyDescent="0.2">
      <c r="B3345" s="319" t="s">
        <v>1525</v>
      </c>
      <c r="C3345" s="319"/>
      <c r="D3345" s="320" t="s">
        <v>1955</v>
      </c>
      <c r="E3345" s="319" t="s">
        <v>1435</v>
      </c>
      <c r="F3345" s="332"/>
      <c r="G3345" s="312">
        <f>ROUND(SUM(I3346:I3348),0)</f>
        <v>27401</v>
      </c>
      <c r="H3345" s="322"/>
      <c r="I3345" s="312"/>
      <c r="J3345" s="313"/>
      <c r="K3345" s="323"/>
    </row>
    <row r="3346" spans="2:11" s="317" customFormat="1" ht="15.75" hidden="1" customHeight="1" thickBot="1" x14ac:dyDescent="0.25">
      <c r="B3346" s="347" t="s">
        <v>1325</v>
      </c>
      <c r="C3346" s="322" t="str">
        <f>+'LISTA DE INSUMOS'!A477</f>
        <v>MAT496</v>
      </c>
      <c r="D3346" s="324" t="str">
        <f>+'LISTA DE INSUMOS'!B477</f>
        <v>Tapa plástica de registro de 0,20 x 0,20 m</v>
      </c>
      <c r="E3346" s="322" t="str">
        <f>+'LISTA DE INSUMOS'!C477</f>
        <v>Un</v>
      </c>
      <c r="F3346" s="321">
        <v>1</v>
      </c>
      <c r="G3346" s="312">
        <f>'LISTA DE INSUMOS'!E477</f>
        <v>8981.830084457999</v>
      </c>
      <c r="H3346" s="349">
        <v>0</v>
      </c>
      <c r="I3346" s="312">
        <f>ROUND((F3346*G3346),0)</f>
        <v>8982</v>
      </c>
      <c r="J3346" s="313"/>
      <c r="K3346" s="323"/>
    </row>
    <row r="3347" spans="2:11" s="317" customFormat="1" ht="15.75" hidden="1" customHeight="1" thickTop="1" thickBot="1" x14ac:dyDescent="0.25">
      <c r="B3347" s="372" t="s">
        <v>1034</v>
      </c>
      <c r="C3347" s="322" t="str">
        <f>+'LISTA DE INSUMOS'!A18</f>
        <v>MOB015</v>
      </c>
      <c r="D3347" s="324" t="str">
        <f>+'LISTA DE INSUMOS'!B18</f>
        <v>Cuadrilla E 1 Of + 1 Ay (jornal + prestaciones)</v>
      </c>
      <c r="E3347" s="322" t="str">
        <f>+'LISTA DE INSUMOS'!C18</f>
        <v>Día</v>
      </c>
      <c r="F3347" s="321">
        <v>1</v>
      </c>
      <c r="G3347" s="312">
        <f>'LISTA DE INSUMOS'!E18</f>
        <v>245584</v>
      </c>
      <c r="H3347" s="349">
        <f>1/20</f>
        <v>0.05</v>
      </c>
      <c r="I3347" s="312">
        <f>ROUND((F3347*G3347*H3347),0)</f>
        <v>12279</v>
      </c>
      <c r="J3347" s="313"/>
      <c r="K3347" s="323"/>
    </row>
    <row r="3348" spans="2:11" s="317" customFormat="1" ht="27.75" hidden="1" customHeight="1" thickTop="1" thickBot="1" x14ac:dyDescent="0.25">
      <c r="B3348" s="255" t="s">
        <v>1033</v>
      </c>
      <c r="C3348" s="329" t="str">
        <f>+'LISTA DE INSUMOS'!A758</f>
        <v>EQU002</v>
      </c>
      <c r="D3348" s="328" t="str">
        <f>+'LISTA DE INSUMOS'!B758</f>
        <v>Herramienta menor (% mano obra)</v>
      </c>
      <c r="E3348" s="329" t="str">
        <f>+'LISTA DE INSUMOS'!C758</f>
        <v>%MO</v>
      </c>
      <c r="F3348" s="362">
        <v>0.5</v>
      </c>
      <c r="G3348" s="331">
        <f>I3347</f>
        <v>12279</v>
      </c>
      <c r="H3348" s="350">
        <v>0</v>
      </c>
      <c r="I3348" s="331">
        <f>ROUND((F3348*G3348),0)</f>
        <v>6140</v>
      </c>
      <c r="J3348" s="313"/>
      <c r="K3348" s="323"/>
    </row>
    <row r="3349" spans="2:11" s="317" customFormat="1" ht="23.25" hidden="1" customHeight="1" x14ac:dyDescent="0.2">
      <c r="B3349" s="374" t="s">
        <v>1794</v>
      </c>
      <c r="C3349" s="322"/>
      <c r="D3349" s="324" t="s">
        <v>368</v>
      </c>
      <c r="E3349" s="322" t="s">
        <v>1435</v>
      </c>
      <c r="F3349" s="321"/>
      <c r="G3349" s="312">
        <f>ROUND(SUM(I3350:I3352),0)</f>
        <v>210945</v>
      </c>
      <c r="H3349" s="349"/>
      <c r="I3349" s="312"/>
      <c r="J3349" s="313"/>
      <c r="K3349" s="323"/>
    </row>
    <row r="3350" spans="2:11" s="317" customFormat="1" ht="24.75" hidden="1" customHeight="1" thickBot="1" x14ac:dyDescent="0.25">
      <c r="B3350" s="347" t="s">
        <v>1325</v>
      </c>
      <c r="C3350" s="338" t="str">
        <f>+'LISTA DE INSUMOS'!A612</f>
        <v>MAT629</v>
      </c>
      <c r="D3350" s="339" t="str">
        <f>+'LISTA DE INSUMOS'!B612</f>
        <v>Mezclador para lavaplatos</v>
      </c>
      <c r="E3350" s="322" t="str">
        <f>+'LISTA DE INSUMOS'!C612</f>
        <v>Un</v>
      </c>
      <c r="F3350" s="325">
        <v>1</v>
      </c>
      <c r="G3350" s="312">
        <f>'LISTA DE INSUMOS'!E612</f>
        <v>180928.95134159998</v>
      </c>
      <c r="H3350" s="322">
        <v>0</v>
      </c>
      <c r="I3350" s="312">
        <f>ROUND((F3350*G3350),0)</f>
        <v>180929</v>
      </c>
      <c r="J3350" s="313"/>
      <c r="K3350" s="323"/>
    </row>
    <row r="3351" spans="2:11" s="317" customFormat="1" ht="30" hidden="1" customHeight="1" thickTop="1" thickBot="1" x14ac:dyDescent="0.25">
      <c r="B3351" s="372" t="s">
        <v>1034</v>
      </c>
      <c r="C3351" s="322" t="str">
        <f>+'LISTA DE INSUMOS'!A5</f>
        <v>MOB002</v>
      </c>
      <c r="D3351" s="324" t="str">
        <f>+'LISTA DE INSUMOS'!B5</f>
        <v>Oficial (jornal + prestaciones)</v>
      </c>
      <c r="E3351" s="322" t="str">
        <f>+'LISTA DE INSUMOS'!C5</f>
        <v>Día</v>
      </c>
      <c r="F3351" s="321">
        <v>1</v>
      </c>
      <c r="G3351" s="312">
        <f>'LISTA DE INSUMOS'!E5</f>
        <v>163723</v>
      </c>
      <c r="H3351" s="349">
        <f>1/6</f>
        <v>0.16666666666666666</v>
      </c>
      <c r="I3351" s="312">
        <f>ROUND((F3351*G3351*H3351),0)</f>
        <v>27287</v>
      </c>
      <c r="J3351" s="313"/>
      <c r="K3351" s="323"/>
    </row>
    <row r="3352" spans="2:11" s="317" customFormat="1" ht="19.5" hidden="1" customHeight="1" thickTop="1" thickBot="1" x14ac:dyDescent="0.25">
      <c r="B3352" s="255" t="s">
        <v>1033</v>
      </c>
      <c r="C3352" s="327" t="str">
        <f>+'LISTA DE INSUMOS'!A758</f>
        <v>EQU002</v>
      </c>
      <c r="D3352" s="328" t="str">
        <f>+'LISTA DE INSUMOS'!B758</f>
        <v>Herramienta menor (% mano obra)</v>
      </c>
      <c r="E3352" s="329" t="str">
        <f>+'LISTA DE INSUMOS'!C758</f>
        <v>%MO</v>
      </c>
      <c r="F3352" s="362">
        <v>0.1</v>
      </c>
      <c r="G3352" s="331">
        <f>I3351</f>
        <v>27287</v>
      </c>
      <c r="H3352" s="350">
        <v>0</v>
      </c>
      <c r="I3352" s="331">
        <f>ROUND((F3352*G3352),0)</f>
        <v>2729</v>
      </c>
      <c r="J3352" s="313"/>
      <c r="K3352" s="323"/>
    </row>
    <row r="3353" spans="2:11" s="317" customFormat="1" ht="24.75" hidden="1" customHeight="1" x14ac:dyDescent="0.2">
      <c r="B3353" s="374" t="s">
        <v>1449</v>
      </c>
      <c r="C3353" s="322"/>
      <c r="D3353" s="324" t="s">
        <v>378</v>
      </c>
      <c r="E3353" s="322" t="s">
        <v>1435</v>
      </c>
      <c r="F3353" s="321"/>
      <c r="G3353" s="312">
        <f>ROUND(SUM(I3354:I3356),0)</f>
        <v>348567</v>
      </c>
      <c r="H3353" s="349"/>
      <c r="I3353" s="312"/>
      <c r="J3353" s="313"/>
      <c r="K3353" s="323"/>
    </row>
    <row r="3354" spans="2:11" s="317" customFormat="1" ht="21.75" hidden="1" customHeight="1" thickBot="1" x14ac:dyDescent="0.25">
      <c r="B3354" s="347" t="s">
        <v>1325</v>
      </c>
      <c r="C3354" s="338" t="str">
        <f>+'LISTA DE INSUMOS'!A613</f>
        <v>MAT630</v>
      </c>
      <c r="D3354" s="339" t="str">
        <f>+'LISTA DE INSUMOS'!B613</f>
        <v>Lavamanos de pared tipo push, línea antivandálica</v>
      </c>
      <c r="E3354" s="322" t="str">
        <f>+'LISTA DE INSUMOS'!C613</f>
        <v>Un</v>
      </c>
      <c r="F3354" s="321">
        <v>1</v>
      </c>
      <c r="G3354" s="312">
        <f>'LISTA DE INSUMOS'!E613</f>
        <v>303543.16426499997</v>
      </c>
      <c r="H3354" s="349">
        <v>0</v>
      </c>
      <c r="I3354" s="312">
        <f>ROUND((F3354*G3354),0)</f>
        <v>303543</v>
      </c>
      <c r="J3354" s="313"/>
      <c r="K3354" s="323"/>
    </row>
    <row r="3355" spans="2:11" s="317" customFormat="1" ht="27.75" hidden="1" customHeight="1" thickTop="1" thickBot="1" x14ac:dyDescent="0.25">
      <c r="B3355" s="372" t="s">
        <v>1034</v>
      </c>
      <c r="C3355" s="322" t="str">
        <f>+'LISTA DE INSUMOS'!A5</f>
        <v>MOB002</v>
      </c>
      <c r="D3355" s="324" t="str">
        <f>+'LISTA DE INSUMOS'!B5</f>
        <v>Oficial (jornal + prestaciones)</v>
      </c>
      <c r="E3355" s="322" t="str">
        <f>+'LISTA DE INSUMOS'!C5</f>
        <v>Día</v>
      </c>
      <c r="F3355" s="321">
        <v>1</v>
      </c>
      <c r="G3355" s="312">
        <f>'LISTA DE INSUMOS'!E5</f>
        <v>163723</v>
      </c>
      <c r="H3355" s="349">
        <f>1/4</f>
        <v>0.25</v>
      </c>
      <c r="I3355" s="312">
        <f>ROUND((F3355*G3355*H3355),0)</f>
        <v>40931</v>
      </c>
      <c r="J3355" s="313"/>
      <c r="K3355" s="323"/>
    </row>
    <row r="3356" spans="2:11" s="317" customFormat="1" ht="17.25" hidden="1" customHeight="1" thickTop="1" thickBot="1" x14ac:dyDescent="0.25">
      <c r="B3356" s="255" t="s">
        <v>1033</v>
      </c>
      <c r="C3356" s="327" t="str">
        <f>+'LISTA DE INSUMOS'!A758</f>
        <v>EQU002</v>
      </c>
      <c r="D3356" s="328" t="str">
        <f>+'LISTA DE INSUMOS'!B758</f>
        <v>Herramienta menor (% mano obra)</v>
      </c>
      <c r="E3356" s="329" t="str">
        <f>+'LISTA DE INSUMOS'!C758</f>
        <v>%MO</v>
      </c>
      <c r="F3356" s="362">
        <v>0.1</v>
      </c>
      <c r="G3356" s="331">
        <f>I3355</f>
        <v>40931</v>
      </c>
      <c r="H3356" s="350">
        <v>0</v>
      </c>
      <c r="I3356" s="331">
        <f>ROUND((F3356*G3356),0)</f>
        <v>4093</v>
      </c>
      <c r="J3356" s="313"/>
      <c r="K3356" s="323"/>
    </row>
    <row r="3357" spans="2:11" s="317" customFormat="1" ht="35.25" hidden="1" customHeight="1" x14ac:dyDescent="0.2">
      <c r="B3357" s="374" t="s">
        <v>1798</v>
      </c>
      <c r="C3357" s="322"/>
      <c r="D3357" s="324" t="s">
        <v>380</v>
      </c>
      <c r="E3357" s="322" t="s">
        <v>1435</v>
      </c>
      <c r="F3357" s="321"/>
      <c r="G3357" s="312">
        <f>ROUND(SUM(I3358:I3360),0)</f>
        <v>328038</v>
      </c>
      <c r="H3357" s="349"/>
      <c r="I3357" s="312"/>
      <c r="J3357" s="313"/>
      <c r="K3357" s="323"/>
    </row>
    <row r="3358" spans="2:11" s="317" customFormat="1" ht="33" hidden="1" customHeight="1" thickBot="1" x14ac:dyDescent="0.25">
      <c r="B3358" s="347" t="s">
        <v>1325</v>
      </c>
      <c r="C3358" s="338" t="str">
        <f>+'LISTA DE INSUMOS'!A614</f>
        <v>MAT631</v>
      </c>
      <c r="D3358" s="339" t="str">
        <f>+'LISTA DE INSUMOS'!B614</f>
        <v>Griferia lavamanos de mesa tipo push</v>
      </c>
      <c r="E3358" s="322" t="str">
        <f>+'LISTA DE INSUMOS'!C614</f>
        <v>Un</v>
      </c>
      <c r="F3358" s="321">
        <v>1</v>
      </c>
      <c r="G3358" s="312">
        <f>'LISTA DE INSUMOS'!E614</f>
        <v>298022.190015</v>
      </c>
      <c r="H3358" s="349">
        <v>0</v>
      </c>
      <c r="I3358" s="312">
        <f>ROUND((F3358*G3358),0)</f>
        <v>298022</v>
      </c>
      <c r="J3358" s="313"/>
      <c r="K3358" s="323"/>
    </row>
    <row r="3359" spans="2:11" s="317" customFormat="1" ht="24.75" hidden="1" customHeight="1" thickTop="1" thickBot="1" x14ac:dyDescent="0.25">
      <c r="B3359" s="372" t="s">
        <v>1034</v>
      </c>
      <c r="C3359" s="322" t="str">
        <f>+'LISTA DE INSUMOS'!A5</f>
        <v>MOB002</v>
      </c>
      <c r="D3359" s="324" t="str">
        <f>+'LISTA DE INSUMOS'!B5</f>
        <v>Oficial (jornal + prestaciones)</v>
      </c>
      <c r="E3359" s="322" t="str">
        <f>+'LISTA DE INSUMOS'!C5</f>
        <v>Día</v>
      </c>
      <c r="F3359" s="321">
        <v>1</v>
      </c>
      <c r="G3359" s="312">
        <f>'LISTA DE INSUMOS'!E5</f>
        <v>163723</v>
      </c>
      <c r="H3359" s="349">
        <f>1/6</f>
        <v>0.16666666666666666</v>
      </c>
      <c r="I3359" s="312">
        <f>ROUND((F3359*G3359*H3359),0)</f>
        <v>27287</v>
      </c>
      <c r="J3359" s="313"/>
      <c r="K3359" s="323"/>
    </row>
    <row r="3360" spans="2:11" s="317" customFormat="1" ht="33" hidden="1" customHeight="1" thickTop="1" thickBot="1" x14ac:dyDescent="0.25">
      <c r="B3360" s="255" t="s">
        <v>1033</v>
      </c>
      <c r="C3360" s="327" t="str">
        <f>+'LISTA DE INSUMOS'!A758</f>
        <v>EQU002</v>
      </c>
      <c r="D3360" s="328" t="str">
        <f>+'LISTA DE INSUMOS'!B758</f>
        <v>Herramienta menor (% mano obra)</v>
      </c>
      <c r="E3360" s="329" t="str">
        <f>+'LISTA DE INSUMOS'!C758</f>
        <v>%MO</v>
      </c>
      <c r="F3360" s="362">
        <v>0.1</v>
      </c>
      <c r="G3360" s="331">
        <f>I3359</f>
        <v>27287</v>
      </c>
      <c r="H3360" s="350">
        <v>0</v>
      </c>
      <c r="I3360" s="331">
        <f>ROUND((F3360*G3360),0)</f>
        <v>2729</v>
      </c>
      <c r="J3360" s="313"/>
      <c r="K3360" s="323"/>
    </row>
    <row r="3361" spans="2:11" s="317" customFormat="1" ht="40.5" hidden="1" customHeight="1" x14ac:dyDescent="0.2">
      <c r="B3361" s="374" t="s">
        <v>2346</v>
      </c>
      <c r="C3361" s="322"/>
      <c r="D3361" s="324" t="s">
        <v>36</v>
      </c>
      <c r="E3361" s="322" t="s">
        <v>1435</v>
      </c>
      <c r="F3361" s="321"/>
      <c r="G3361" s="312">
        <f>ROUND(SUM(I3362:I3364),0)</f>
        <v>692634</v>
      </c>
      <c r="H3361" s="349"/>
      <c r="I3361" s="312"/>
      <c r="J3361" s="313"/>
      <c r="K3361" s="323"/>
    </row>
    <row r="3362" spans="2:11" s="317" customFormat="1" ht="34.5" hidden="1" customHeight="1" thickBot="1" x14ac:dyDescent="0.25">
      <c r="B3362" s="347" t="s">
        <v>1325</v>
      </c>
      <c r="C3362" s="338" t="str">
        <f>+'LISTA DE INSUMOS'!A616</f>
        <v>MAT632</v>
      </c>
      <c r="D3362" s="368" t="str">
        <f>+'LISTA DE INSUMOS'!B616</f>
        <v>Grifería pico empotrado línea antivandálica, incluye válvula tipo push</v>
      </c>
      <c r="E3362" s="322" t="str">
        <f>+'LISTA DE INSUMOS'!C616</f>
        <v>Un</v>
      </c>
      <c r="F3362" s="321">
        <v>1</v>
      </c>
      <c r="G3362" s="312">
        <f>'LISTA DE INSUMOS'!E616</f>
        <v>647610.2795249999</v>
      </c>
      <c r="H3362" s="349">
        <v>0</v>
      </c>
      <c r="I3362" s="312">
        <f>ROUND((F3362*G3362),0)</f>
        <v>647610</v>
      </c>
      <c r="J3362" s="313"/>
      <c r="K3362" s="323"/>
    </row>
    <row r="3363" spans="2:11" s="317" customFormat="1" ht="36.75" hidden="1" customHeight="1" thickTop="1" thickBot="1" x14ac:dyDescent="0.25">
      <c r="B3363" s="372" t="s">
        <v>1034</v>
      </c>
      <c r="C3363" s="322" t="str">
        <f>+'LISTA DE INSUMOS'!A5</f>
        <v>MOB002</v>
      </c>
      <c r="D3363" s="324" t="str">
        <f>+'LISTA DE INSUMOS'!B5</f>
        <v>Oficial (jornal + prestaciones)</v>
      </c>
      <c r="E3363" s="322" t="str">
        <f>+'LISTA DE INSUMOS'!C5</f>
        <v>Día</v>
      </c>
      <c r="F3363" s="321">
        <v>1</v>
      </c>
      <c r="G3363" s="312">
        <f>'LISTA DE INSUMOS'!E5</f>
        <v>163723</v>
      </c>
      <c r="H3363" s="349">
        <f>1/4</f>
        <v>0.25</v>
      </c>
      <c r="I3363" s="312">
        <f>ROUND((F3363*G3363*H3363),0)</f>
        <v>40931</v>
      </c>
      <c r="J3363" s="313"/>
      <c r="K3363" s="323"/>
    </row>
    <row r="3364" spans="2:11" s="317" customFormat="1" ht="30.75" hidden="1" customHeight="1" thickTop="1" thickBot="1" x14ac:dyDescent="0.25">
      <c r="B3364" s="255" t="s">
        <v>1033</v>
      </c>
      <c r="C3364" s="327" t="str">
        <f>+'LISTA DE INSUMOS'!A758</f>
        <v>EQU002</v>
      </c>
      <c r="D3364" s="328" t="str">
        <f>+'LISTA DE INSUMOS'!B758</f>
        <v>Herramienta menor (% mano obra)</v>
      </c>
      <c r="E3364" s="329" t="str">
        <f>+'LISTA DE INSUMOS'!C758</f>
        <v>%MO</v>
      </c>
      <c r="F3364" s="362">
        <v>0.1</v>
      </c>
      <c r="G3364" s="331">
        <f>I3363</f>
        <v>40931</v>
      </c>
      <c r="H3364" s="350">
        <v>0</v>
      </c>
      <c r="I3364" s="331">
        <f>ROUND((F3364*G3364),0)</f>
        <v>4093</v>
      </c>
      <c r="J3364" s="313"/>
      <c r="K3364" s="323"/>
    </row>
    <row r="3365" spans="2:11" s="317" customFormat="1" ht="12.75" hidden="1" customHeight="1" x14ac:dyDescent="0.2">
      <c r="B3365" s="374" t="s">
        <v>2347</v>
      </c>
      <c r="C3365" s="322"/>
      <c r="D3365" s="313" t="s">
        <v>428</v>
      </c>
      <c r="E3365" s="322" t="s">
        <v>1435</v>
      </c>
      <c r="F3365" s="321"/>
      <c r="G3365" s="312">
        <f>ROUND(SUM(I3366:I3368),0)</f>
        <v>314806</v>
      </c>
      <c r="H3365" s="349"/>
      <c r="I3365" s="312"/>
      <c r="J3365" s="313"/>
      <c r="K3365" s="323"/>
    </row>
    <row r="3366" spans="2:11" s="317" customFormat="1" ht="33" hidden="1" customHeight="1" thickBot="1" x14ac:dyDescent="0.25">
      <c r="B3366" s="347" t="s">
        <v>1325</v>
      </c>
      <c r="C3366" s="338" t="str">
        <f>+'LISTA DE INSUMOS'!A617</f>
        <v>MAT633</v>
      </c>
      <c r="D3366" s="368" t="str">
        <f>+'LISTA DE INSUMOS'!B617</f>
        <v>Grifería de empotrar corta línea antivandálica, incluye válvula tipo push</v>
      </c>
      <c r="E3366" s="322" t="str">
        <f>+'LISTA DE INSUMOS'!C617</f>
        <v>Un</v>
      </c>
      <c r="F3366" s="321">
        <v>1</v>
      </c>
      <c r="G3366" s="312">
        <f>'LISTA DE INSUMOS'!E617</f>
        <v>269781.74420933996</v>
      </c>
      <c r="H3366" s="349">
        <v>0</v>
      </c>
      <c r="I3366" s="312">
        <f>ROUND((F3366*G3366),0)</f>
        <v>269782</v>
      </c>
      <c r="J3366" s="313"/>
      <c r="K3366" s="323"/>
    </row>
    <row r="3367" spans="2:11" s="317" customFormat="1" ht="30" hidden="1" customHeight="1" thickTop="1" thickBot="1" x14ac:dyDescent="0.25">
      <c r="B3367" s="372" t="s">
        <v>1034</v>
      </c>
      <c r="C3367" s="322" t="str">
        <f>+'LISTA DE INSUMOS'!A5</f>
        <v>MOB002</v>
      </c>
      <c r="D3367" s="324" t="str">
        <f>+'LISTA DE INSUMOS'!B5</f>
        <v>Oficial (jornal + prestaciones)</v>
      </c>
      <c r="E3367" s="322" t="str">
        <f>+'LISTA DE INSUMOS'!C5</f>
        <v>Día</v>
      </c>
      <c r="F3367" s="321">
        <v>1</v>
      </c>
      <c r="G3367" s="312">
        <f>'LISTA DE INSUMOS'!E5</f>
        <v>163723</v>
      </c>
      <c r="H3367" s="349">
        <f>1/4</f>
        <v>0.25</v>
      </c>
      <c r="I3367" s="312">
        <f>ROUND((F3367*G3367*H3367),0)</f>
        <v>40931</v>
      </c>
      <c r="J3367" s="313"/>
      <c r="K3367" s="323"/>
    </row>
    <row r="3368" spans="2:11" s="317" customFormat="1" ht="34.5" hidden="1" customHeight="1" thickTop="1" thickBot="1" x14ac:dyDescent="0.25">
      <c r="B3368" s="255" t="s">
        <v>1033</v>
      </c>
      <c r="C3368" s="327" t="str">
        <f>+'LISTA DE INSUMOS'!A758</f>
        <v>EQU002</v>
      </c>
      <c r="D3368" s="328" t="str">
        <f>+'LISTA DE INSUMOS'!B758</f>
        <v>Herramienta menor (% mano obra)</v>
      </c>
      <c r="E3368" s="329" t="str">
        <f>+'LISTA DE INSUMOS'!C758</f>
        <v>%MO</v>
      </c>
      <c r="F3368" s="362">
        <v>0.1</v>
      </c>
      <c r="G3368" s="331">
        <f>I3367</f>
        <v>40931</v>
      </c>
      <c r="H3368" s="350">
        <v>0</v>
      </c>
      <c r="I3368" s="331">
        <f>ROUND((F3368*G3368),0)</f>
        <v>4093</v>
      </c>
      <c r="J3368" s="313"/>
      <c r="K3368" s="323"/>
    </row>
    <row r="3369" spans="2:11" s="317" customFormat="1" ht="23.25" hidden="1" customHeight="1" x14ac:dyDescent="0.2">
      <c r="B3369" s="374" t="s">
        <v>2348</v>
      </c>
      <c r="C3369" s="322"/>
      <c r="D3369" s="324" t="s">
        <v>39</v>
      </c>
      <c r="E3369" s="322" t="s">
        <v>1435</v>
      </c>
      <c r="F3369" s="321"/>
      <c r="G3369" s="312">
        <f>ROUND(SUM(I3370:I3372),0)</f>
        <v>1013740</v>
      </c>
      <c r="H3369" s="349"/>
      <c r="I3369" s="312"/>
      <c r="J3369" s="313"/>
      <c r="K3369" s="323"/>
    </row>
    <row r="3370" spans="2:11" s="317" customFormat="1" ht="33" hidden="1" customHeight="1" thickBot="1" x14ac:dyDescent="0.25">
      <c r="B3370" s="347" t="s">
        <v>1325</v>
      </c>
      <c r="C3370" s="338" t="str">
        <f>+'LISTA DE INSUMOS'!A619</f>
        <v>MAT635</v>
      </c>
      <c r="D3370" s="339" t="str">
        <f>+'LISTA DE INSUMOS'!B619</f>
        <v>Fluxómetro flujo ajustable, incluye accesorios</v>
      </c>
      <c r="E3370" s="322" t="str">
        <f>+'LISTA DE INSUMOS'!C619</f>
        <v>Un</v>
      </c>
      <c r="F3370" s="321">
        <v>1</v>
      </c>
      <c r="G3370" s="312">
        <f>'LISTA DE INSUMOS'!E619</f>
        <v>953709.21318980982</v>
      </c>
      <c r="H3370" s="349">
        <v>0</v>
      </c>
      <c r="I3370" s="312">
        <f>ROUND((F3370*G3370),0)</f>
        <v>953709</v>
      </c>
      <c r="J3370" s="313"/>
      <c r="K3370" s="323"/>
    </row>
    <row r="3371" spans="2:11" s="317" customFormat="1" ht="22.5" hidden="1" customHeight="1" thickTop="1" thickBot="1" x14ac:dyDescent="0.25">
      <c r="B3371" s="372" t="s">
        <v>1034</v>
      </c>
      <c r="C3371" s="322" t="str">
        <f>+'LISTA DE INSUMOS'!A5</f>
        <v>MOB002</v>
      </c>
      <c r="D3371" s="324" t="str">
        <f>+'LISTA DE INSUMOS'!B5</f>
        <v>Oficial (jornal + prestaciones)</v>
      </c>
      <c r="E3371" s="322" t="str">
        <f>+'LISTA DE INSUMOS'!C5</f>
        <v>Día</v>
      </c>
      <c r="F3371" s="321">
        <v>1</v>
      </c>
      <c r="G3371" s="312">
        <f>'LISTA DE INSUMOS'!E5</f>
        <v>163723</v>
      </c>
      <c r="H3371" s="349">
        <f>1/3</f>
        <v>0.33333333333333331</v>
      </c>
      <c r="I3371" s="312">
        <f>ROUND((F3371*G3371*H3371),0)</f>
        <v>54574</v>
      </c>
      <c r="J3371" s="313"/>
      <c r="K3371" s="323"/>
    </row>
    <row r="3372" spans="2:11" s="317" customFormat="1" ht="32.25" hidden="1" customHeight="1" thickTop="1" thickBot="1" x14ac:dyDescent="0.25">
      <c r="B3372" s="255" t="s">
        <v>1033</v>
      </c>
      <c r="C3372" s="327" t="str">
        <f>+'LISTA DE INSUMOS'!A758</f>
        <v>EQU002</v>
      </c>
      <c r="D3372" s="328" t="str">
        <f>+'LISTA DE INSUMOS'!B758</f>
        <v>Herramienta menor (% mano obra)</v>
      </c>
      <c r="E3372" s="329" t="str">
        <f>+'LISTA DE INSUMOS'!C758</f>
        <v>%MO</v>
      </c>
      <c r="F3372" s="362">
        <v>0.1</v>
      </c>
      <c r="G3372" s="331">
        <f>I3371</f>
        <v>54574</v>
      </c>
      <c r="H3372" s="350">
        <v>0</v>
      </c>
      <c r="I3372" s="331">
        <f>ROUND((F3372*G3372),0)</f>
        <v>5457</v>
      </c>
      <c r="J3372" s="313"/>
      <c r="K3372" s="323"/>
    </row>
    <row r="3373" spans="2:11" s="317" customFormat="1" ht="27" hidden="1" customHeight="1" x14ac:dyDescent="0.2">
      <c r="B3373" s="353" t="s">
        <v>2349</v>
      </c>
      <c r="C3373" s="319"/>
      <c r="D3373" s="320" t="s">
        <v>404</v>
      </c>
      <c r="E3373" s="319" t="s">
        <v>1435</v>
      </c>
      <c r="F3373" s="332"/>
      <c r="G3373" s="312">
        <f>ROUND(SUM(I3373:I3379),0)</f>
        <v>870299</v>
      </c>
      <c r="H3373" s="322"/>
      <c r="I3373" s="312"/>
      <c r="J3373" s="313"/>
      <c r="K3373" s="323"/>
    </row>
    <row r="3374" spans="2:11" s="317" customFormat="1" ht="9" hidden="1" customHeight="1" x14ac:dyDescent="0.2">
      <c r="B3374" s="691" t="s">
        <v>1035</v>
      </c>
      <c r="C3374" s="322" t="str">
        <f>+'LISTA DE INSUMOS'!A31</f>
        <v>MAT002</v>
      </c>
      <c r="D3374" s="324" t="str">
        <f>+'LISTA DE INSUMOS'!B31</f>
        <v>Cemento blanco</v>
      </c>
      <c r="E3374" s="322" t="str">
        <f>+'LISTA DE INSUMOS'!C31</f>
        <v>Kg</v>
      </c>
      <c r="F3374" s="325">
        <v>0.5</v>
      </c>
      <c r="G3374" s="312">
        <f>'LISTA DE INSUMOS'!E31</f>
        <v>2900</v>
      </c>
      <c r="H3374" s="322">
        <v>1.05</v>
      </c>
      <c r="I3374" s="312">
        <f>ROUND((F3374*G3374*H3374),0)</f>
        <v>1523</v>
      </c>
      <c r="J3374" s="313"/>
      <c r="K3374" s="323"/>
    </row>
    <row r="3375" spans="2:11" s="317" customFormat="1" ht="30" hidden="1" customHeight="1" x14ac:dyDescent="0.2">
      <c r="B3375" s="691"/>
      <c r="C3375" s="338" t="str">
        <f>+'LISTA DE INSUMOS'!A622</f>
        <v>MAT638</v>
      </c>
      <c r="D3375" s="339" t="str">
        <f>+'LISTA DE INSUMOS'!B622</f>
        <v>Grifería taza tipo push antivandálica</v>
      </c>
      <c r="E3375" s="322" t="str">
        <f>+'LISTA DE INSUMOS'!C622</f>
        <v>Un</v>
      </c>
      <c r="F3375" s="325">
        <v>1</v>
      </c>
      <c r="G3375" s="312">
        <f>'LISTA DE INSUMOS'!E622</f>
        <v>411091.74265499995</v>
      </c>
      <c r="H3375" s="322">
        <v>0</v>
      </c>
      <c r="I3375" s="312">
        <f>ROUND((F3375*G3375),0)</f>
        <v>411092</v>
      </c>
      <c r="J3375" s="313"/>
      <c r="K3375" s="323"/>
    </row>
    <row r="3376" spans="2:11" s="317" customFormat="1" ht="38.25" hidden="1" customHeight="1" x14ac:dyDescent="0.2">
      <c r="B3376" s="691"/>
      <c r="C3376" s="338" t="str">
        <f>+'LISTA DE INSUMOS'!A655</f>
        <v>MAT671</v>
      </c>
      <c r="D3376" s="339" t="str">
        <f>+'LISTA DE INSUMOS'!B655</f>
        <v>Niple HG 1 1/4 " L = 0,6 m</v>
      </c>
      <c r="E3376" s="338" t="str">
        <f>+'LISTA DE INSUMOS'!C655</f>
        <v>Un</v>
      </c>
      <c r="F3376" s="325">
        <v>1</v>
      </c>
      <c r="G3376" s="312">
        <f>'LISTA DE INSUMOS'!E655</f>
        <v>13929.751057916757</v>
      </c>
      <c r="H3376" s="322">
        <v>0</v>
      </c>
      <c r="I3376" s="312">
        <f>ROUND((F3376*G3376),0)</f>
        <v>13930</v>
      </c>
      <c r="J3376" s="313"/>
      <c r="K3376" s="323"/>
    </row>
    <row r="3377" spans="2:11" s="317" customFormat="1" ht="33" hidden="1" customHeight="1" thickBot="1" x14ac:dyDescent="0.25">
      <c r="B3377" s="692"/>
      <c r="C3377" s="322" t="str">
        <f>+'LISTA DE INSUMOS'!A305</f>
        <v>MAT278</v>
      </c>
      <c r="D3377" s="324" t="str">
        <f>+'LISTA DE INSUMOS'!B305</f>
        <v xml:space="preserve">Sanitario tipo punta sal </v>
      </c>
      <c r="E3377" s="322" t="str">
        <f>+'LISTA DE INSUMOS'!C305</f>
        <v>Un</v>
      </c>
      <c r="F3377" s="325">
        <v>1</v>
      </c>
      <c r="G3377" s="312">
        <f>'LISTA DE INSUMOS'!E305</f>
        <v>353705.96336410491</v>
      </c>
      <c r="H3377" s="322">
        <v>0</v>
      </c>
      <c r="I3377" s="312">
        <f>ROUND((F3377*G3377),0)</f>
        <v>353706</v>
      </c>
      <c r="J3377" s="313"/>
      <c r="K3377" s="323"/>
    </row>
    <row r="3378" spans="2:11" s="317" customFormat="1" ht="32.25" hidden="1" customHeight="1" thickTop="1" thickBot="1" x14ac:dyDescent="0.25">
      <c r="B3378" s="363" t="s">
        <v>1034</v>
      </c>
      <c r="C3378" s="322" t="str">
        <f>+'LISTA DE INSUMOS'!A5</f>
        <v>MOB002</v>
      </c>
      <c r="D3378" s="324" t="str">
        <f>+'LISTA DE INSUMOS'!B5</f>
        <v>Oficial (jornal + prestaciones)</v>
      </c>
      <c r="E3378" s="322" t="str">
        <f>+'LISTA DE INSUMOS'!C5</f>
        <v>Día</v>
      </c>
      <c r="F3378" s="325">
        <v>1</v>
      </c>
      <c r="G3378" s="312">
        <f>'LISTA DE INSUMOS'!E5</f>
        <v>163723</v>
      </c>
      <c r="H3378" s="322">
        <f>1/2</f>
        <v>0.5</v>
      </c>
      <c r="I3378" s="312">
        <f>ROUND((F3378*G3378*H3378),0)</f>
        <v>81862</v>
      </c>
      <c r="J3378" s="313"/>
      <c r="K3378" s="323"/>
    </row>
    <row r="3379" spans="2:11" s="317" customFormat="1" ht="30.75" hidden="1" customHeight="1" thickTop="1" thickBot="1" x14ac:dyDescent="0.25">
      <c r="B3379" s="255" t="s">
        <v>1033</v>
      </c>
      <c r="C3379" s="327" t="str">
        <f>+'LISTA DE INSUMOS'!A758</f>
        <v>EQU002</v>
      </c>
      <c r="D3379" s="328" t="str">
        <f>+'LISTA DE INSUMOS'!B758</f>
        <v>Herramienta menor (% mano obra)</v>
      </c>
      <c r="E3379" s="329" t="str">
        <f>+'LISTA DE INSUMOS'!C758</f>
        <v>%MO</v>
      </c>
      <c r="F3379" s="330">
        <v>0.1</v>
      </c>
      <c r="G3379" s="331">
        <f>I3378</f>
        <v>81862</v>
      </c>
      <c r="H3379" s="329">
        <v>0</v>
      </c>
      <c r="I3379" s="331">
        <f>ROUND((F3379*G3379),0)</f>
        <v>8186</v>
      </c>
      <c r="J3379" s="313"/>
      <c r="K3379" s="323"/>
    </row>
    <row r="3380" spans="2:11" s="317" customFormat="1" ht="24.75" hidden="1" customHeight="1" x14ac:dyDescent="0.2">
      <c r="B3380" s="319" t="s">
        <v>2350</v>
      </c>
      <c r="C3380" s="319"/>
      <c r="D3380" s="320" t="s">
        <v>406</v>
      </c>
      <c r="E3380" s="319" t="s">
        <v>1435</v>
      </c>
      <c r="F3380" s="321"/>
      <c r="G3380" s="312">
        <f>ROUND(SUM(I3380:I3385),0)</f>
        <v>1271655</v>
      </c>
      <c r="H3380" s="322"/>
      <c r="I3380" s="312"/>
      <c r="J3380" s="313"/>
      <c r="K3380" s="323"/>
    </row>
    <row r="3381" spans="2:11" s="317" customFormat="1" ht="22.5" hidden="1" customHeight="1" x14ac:dyDescent="0.2">
      <c r="B3381" s="691" t="s">
        <v>1035</v>
      </c>
      <c r="C3381" s="322" t="str">
        <f>+'LISTA DE INSUMOS'!A31</f>
        <v>MAT002</v>
      </c>
      <c r="D3381" s="324" t="str">
        <f>+'LISTA DE INSUMOS'!B31</f>
        <v>Cemento blanco</v>
      </c>
      <c r="E3381" s="322" t="str">
        <f>+'LISTA DE INSUMOS'!C31</f>
        <v>Kg</v>
      </c>
      <c r="F3381" s="325">
        <v>0.5</v>
      </c>
      <c r="G3381" s="312">
        <f>'LISTA DE INSUMOS'!E31</f>
        <v>2900</v>
      </c>
      <c r="H3381" s="322">
        <v>1.05</v>
      </c>
      <c r="I3381" s="312">
        <f>ROUND((F3381*G3381*H3381),0)</f>
        <v>1523</v>
      </c>
      <c r="J3381" s="313"/>
      <c r="K3381" s="323"/>
    </row>
    <row r="3382" spans="2:11" s="317" customFormat="1" ht="30.75" hidden="1" customHeight="1" x14ac:dyDescent="0.2">
      <c r="B3382" s="691"/>
      <c r="C3382" s="338" t="str">
        <f>+'LISTA DE INSUMOS'!A620</f>
        <v>MAT636</v>
      </c>
      <c r="D3382" s="339" t="str">
        <f>+'LISTA DE INSUMOS'!B620</f>
        <v>Grifería orinal a pared tipo push, entrada de 1/2"</v>
      </c>
      <c r="E3382" s="322" t="str">
        <f>+'LISTA DE INSUMOS'!C620</f>
        <v>Un</v>
      </c>
      <c r="F3382" s="325">
        <v>1</v>
      </c>
      <c r="G3382" s="312">
        <f>'LISTA DE INSUMOS'!E620</f>
        <v>396260.19742979994</v>
      </c>
      <c r="H3382" s="322">
        <v>0</v>
      </c>
      <c r="I3382" s="312">
        <f>ROUND((F3382*G3382),0)</f>
        <v>396260</v>
      </c>
      <c r="J3382" s="313"/>
      <c r="K3382" s="323"/>
    </row>
    <row r="3383" spans="2:11" s="317" customFormat="1" ht="18.75" hidden="1" customHeight="1" thickBot="1" x14ac:dyDescent="0.25">
      <c r="B3383" s="692"/>
      <c r="C3383" s="338" t="str">
        <f>+'LISTA DE INSUMOS'!A626</f>
        <v>MAT642</v>
      </c>
      <c r="D3383" s="339" t="str">
        <f>+'LISTA DE INSUMOS'!B626</f>
        <v>Orinal gotta antibacterial</v>
      </c>
      <c r="E3383" s="322" t="str">
        <f>+'LISTA DE INSUMOS'!C626</f>
        <v>Un</v>
      </c>
      <c r="F3383" s="325">
        <v>1</v>
      </c>
      <c r="G3383" s="312">
        <f>'LISTA DE INSUMOS'!E626</f>
        <v>783823.52065943135</v>
      </c>
      <c r="H3383" s="322">
        <v>0</v>
      </c>
      <c r="I3383" s="312">
        <f>ROUND((F3383*G3383),0)</f>
        <v>783824</v>
      </c>
      <c r="J3383" s="313"/>
      <c r="K3383" s="323"/>
    </row>
    <row r="3384" spans="2:11" s="317" customFormat="1" ht="27.75" hidden="1" customHeight="1" thickTop="1" thickBot="1" x14ac:dyDescent="0.25">
      <c r="B3384" s="363" t="s">
        <v>1034</v>
      </c>
      <c r="C3384" s="322" t="str">
        <f>+'LISTA DE INSUMOS'!A5</f>
        <v>MOB002</v>
      </c>
      <c r="D3384" s="324" t="str">
        <f>+'LISTA DE INSUMOS'!B5</f>
        <v>Oficial (jornal + prestaciones)</v>
      </c>
      <c r="E3384" s="322" t="str">
        <f>+'LISTA DE INSUMOS'!C5</f>
        <v>Día</v>
      </c>
      <c r="F3384" s="325">
        <v>1</v>
      </c>
      <c r="G3384" s="312">
        <f>'LISTA DE INSUMOS'!E5</f>
        <v>163723</v>
      </c>
      <c r="H3384" s="322">
        <f>1/2</f>
        <v>0.5</v>
      </c>
      <c r="I3384" s="312">
        <f>ROUND((F3384*G3384*H3384),0)</f>
        <v>81862</v>
      </c>
      <c r="J3384" s="313"/>
      <c r="K3384" s="323"/>
    </row>
    <row r="3385" spans="2:11" s="317" customFormat="1" ht="22.5" hidden="1" customHeight="1" thickTop="1" thickBot="1" x14ac:dyDescent="0.25">
      <c r="B3385" s="255" t="s">
        <v>1033</v>
      </c>
      <c r="C3385" s="327" t="str">
        <f>+'LISTA DE INSUMOS'!A758</f>
        <v>EQU002</v>
      </c>
      <c r="D3385" s="328" t="str">
        <f>+'LISTA DE INSUMOS'!B758</f>
        <v>Herramienta menor (% mano obra)</v>
      </c>
      <c r="E3385" s="329" t="str">
        <f>+'LISTA DE INSUMOS'!C758</f>
        <v>%MO</v>
      </c>
      <c r="F3385" s="330">
        <v>0.1</v>
      </c>
      <c r="G3385" s="331">
        <f>I3384</f>
        <v>81862</v>
      </c>
      <c r="H3385" s="329">
        <v>0</v>
      </c>
      <c r="I3385" s="331">
        <f>ROUND((F3385*G3385),0)</f>
        <v>8186</v>
      </c>
      <c r="J3385" s="313"/>
      <c r="K3385" s="323"/>
    </row>
    <row r="3386" spans="2:11" ht="24.9" customHeight="1" x14ac:dyDescent="0.2">
      <c r="B3386" s="117" t="s">
        <v>1714</v>
      </c>
      <c r="C3386" s="117"/>
      <c r="D3386" s="112" t="s">
        <v>1996</v>
      </c>
      <c r="E3386" s="117" t="s">
        <v>1412</v>
      </c>
      <c r="F3386" s="118"/>
      <c r="G3386" s="119">
        <f>ROUND(SUM(I3387:I3392),0)</f>
        <v>20503</v>
      </c>
      <c r="H3386" s="120"/>
      <c r="I3386" s="119"/>
      <c r="J3386" s="47"/>
      <c r="K3386" s="143"/>
    </row>
    <row r="3387" spans="2:11" ht="24.9" customHeight="1" x14ac:dyDescent="0.2">
      <c r="B3387" s="672" t="s">
        <v>1035</v>
      </c>
      <c r="C3387" s="108" t="str">
        <f>+'LISTA DE INSUMOS'!A371</f>
        <v>MAT364</v>
      </c>
      <c r="D3387" s="139" t="str">
        <f>+'LISTA DE INSUMOS'!B371</f>
        <v>Tubería PVC agua lluvia de 2"</v>
      </c>
      <c r="E3387" s="108" t="str">
        <f>+'LISTA DE INSUMOS'!C371</f>
        <v>M</v>
      </c>
      <c r="F3387" s="140">
        <v>1</v>
      </c>
      <c r="G3387" s="141">
        <f>'LISTA DE INSUMOS'!E371</f>
        <v>8987.7044010600002</v>
      </c>
      <c r="H3387" s="108">
        <v>1.05</v>
      </c>
      <c r="I3387" s="141">
        <f>ROUND((F3387*G3387*H3387),0)</f>
        <v>9437</v>
      </c>
      <c r="J3387" s="47"/>
      <c r="K3387" s="143"/>
    </row>
    <row r="3388" spans="2:11" ht="24.9" customHeight="1" x14ac:dyDescent="0.2">
      <c r="B3388" s="672"/>
      <c r="C3388" s="108" t="str">
        <f>+'LISTA DE INSUMOS'!A375</f>
        <v>MAT369</v>
      </c>
      <c r="D3388" s="139" t="str">
        <f>+'LISTA DE INSUMOS'!B375</f>
        <v>Accesorios PVC agua lluvia (% tubería)</v>
      </c>
      <c r="E3388" s="108" t="str">
        <f>+'LISTA DE INSUMOS'!C375</f>
        <v>%Tub</v>
      </c>
      <c r="F3388" s="140">
        <v>0.32</v>
      </c>
      <c r="G3388" s="141">
        <f>I3387</f>
        <v>9437</v>
      </c>
      <c r="H3388" s="108">
        <v>0</v>
      </c>
      <c r="I3388" s="141">
        <f>ROUND((F3388*G3388),0)</f>
        <v>3020</v>
      </c>
      <c r="J3388" s="47"/>
      <c r="K3388" s="143"/>
    </row>
    <row r="3389" spans="2:11" ht="24.9" customHeight="1" x14ac:dyDescent="0.2">
      <c r="B3389" s="672"/>
      <c r="C3389" s="108" t="str">
        <f>+'LISTA DE INSUMOS'!A651</f>
        <v>MAT667</v>
      </c>
      <c r="D3389" s="139" t="str">
        <f>+'LISTA DE INSUMOS'!B651</f>
        <v>Limpiador removedor PVC 1/4</v>
      </c>
      <c r="E3389" s="108" t="str">
        <f>+'LISTA DE INSUMOS'!C651</f>
        <v>Un</v>
      </c>
      <c r="F3389" s="152">
        <v>0.02</v>
      </c>
      <c r="G3389" s="141">
        <f>+'LISTA DE INSUMOS'!E651</f>
        <v>55927.469152499994</v>
      </c>
      <c r="H3389" s="108">
        <v>1.03</v>
      </c>
      <c r="I3389" s="141">
        <f>ROUND((F3389*G3389*H3389),0)</f>
        <v>1152</v>
      </c>
      <c r="J3389" s="47"/>
      <c r="K3389" s="143"/>
    </row>
    <row r="3390" spans="2:11" ht="24.9" customHeight="1" thickBot="1" x14ac:dyDescent="0.25">
      <c r="B3390" s="673"/>
      <c r="C3390" s="108" t="str">
        <f>+'LISTA DE INSUMOS'!A650</f>
        <v>MAT666</v>
      </c>
      <c r="D3390" s="139" t="str">
        <f>+'LISTA DE INSUMOS'!B650</f>
        <v>Soldadura liquida para PVC 1/4 GL</v>
      </c>
      <c r="E3390" s="108" t="str">
        <f>+'LISTA DE INSUMOS'!C650</f>
        <v>Un</v>
      </c>
      <c r="F3390" s="152">
        <v>0.02</v>
      </c>
      <c r="G3390" s="141">
        <f>+'LISTA DE INSUMOS'!E650</f>
        <v>116100.56750324999</v>
      </c>
      <c r="H3390" s="108">
        <v>1.03</v>
      </c>
      <c r="I3390" s="141">
        <f>ROUND((F3390*G3390*H3390),0)</f>
        <v>2392</v>
      </c>
      <c r="J3390" s="47"/>
      <c r="K3390" s="143"/>
    </row>
    <row r="3391" spans="2:11" ht="24.9" customHeight="1" thickTop="1" thickBot="1" x14ac:dyDescent="0.25">
      <c r="B3391" s="250" t="s">
        <v>1034</v>
      </c>
      <c r="C3391" s="108" t="str">
        <f>+'LISTA DE INSUMOS'!A18</f>
        <v>MOB015</v>
      </c>
      <c r="D3391" s="139" t="str">
        <f>+'LISTA DE INSUMOS'!B18</f>
        <v>Cuadrilla E 1 Of + 1 Ay (jornal + prestaciones)</v>
      </c>
      <c r="E3391" s="108" t="str">
        <f>+'LISTA DE INSUMOS'!C18</f>
        <v>Día</v>
      </c>
      <c r="F3391" s="140">
        <v>1</v>
      </c>
      <c r="G3391" s="141">
        <f>'LISTA DE INSUMOS'!E18</f>
        <v>245584</v>
      </c>
      <c r="H3391" s="108">
        <f>1/60</f>
        <v>1.6666666666666666E-2</v>
      </c>
      <c r="I3391" s="141">
        <f>ROUND((F3391*G3391*H3391),0)</f>
        <v>4093</v>
      </c>
      <c r="J3391" s="47"/>
      <c r="K3391" s="143"/>
    </row>
    <row r="3392" spans="2:11" ht="24.9" customHeight="1" thickTop="1" thickBot="1" x14ac:dyDescent="0.25">
      <c r="B3392" s="150" t="s">
        <v>1033</v>
      </c>
      <c r="C3392" s="151" t="str">
        <f>+'LISTA DE INSUMOS'!A758</f>
        <v>EQU002</v>
      </c>
      <c r="D3392" s="146" t="str">
        <f>+'LISTA DE INSUMOS'!B758</f>
        <v>Herramienta menor (% mano obra)</v>
      </c>
      <c r="E3392" s="145" t="str">
        <f>+'LISTA DE INSUMOS'!C758</f>
        <v>%MO</v>
      </c>
      <c r="F3392" s="147">
        <v>0.1</v>
      </c>
      <c r="G3392" s="148">
        <f>I3391</f>
        <v>4093</v>
      </c>
      <c r="H3392" s="145">
        <v>0</v>
      </c>
      <c r="I3392" s="148">
        <f>ROUND((F3392*G3392),0)</f>
        <v>409</v>
      </c>
      <c r="J3392" s="47"/>
      <c r="K3392" s="143"/>
    </row>
    <row r="3393" spans="2:11" ht="24.9" customHeight="1" x14ac:dyDescent="0.2">
      <c r="B3393" s="117" t="s">
        <v>1503</v>
      </c>
      <c r="C3393" s="117"/>
      <c r="D3393" s="112" t="s">
        <v>1997</v>
      </c>
      <c r="E3393" s="117" t="s">
        <v>1412</v>
      </c>
      <c r="F3393" s="118"/>
      <c r="G3393" s="119">
        <f>ROUND(SUM(I3394:I3399),0)</f>
        <v>31341</v>
      </c>
      <c r="H3393" s="120"/>
      <c r="I3393" s="119"/>
      <c r="J3393" s="47"/>
      <c r="K3393" s="143"/>
    </row>
    <row r="3394" spans="2:11" ht="24.9" customHeight="1" x14ac:dyDescent="0.2">
      <c r="B3394" s="672" t="s">
        <v>1035</v>
      </c>
      <c r="C3394" s="108" t="str">
        <f>+'LISTA DE INSUMOS'!A102</f>
        <v>MAT062</v>
      </c>
      <c r="D3394" s="139" t="str">
        <f>+'LISTA DE INSUMOS'!B102</f>
        <v>Tubería PVC agua lluvia de 3"</v>
      </c>
      <c r="E3394" s="108" t="str">
        <f>+'LISTA DE INSUMOS'!C102</f>
        <v>M</v>
      </c>
      <c r="F3394" s="140">
        <v>1</v>
      </c>
      <c r="G3394" s="141">
        <f>'LISTA DE INSUMOS'!E102</f>
        <v>14878.859999999999</v>
      </c>
      <c r="H3394" s="108">
        <v>1.05</v>
      </c>
      <c r="I3394" s="141">
        <f>ROUND((F3394*G3394*H3394),0)</f>
        <v>15623</v>
      </c>
      <c r="J3394" s="47"/>
      <c r="K3394" s="143"/>
    </row>
    <row r="3395" spans="2:11" ht="24.9" customHeight="1" x14ac:dyDescent="0.2">
      <c r="B3395" s="672"/>
      <c r="C3395" s="108" t="str">
        <f>+'LISTA DE INSUMOS'!A375</f>
        <v>MAT369</v>
      </c>
      <c r="D3395" s="139" t="str">
        <f>+'LISTA DE INSUMOS'!B375</f>
        <v>Accesorios PVC agua lluvia (% tubería)</v>
      </c>
      <c r="E3395" s="108" t="str">
        <f>+'LISTA DE INSUMOS'!C375</f>
        <v>%Tub</v>
      </c>
      <c r="F3395" s="140">
        <v>0.32</v>
      </c>
      <c r="G3395" s="141">
        <f>I3394</f>
        <v>15623</v>
      </c>
      <c r="H3395" s="108">
        <v>0</v>
      </c>
      <c r="I3395" s="141">
        <f>ROUND((F3395*G3395),0)</f>
        <v>4999</v>
      </c>
      <c r="J3395" s="47"/>
      <c r="K3395" s="143"/>
    </row>
    <row r="3396" spans="2:11" ht="24.9" customHeight="1" x14ac:dyDescent="0.2">
      <c r="B3396" s="672"/>
      <c r="C3396" s="108" t="str">
        <f>+'LISTA DE INSUMOS'!A651</f>
        <v>MAT667</v>
      </c>
      <c r="D3396" s="139" t="str">
        <f>+'LISTA DE INSUMOS'!B651</f>
        <v>Limpiador removedor PVC 1/4</v>
      </c>
      <c r="E3396" s="108" t="str">
        <f>+'LISTA DE INSUMOS'!C651</f>
        <v>Un</v>
      </c>
      <c r="F3396" s="152">
        <v>0.03</v>
      </c>
      <c r="G3396" s="141">
        <f>+'LISTA DE INSUMOS'!E651</f>
        <v>55927.469152499994</v>
      </c>
      <c r="H3396" s="108">
        <v>1.03</v>
      </c>
      <c r="I3396" s="141">
        <f>ROUND((F3396*G3396*H3396),0)</f>
        <v>1728</v>
      </c>
      <c r="J3396" s="47"/>
      <c r="K3396" s="143"/>
    </row>
    <row r="3397" spans="2:11" ht="24.9" customHeight="1" thickBot="1" x14ac:dyDescent="0.25">
      <c r="B3397" s="673"/>
      <c r="C3397" s="108" t="str">
        <f>+'LISTA DE INSUMOS'!A650</f>
        <v>MAT666</v>
      </c>
      <c r="D3397" s="139" t="str">
        <f>+'LISTA DE INSUMOS'!B650</f>
        <v>Soldadura liquida para PVC 1/4 GL</v>
      </c>
      <c r="E3397" s="108" t="str">
        <f>+'LISTA DE INSUMOS'!C650</f>
        <v>Un</v>
      </c>
      <c r="F3397" s="152">
        <v>0.03</v>
      </c>
      <c r="G3397" s="141">
        <f>+'LISTA DE INSUMOS'!E650</f>
        <v>116100.56750324999</v>
      </c>
      <c r="H3397" s="108">
        <v>1.03</v>
      </c>
      <c r="I3397" s="141">
        <f>ROUND((F3397*G3397*H3397),0)</f>
        <v>3588</v>
      </c>
      <c r="J3397" s="47"/>
      <c r="K3397" s="143"/>
    </row>
    <row r="3398" spans="2:11" ht="24.9" customHeight="1" thickTop="1" thickBot="1" x14ac:dyDescent="0.25">
      <c r="B3398" s="250" t="s">
        <v>1034</v>
      </c>
      <c r="C3398" s="108" t="s">
        <v>2159</v>
      </c>
      <c r="D3398" s="139" t="s">
        <v>2160</v>
      </c>
      <c r="E3398" s="108" t="s">
        <v>2065</v>
      </c>
      <c r="F3398" s="140">
        <v>1</v>
      </c>
      <c r="G3398" s="141">
        <f>'LISTA DE INSUMOS'!E18</f>
        <v>245584</v>
      </c>
      <c r="H3398" s="108">
        <f>1/50</f>
        <v>0.02</v>
      </c>
      <c r="I3398" s="141">
        <f>ROUND((F3398*G3398*H3398),0)</f>
        <v>4912</v>
      </c>
      <c r="J3398" s="47"/>
      <c r="K3398" s="143"/>
    </row>
    <row r="3399" spans="2:11" ht="24.9" customHeight="1" thickTop="1" thickBot="1" x14ac:dyDescent="0.25">
      <c r="B3399" s="150" t="s">
        <v>1033</v>
      </c>
      <c r="C3399" s="151" t="str">
        <f>+'LISTA DE INSUMOS'!A758</f>
        <v>EQU002</v>
      </c>
      <c r="D3399" s="146" t="str">
        <f>+'LISTA DE INSUMOS'!B758</f>
        <v>Herramienta menor (% mano obra)</v>
      </c>
      <c r="E3399" s="145" t="str">
        <f>+'LISTA DE INSUMOS'!C758</f>
        <v>%MO</v>
      </c>
      <c r="F3399" s="147">
        <v>0.1</v>
      </c>
      <c r="G3399" s="148">
        <f>I3398</f>
        <v>4912</v>
      </c>
      <c r="H3399" s="145">
        <v>0</v>
      </c>
      <c r="I3399" s="148">
        <f>ROUND((F3399*G3399),0)</f>
        <v>491</v>
      </c>
      <c r="J3399" s="47"/>
      <c r="K3399" s="143"/>
    </row>
    <row r="3400" spans="2:11" ht="24.9" customHeight="1" x14ac:dyDescent="0.2">
      <c r="B3400" s="117" t="s">
        <v>2965</v>
      </c>
      <c r="C3400" s="117"/>
      <c r="D3400" s="112" t="s">
        <v>1998</v>
      </c>
      <c r="E3400" s="117" t="s">
        <v>1412</v>
      </c>
      <c r="F3400" s="118"/>
      <c r="G3400" s="119">
        <f>ROUND(SUM(I3401:I3406),0)</f>
        <v>39891</v>
      </c>
      <c r="H3400" s="120"/>
      <c r="I3400" s="119"/>
      <c r="J3400" s="47"/>
      <c r="K3400" s="143"/>
    </row>
    <row r="3401" spans="2:11" ht="24.9" customHeight="1" x14ac:dyDescent="0.2">
      <c r="B3401" s="672" t="s">
        <v>1035</v>
      </c>
      <c r="C3401" s="108" t="str">
        <f>+'LISTA DE INSUMOS'!A316</f>
        <v>MAT292</v>
      </c>
      <c r="D3401" s="139" t="str">
        <f>+'LISTA DE INSUMOS'!B316</f>
        <v>Tubería PVC agua lluvia de 4"</v>
      </c>
      <c r="E3401" s="108" t="str">
        <f>+'LISTA DE INSUMOS'!C316</f>
        <v>M</v>
      </c>
      <c r="F3401" s="140">
        <v>1</v>
      </c>
      <c r="G3401" s="141">
        <f>'LISTA DE INSUMOS'!E316</f>
        <v>19769.425092370795</v>
      </c>
      <c r="H3401" s="108">
        <v>1.05</v>
      </c>
      <c r="I3401" s="141">
        <f>ROUND((F3401*G3401*H3401),0)</f>
        <v>20758</v>
      </c>
      <c r="J3401" s="47"/>
      <c r="K3401" s="143"/>
    </row>
    <row r="3402" spans="2:11" ht="24.9" customHeight="1" x14ac:dyDescent="0.2">
      <c r="B3402" s="672"/>
      <c r="C3402" s="108" t="str">
        <f>+'LISTA DE INSUMOS'!A375</f>
        <v>MAT369</v>
      </c>
      <c r="D3402" s="139" t="str">
        <f>+'LISTA DE INSUMOS'!B375</f>
        <v>Accesorios PVC agua lluvia (% tubería)</v>
      </c>
      <c r="E3402" s="108" t="str">
        <f>+'LISTA DE INSUMOS'!C375</f>
        <v>%Tub</v>
      </c>
      <c r="F3402" s="140">
        <v>0.32</v>
      </c>
      <c r="G3402" s="141">
        <f>I3401</f>
        <v>20758</v>
      </c>
      <c r="H3402" s="108">
        <v>0</v>
      </c>
      <c r="I3402" s="141">
        <f>ROUND((F3402*G3402),0)</f>
        <v>6643</v>
      </c>
      <c r="J3402" s="47"/>
      <c r="K3402" s="143"/>
    </row>
    <row r="3403" spans="2:11" ht="24.9" customHeight="1" x14ac:dyDescent="0.2">
      <c r="B3403" s="672"/>
      <c r="C3403" s="108" t="str">
        <f>+'LISTA DE INSUMOS'!A651</f>
        <v>MAT667</v>
      </c>
      <c r="D3403" s="139" t="str">
        <f>+'LISTA DE INSUMOS'!B651</f>
        <v>Limpiador removedor PVC 1/4</v>
      </c>
      <c r="E3403" s="108" t="str">
        <f>+'LISTA DE INSUMOS'!C651</f>
        <v>Un</v>
      </c>
      <c r="F3403" s="152">
        <v>0.04</v>
      </c>
      <c r="G3403" s="141">
        <f>+'LISTA DE INSUMOS'!E651</f>
        <v>55927.469152499994</v>
      </c>
      <c r="H3403" s="108">
        <v>1.03</v>
      </c>
      <c r="I3403" s="141">
        <f>ROUND((F3403*G3403*H3403),0)</f>
        <v>2304</v>
      </c>
      <c r="J3403" s="47"/>
      <c r="K3403" s="143"/>
    </row>
    <row r="3404" spans="2:11" ht="24.9" customHeight="1" thickBot="1" x14ac:dyDescent="0.25">
      <c r="B3404" s="673"/>
      <c r="C3404" s="108" t="str">
        <f>+'LISTA DE INSUMOS'!A650</f>
        <v>MAT666</v>
      </c>
      <c r="D3404" s="139" t="str">
        <f>+'LISTA DE INSUMOS'!B650</f>
        <v>Soldadura liquida para PVC 1/4 GL</v>
      </c>
      <c r="E3404" s="108" t="str">
        <f>+'LISTA DE INSUMOS'!C650</f>
        <v>Un</v>
      </c>
      <c r="F3404" s="152">
        <v>0.04</v>
      </c>
      <c r="G3404" s="141">
        <f>+'LISTA DE INSUMOS'!E650</f>
        <v>116100.56750324999</v>
      </c>
      <c r="H3404" s="108">
        <v>1.03</v>
      </c>
      <c r="I3404" s="141">
        <f>ROUND((F3404*G3404*H3404),0)</f>
        <v>4783</v>
      </c>
      <c r="J3404" s="47"/>
      <c r="K3404" s="143"/>
    </row>
    <row r="3405" spans="2:11" ht="24.9" customHeight="1" thickTop="1" thickBot="1" x14ac:dyDescent="0.25">
      <c r="B3405" s="250" t="s">
        <v>1034</v>
      </c>
      <c r="C3405" s="108" t="str">
        <f>+'LISTA DE INSUMOS'!A18</f>
        <v>MOB015</v>
      </c>
      <c r="D3405" s="139" t="str">
        <f>+'LISTA DE INSUMOS'!B18</f>
        <v>Cuadrilla E 1 Of + 1 Ay (jornal + prestaciones)</v>
      </c>
      <c r="E3405" s="108" t="str">
        <f>+'LISTA DE INSUMOS'!C18</f>
        <v>Día</v>
      </c>
      <c r="F3405" s="140">
        <v>1</v>
      </c>
      <c r="G3405" s="141">
        <f>'LISTA DE INSUMOS'!E18</f>
        <v>245584</v>
      </c>
      <c r="H3405" s="108">
        <f>1/50</f>
        <v>0.02</v>
      </c>
      <c r="I3405" s="141">
        <f>ROUND((F3405*G3405*H3405),0)</f>
        <v>4912</v>
      </c>
      <c r="J3405" s="47"/>
      <c r="K3405" s="143"/>
    </row>
    <row r="3406" spans="2:11" ht="24.9" customHeight="1" thickTop="1" thickBot="1" x14ac:dyDescent="0.25">
      <c r="B3406" s="150" t="s">
        <v>1033</v>
      </c>
      <c r="C3406" s="151" t="str">
        <f>+'LISTA DE INSUMOS'!A758</f>
        <v>EQU002</v>
      </c>
      <c r="D3406" s="146" t="str">
        <f>+'LISTA DE INSUMOS'!B758</f>
        <v>Herramienta menor (% mano obra)</v>
      </c>
      <c r="E3406" s="145" t="str">
        <f>+'LISTA DE INSUMOS'!C758</f>
        <v>%MO</v>
      </c>
      <c r="F3406" s="147">
        <v>0.1</v>
      </c>
      <c r="G3406" s="148">
        <f>I3405</f>
        <v>4912</v>
      </c>
      <c r="H3406" s="145">
        <v>0</v>
      </c>
      <c r="I3406" s="148">
        <f>ROUND((F3406*G3406),0)</f>
        <v>491</v>
      </c>
      <c r="J3406" s="47"/>
      <c r="K3406" s="143"/>
    </row>
    <row r="3407" spans="2:11" ht="24.9" customHeight="1" x14ac:dyDescent="0.2">
      <c r="B3407" s="117" t="s">
        <v>1496</v>
      </c>
      <c r="C3407" s="117"/>
      <c r="D3407" s="112" t="s">
        <v>1445</v>
      </c>
      <c r="E3407" s="117" t="s">
        <v>1412</v>
      </c>
      <c r="F3407" s="149"/>
      <c r="G3407" s="119">
        <f>ROUND(SUM(I3408:I3414),0)</f>
        <v>34359</v>
      </c>
      <c r="H3407" s="120"/>
      <c r="I3407" s="119"/>
      <c r="J3407" s="47"/>
      <c r="K3407" s="143"/>
    </row>
    <row r="3408" spans="2:11" ht="24.9" customHeight="1" x14ac:dyDescent="0.2">
      <c r="B3408" s="672" t="s">
        <v>1035</v>
      </c>
      <c r="C3408" s="108" t="str">
        <f>+'LISTA DE INSUMOS'!A102</f>
        <v>MAT062</v>
      </c>
      <c r="D3408" s="139" t="str">
        <f>+'LISTA DE INSUMOS'!B102</f>
        <v>Tubería PVC agua lluvia de 3"</v>
      </c>
      <c r="E3408" s="108" t="str">
        <f>+'LISTA DE INSUMOS'!C102</f>
        <v>M</v>
      </c>
      <c r="F3408" s="140">
        <v>1</v>
      </c>
      <c r="G3408" s="141">
        <f>'LISTA DE INSUMOS'!E102</f>
        <v>14878.859999999999</v>
      </c>
      <c r="H3408" s="108">
        <v>1.05</v>
      </c>
      <c r="I3408" s="141">
        <f>ROUND((F3408*G3408*H3408),0)</f>
        <v>15623</v>
      </c>
      <c r="J3408" s="47"/>
      <c r="K3408" s="143"/>
    </row>
    <row r="3409" spans="2:11" ht="24.9" customHeight="1" x14ac:dyDescent="0.2">
      <c r="B3409" s="672"/>
      <c r="C3409" s="108" t="str">
        <f>+'LISTA DE INSUMOS'!A375</f>
        <v>MAT369</v>
      </c>
      <c r="D3409" s="139" t="str">
        <f>+'LISTA DE INSUMOS'!B375</f>
        <v>Accesorios PVC agua lluvia (% tubería)</v>
      </c>
      <c r="E3409" s="108" t="str">
        <f>+'LISTA DE INSUMOS'!C375</f>
        <v>%Tub</v>
      </c>
      <c r="F3409" s="140">
        <v>0.32</v>
      </c>
      <c r="G3409" s="141">
        <f>I3408</f>
        <v>15623</v>
      </c>
      <c r="H3409" s="108">
        <v>0</v>
      </c>
      <c r="I3409" s="141">
        <f>ROUND((F3409*G3409),0)</f>
        <v>4999</v>
      </c>
      <c r="J3409" s="47"/>
      <c r="K3409" s="143"/>
    </row>
    <row r="3410" spans="2:11" ht="24.9" customHeight="1" x14ac:dyDescent="0.2">
      <c r="B3410" s="672"/>
      <c r="C3410" s="108" t="str">
        <f>+'LISTA DE INSUMOS'!A651</f>
        <v>MAT667</v>
      </c>
      <c r="D3410" s="139" t="str">
        <f>+'LISTA DE INSUMOS'!B651</f>
        <v>Limpiador removedor PVC 1/4</v>
      </c>
      <c r="E3410" s="108" t="str">
        <f>+'LISTA DE INSUMOS'!C651</f>
        <v>Un</v>
      </c>
      <c r="F3410" s="152">
        <v>0.03</v>
      </c>
      <c r="G3410" s="141">
        <f>+'LISTA DE INSUMOS'!E651</f>
        <v>55927.469152499994</v>
      </c>
      <c r="H3410" s="108">
        <v>1.03</v>
      </c>
      <c r="I3410" s="141">
        <f>ROUND((F3410*G3410*H3410),0)</f>
        <v>1728</v>
      </c>
      <c r="J3410" s="47"/>
      <c r="K3410" s="143"/>
    </row>
    <row r="3411" spans="2:11" ht="24.9" customHeight="1" thickBot="1" x14ac:dyDescent="0.25">
      <c r="B3411" s="673"/>
      <c r="C3411" s="108" t="str">
        <f>+'LISTA DE INSUMOS'!A650</f>
        <v>MAT666</v>
      </c>
      <c r="D3411" s="139" t="str">
        <f>+'LISTA DE INSUMOS'!B650</f>
        <v>Soldadura liquida para PVC 1/4 GL</v>
      </c>
      <c r="E3411" s="108" t="str">
        <f>+'LISTA DE INSUMOS'!C650</f>
        <v>Un</v>
      </c>
      <c r="F3411" s="152">
        <v>0.03</v>
      </c>
      <c r="G3411" s="141">
        <f>+'LISTA DE INSUMOS'!E650</f>
        <v>116100.56750324999</v>
      </c>
      <c r="H3411" s="108">
        <v>1.03</v>
      </c>
      <c r="I3411" s="141">
        <f>ROUND((F3411*G3411*H3411),0)</f>
        <v>3588</v>
      </c>
      <c r="J3411" s="47"/>
      <c r="K3411" s="143"/>
    </row>
    <row r="3412" spans="2:11" ht="24.9" customHeight="1" thickTop="1" thickBot="1" x14ac:dyDescent="0.25">
      <c r="B3412" s="250" t="s">
        <v>1034</v>
      </c>
      <c r="C3412" s="108" t="str">
        <f>+'LISTA DE INSUMOS'!A18</f>
        <v>MOB015</v>
      </c>
      <c r="D3412" s="139" t="str">
        <f>+'LISTA DE INSUMOS'!B18</f>
        <v>Cuadrilla E 1 Of + 1 Ay (jornal + prestaciones)</v>
      </c>
      <c r="E3412" s="108" t="str">
        <f>+'LISTA DE INSUMOS'!C18</f>
        <v>Día</v>
      </c>
      <c r="F3412" s="140">
        <v>1</v>
      </c>
      <c r="G3412" s="141">
        <f>'LISTA DE INSUMOS'!E18</f>
        <v>245584</v>
      </c>
      <c r="H3412" s="108">
        <f>1/35</f>
        <v>2.8571428571428571E-2</v>
      </c>
      <c r="I3412" s="141">
        <f>ROUND((F3412*G3412*H3412),0)</f>
        <v>7017</v>
      </c>
      <c r="J3412" s="47"/>
      <c r="K3412" s="143"/>
    </row>
    <row r="3413" spans="2:11" ht="24.9" customHeight="1" thickTop="1" x14ac:dyDescent="0.2">
      <c r="B3413" s="647" t="s">
        <v>1033</v>
      </c>
      <c r="C3413" s="108" t="str">
        <f>+'LISTA DE INSUMOS'!A762</f>
        <v>EQU006</v>
      </c>
      <c r="D3413" s="139" t="str">
        <f>+'LISTA DE INSUMOS'!B762</f>
        <v>Andamio (% mano obra)</v>
      </c>
      <c r="E3413" s="108" t="str">
        <f>+'LISTA DE INSUMOS'!C762</f>
        <v>%MO</v>
      </c>
      <c r="F3413" s="140">
        <v>0.1</v>
      </c>
      <c r="G3413" s="141">
        <f>I3412</f>
        <v>7017</v>
      </c>
      <c r="H3413" s="108">
        <v>0</v>
      </c>
      <c r="I3413" s="141">
        <f>ROUND((F3413*G3413),0)</f>
        <v>702</v>
      </c>
      <c r="J3413" s="47"/>
      <c r="K3413" s="143"/>
    </row>
    <row r="3414" spans="2:11" ht="24.9" customHeight="1" thickBot="1" x14ac:dyDescent="0.25">
      <c r="B3414" s="704"/>
      <c r="C3414" s="145" t="str">
        <f>+'LISTA DE INSUMOS'!A758</f>
        <v>EQU002</v>
      </c>
      <c r="D3414" s="146" t="str">
        <f>+'LISTA DE INSUMOS'!B758</f>
        <v>Herramienta menor (% mano obra)</v>
      </c>
      <c r="E3414" s="145" t="str">
        <f>+'LISTA DE INSUMOS'!C758</f>
        <v>%MO</v>
      </c>
      <c r="F3414" s="147">
        <v>0.1</v>
      </c>
      <c r="G3414" s="148">
        <f>I3412</f>
        <v>7017</v>
      </c>
      <c r="H3414" s="145">
        <v>0</v>
      </c>
      <c r="I3414" s="148">
        <f>ROUND((F3414*G3414),0)</f>
        <v>702</v>
      </c>
      <c r="J3414" s="47"/>
      <c r="K3414" s="143"/>
    </row>
    <row r="3415" spans="2:11" ht="24.9" customHeight="1" x14ac:dyDescent="0.2">
      <c r="B3415" s="193" t="s">
        <v>2966</v>
      </c>
      <c r="C3415" s="117"/>
      <c r="D3415" s="112" t="s">
        <v>1446</v>
      </c>
      <c r="E3415" s="117" t="s">
        <v>1412</v>
      </c>
      <c r="F3415" s="149"/>
      <c r="G3415" s="119">
        <f>ROUND(SUM(I3416:I3422),0)</f>
        <v>41856</v>
      </c>
      <c r="H3415" s="120"/>
      <c r="I3415" s="119"/>
      <c r="J3415" s="47"/>
      <c r="K3415" s="143"/>
    </row>
    <row r="3416" spans="2:11" ht="24.9" customHeight="1" x14ac:dyDescent="0.2">
      <c r="B3416" s="672" t="s">
        <v>1035</v>
      </c>
      <c r="C3416" s="108" t="str">
        <f>+'LISTA DE INSUMOS'!A316</f>
        <v>MAT292</v>
      </c>
      <c r="D3416" s="139" t="str">
        <f>+'LISTA DE INSUMOS'!B316</f>
        <v>Tubería PVC agua lluvia de 4"</v>
      </c>
      <c r="E3416" s="108" t="str">
        <f>+'LISTA DE INSUMOS'!C316</f>
        <v>M</v>
      </c>
      <c r="F3416" s="140">
        <v>1</v>
      </c>
      <c r="G3416" s="141">
        <f>+'LISTA DE INSUMOS'!E316</f>
        <v>19769.425092370795</v>
      </c>
      <c r="H3416" s="108">
        <v>1.05</v>
      </c>
      <c r="I3416" s="141">
        <f>ROUND((F3416*G3416*H3416),0)</f>
        <v>20758</v>
      </c>
      <c r="J3416" s="47"/>
      <c r="K3416" s="143"/>
    </row>
    <row r="3417" spans="2:11" ht="24.9" customHeight="1" x14ac:dyDescent="0.2">
      <c r="B3417" s="672"/>
      <c r="C3417" s="108" t="str">
        <f>+'LISTA DE INSUMOS'!A375</f>
        <v>MAT369</v>
      </c>
      <c r="D3417" s="139" t="str">
        <f>+'LISTA DE INSUMOS'!B375</f>
        <v>Accesorios PVC agua lluvia (% tubería)</v>
      </c>
      <c r="E3417" s="108" t="str">
        <f>+'LISTA DE INSUMOS'!C375</f>
        <v>%Tub</v>
      </c>
      <c r="F3417" s="140">
        <v>0.32</v>
      </c>
      <c r="G3417" s="141">
        <f>I3416</f>
        <v>20758</v>
      </c>
      <c r="H3417" s="108">
        <v>0</v>
      </c>
      <c r="I3417" s="141">
        <f>ROUND((F3417*G3417),0)</f>
        <v>6643</v>
      </c>
      <c r="J3417" s="47"/>
      <c r="K3417" s="143"/>
    </row>
    <row r="3418" spans="2:11" ht="31.5" customHeight="1" x14ac:dyDescent="0.2">
      <c r="B3418" s="672"/>
      <c r="C3418" s="108" t="str">
        <f>+'LISTA DE INSUMOS'!A651</f>
        <v>MAT667</v>
      </c>
      <c r="D3418" s="139" t="str">
        <f>+'LISTA DE INSUMOS'!B651</f>
        <v>Limpiador removedor PVC 1/4</v>
      </c>
      <c r="E3418" s="108" t="str">
        <f>+'LISTA DE INSUMOS'!C651</f>
        <v>Un</v>
      </c>
      <c r="F3418" s="152">
        <v>0.04</v>
      </c>
      <c r="G3418" s="141">
        <f>+'LISTA DE INSUMOS'!E651</f>
        <v>55927.469152499994</v>
      </c>
      <c r="H3418" s="108">
        <v>1.03</v>
      </c>
      <c r="I3418" s="141">
        <f>ROUND((F3418*G3418*H3418),0)</f>
        <v>2304</v>
      </c>
      <c r="J3418" s="47"/>
      <c r="K3418" s="143"/>
    </row>
    <row r="3419" spans="2:11" ht="24.9" customHeight="1" thickBot="1" x14ac:dyDescent="0.25">
      <c r="B3419" s="673"/>
      <c r="C3419" s="108" t="str">
        <f>+'LISTA DE INSUMOS'!A650</f>
        <v>MAT666</v>
      </c>
      <c r="D3419" s="139" t="str">
        <f>+'LISTA DE INSUMOS'!B650</f>
        <v>Soldadura liquida para PVC 1/4 GL</v>
      </c>
      <c r="E3419" s="108" t="str">
        <f>+'LISTA DE INSUMOS'!C650</f>
        <v>Un</v>
      </c>
      <c r="F3419" s="152">
        <v>0.04</v>
      </c>
      <c r="G3419" s="141">
        <f>+'LISTA DE INSUMOS'!E650</f>
        <v>116100.56750324999</v>
      </c>
      <c r="H3419" s="108">
        <v>1.03</v>
      </c>
      <c r="I3419" s="141">
        <f>ROUND((F3419*G3419*H3419),0)</f>
        <v>4783</v>
      </c>
      <c r="J3419" s="47"/>
      <c r="K3419" s="143"/>
    </row>
    <row r="3420" spans="2:11" ht="24.9" customHeight="1" thickTop="1" thickBot="1" x14ac:dyDescent="0.25">
      <c r="B3420" s="250" t="s">
        <v>1034</v>
      </c>
      <c r="C3420" s="108" t="str">
        <f>+'LISTA DE INSUMOS'!A18</f>
        <v>MOB015</v>
      </c>
      <c r="D3420" s="139" t="str">
        <f>+'LISTA DE INSUMOS'!B18</f>
        <v>Cuadrilla E 1 Of + 1 Ay (jornal + prestaciones)</v>
      </c>
      <c r="E3420" s="108" t="str">
        <f>+'LISTA DE INSUMOS'!C18</f>
        <v>Día</v>
      </c>
      <c r="F3420" s="140">
        <v>1</v>
      </c>
      <c r="G3420" s="141">
        <f>'LISTA DE INSUMOS'!E18</f>
        <v>245584</v>
      </c>
      <c r="H3420" s="108">
        <f>1/40</f>
        <v>2.5000000000000001E-2</v>
      </c>
      <c r="I3420" s="141">
        <f>ROUND((F3420*G3420*H3420),0)</f>
        <v>6140</v>
      </c>
      <c r="J3420" s="47"/>
      <c r="K3420" s="143"/>
    </row>
    <row r="3421" spans="2:11" ht="24.9" customHeight="1" thickTop="1" x14ac:dyDescent="0.2">
      <c r="B3421" s="647" t="s">
        <v>1033</v>
      </c>
      <c r="C3421" s="108" t="str">
        <f>+'LISTA DE INSUMOS'!A762</f>
        <v>EQU006</v>
      </c>
      <c r="D3421" s="139" t="str">
        <f>+'LISTA DE INSUMOS'!B762</f>
        <v>Andamio (% mano obra)</v>
      </c>
      <c r="E3421" s="108" t="str">
        <f>+'LISTA DE INSUMOS'!C762</f>
        <v>%MO</v>
      </c>
      <c r="F3421" s="140">
        <v>0.1</v>
      </c>
      <c r="G3421" s="141">
        <f>I3420</f>
        <v>6140</v>
      </c>
      <c r="H3421" s="108">
        <v>0</v>
      </c>
      <c r="I3421" s="141">
        <f>ROUND((F3421*G3421),0)</f>
        <v>614</v>
      </c>
      <c r="J3421" s="47"/>
      <c r="K3421" s="143"/>
    </row>
    <row r="3422" spans="2:11" ht="24.9" customHeight="1" thickBot="1" x14ac:dyDescent="0.25">
      <c r="B3422" s="704"/>
      <c r="C3422" s="145" t="str">
        <f>+'LISTA DE INSUMOS'!A758</f>
        <v>EQU002</v>
      </c>
      <c r="D3422" s="146" t="str">
        <f>+'LISTA DE INSUMOS'!B758</f>
        <v>Herramienta menor (% mano obra)</v>
      </c>
      <c r="E3422" s="145" t="str">
        <f>+'LISTA DE INSUMOS'!C758</f>
        <v>%MO</v>
      </c>
      <c r="F3422" s="147">
        <v>0.1</v>
      </c>
      <c r="G3422" s="148">
        <f>I3420</f>
        <v>6140</v>
      </c>
      <c r="H3422" s="145">
        <v>0</v>
      </c>
      <c r="I3422" s="148">
        <f>ROUND((F3422*G3422),0)</f>
        <v>614</v>
      </c>
      <c r="J3422" s="47"/>
      <c r="K3422" s="143"/>
    </row>
    <row r="3423" spans="2:11" ht="24.9" customHeight="1" x14ac:dyDescent="0.2">
      <c r="B3423" s="193" t="s">
        <v>1497</v>
      </c>
      <c r="C3423" s="117"/>
      <c r="D3423" s="112" t="s">
        <v>2263</v>
      </c>
      <c r="E3423" s="117" t="s">
        <v>1412</v>
      </c>
      <c r="F3423" s="149"/>
      <c r="G3423" s="119">
        <f>ROUND(SUM(I3424:I3431),0)</f>
        <v>66604</v>
      </c>
      <c r="H3423" s="120"/>
      <c r="I3423" s="119"/>
      <c r="J3423" s="47"/>
      <c r="K3423" s="143"/>
    </row>
    <row r="3424" spans="2:11" ht="24.9" customHeight="1" x14ac:dyDescent="0.2">
      <c r="B3424" s="672" t="s">
        <v>1035</v>
      </c>
      <c r="C3424" s="108" t="str">
        <f>+'LISTA DE INSUMOS'!A105</f>
        <v>MAT065</v>
      </c>
      <c r="D3424" s="139" t="str">
        <f>+'LISTA DE INSUMOS'!B105</f>
        <v>Tubería PVC agua lluvia cuadrada Amazonas</v>
      </c>
      <c r="E3424" s="108" t="str">
        <f>+'LISTA DE INSUMOS'!C105</f>
        <v>M</v>
      </c>
      <c r="F3424" s="140">
        <v>1</v>
      </c>
      <c r="G3424" s="141">
        <f>'LISTA DE INSUMOS'!E105</f>
        <v>31395.405710256</v>
      </c>
      <c r="H3424" s="108">
        <v>1.05</v>
      </c>
      <c r="I3424" s="141">
        <f>ROUND((F3424*G3424*H3424),0)</f>
        <v>32965</v>
      </c>
      <c r="J3424" s="47"/>
      <c r="K3424" s="143"/>
    </row>
    <row r="3425" spans="2:11" ht="24.9" customHeight="1" x14ac:dyDescent="0.2">
      <c r="B3425" s="672"/>
      <c r="C3425" s="108" t="str">
        <f>+'LISTA DE INSUMOS'!A375</f>
        <v>MAT369</v>
      </c>
      <c r="D3425" s="139" t="str">
        <f>+'LISTA DE INSUMOS'!B375</f>
        <v>Accesorios PVC agua lluvia (% tubería)</v>
      </c>
      <c r="E3425" s="108" t="str">
        <f>+'LISTA DE INSUMOS'!C375</f>
        <v>%Tub</v>
      </c>
      <c r="F3425" s="140">
        <v>0.32</v>
      </c>
      <c r="G3425" s="141">
        <f>I3424</f>
        <v>32965</v>
      </c>
      <c r="H3425" s="108">
        <v>0</v>
      </c>
      <c r="I3425" s="141">
        <f>ROUND((F3425*G3425),0)</f>
        <v>10549</v>
      </c>
      <c r="J3425" s="47"/>
      <c r="K3425" s="143"/>
    </row>
    <row r="3426" spans="2:11" ht="24.9" customHeight="1" x14ac:dyDescent="0.2">
      <c r="B3426" s="672"/>
      <c r="C3426" s="108" t="str">
        <f>+'LISTA DE INSUMOS'!A325</f>
        <v>MAT302</v>
      </c>
      <c r="D3426" s="139" t="str">
        <f>+'LISTA DE INSUMOS'!B325</f>
        <v xml:space="preserve">Soporte bajante PVC </v>
      </c>
      <c r="E3426" s="108" t="str">
        <f>+'LISTA DE INSUMOS'!C325</f>
        <v>Un</v>
      </c>
      <c r="F3426" s="140">
        <v>1.5</v>
      </c>
      <c r="G3426" s="141">
        <f>'LISTA DE INSUMOS'!E325</f>
        <v>3991.0106993988002</v>
      </c>
      <c r="H3426" s="108">
        <v>0</v>
      </c>
      <c r="I3426" s="141">
        <f>ROUND((F3426*G3426),0)</f>
        <v>5987</v>
      </c>
      <c r="J3426" s="47"/>
      <c r="K3426" s="143"/>
    </row>
    <row r="3427" spans="2:11" ht="24.9" customHeight="1" x14ac:dyDescent="0.2">
      <c r="B3427" s="672"/>
      <c r="C3427" s="108" t="str">
        <f>+'LISTA DE INSUMOS'!A651</f>
        <v>MAT667</v>
      </c>
      <c r="D3427" s="139" t="str">
        <f>+'LISTA DE INSUMOS'!B651</f>
        <v>Limpiador removedor PVC 1/4</v>
      </c>
      <c r="E3427" s="108" t="str">
        <f>+'LISTA DE INSUMOS'!C651</f>
        <v>Un</v>
      </c>
      <c r="F3427" s="152">
        <v>0.03</v>
      </c>
      <c r="G3427" s="141">
        <f>+'LISTA DE INSUMOS'!E651</f>
        <v>55927.469152499994</v>
      </c>
      <c r="H3427" s="108">
        <v>1.03</v>
      </c>
      <c r="I3427" s="141">
        <f>ROUND((F3427*G3427*H3427),0)</f>
        <v>1728</v>
      </c>
      <c r="J3427" s="47"/>
      <c r="K3427" s="143"/>
    </row>
    <row r="3428" spans="2:11" ht="24.9" customHeight="1" thickBot="1" x14ac:dyDescent="0.25">
      <c r="B3428" s="673"/>
      <c r="C3428" s="108" t="str">
        <f>+'LISTA DE INSUMOS'!A650</f>
        <v>MAT666</v>
      </c>
      <c r="D3428" s="139" t="str">
        <f>+'LISTA DE INSUMOS'!B650</f>
        <v>Soldadura liquida para PVC 1/4 GL</v>
      </c>
      <c r="E3428" s="108" t="str">
        <f>+'LISTA DE INSUMOS'!C650</f>
        <v>Un</v>
      </c>
      <c r="F3428" s="152">
        <v>0.03</v>
      </c>
      <c r="G3428" s="141">
        <f>+'LISTA DE INSUMOS'!E650</f>
        <v>116100.56750324999</v>
      </c>
      <c r="H3428" s="108">
        <v>1.03</v>
      </c>
      <c r="I3428" s="141">
        <f>ROUND((F3428*G3428*H3428),0)</f>
        <v>3588</v>
      </c>
      <c r="J3428" s="47"/>
      <c r="K3428" s="143"/>
    </row>
    <row r="3429" spans="2:11" ht="24.9" customHeight="1" thickTop="1" thickBot="1" x14ac:dyDescent="0.25">
      <c r="B3429" s="250" t="s">
        <v>1034</v>
      </c>
      <c r="C3429" s="108" t="str">
        <f>+'LISTA DE INSUMOS'!A18</f>
        <v>MOB015</v>
      </c>
      <c r="D3429" s="139" t="str">
        <f>+'LISTA DE INSUMOS'!B18</f>
        <v>Cuadrilla E 1 Of + 1 Ay (jornal + prestaciones)</v>
      </c>
      <c r="E3429" s="108" t="str">
        <f>+'LISTA DE INSUMOS'!C18</f>
        <v>Día</v>
      </c>
      <c r="F3429" s="140">
        <v>1</v>
      </c>
      <c r="G3429" s="141">
        <f>'LISTA DE INSUMOS'!E18</f>
        <v>245584</v>
      </c>
      <c r="H3429" s="108">
        <f>1/25</f>
        <v>0.04</v>
      </c>
      <c r="I3429" s="141">
        <f>ROUND((F3429*G3429*H3429),0)</f>
        <v>9823</v>
      </c>
      <c r="J3429" s="47"/>
      <c r="K3429" s="143"/>
    </row>
    <row r="3430" spans="2:11" ht="24.9" customHeight="1" thickTop="1" x14ac:dyDescent="0.2">
      <c r="B3430" s="647" t="s">
        <v>1033</v>
      </c>
      <c r="C3430" s="108" t="str">
        <f>+'LISTA DE INSUMOS'!A762</f>
        <v>EQU006</v>
      </c>
      <c r="D3430" s="139" t="str">
        <f>+'LISTA DE INSUMOS'!B762</f>
        <v>Andamio (% mano obra)</v>
      </c>
      <c r="E3430" s="108" t="str">
        <f>+'LISTA DE INSUMOS'!C762</f>
        <v>%MO</v>
      </c>
      <c r="F3430" s="140">
        <v>0.1</v>
      </c>
      <c r="G3430" s="141">
        <f>I3429</f>
        <v>9823</v>
      </c>
      <c r="H3430" s="108">
        <v>0</v>
      </c>
      <c r="I3430" s="141">
        <f>ROUND((F3430*G3430),0)</f>
        <v>982</v>
      </c>
      <c r="J3430" s="47"/>
      <c r="K3430" s="143"/>
    </row>
    <row r="3431" spans="2:11" ht="30" customHeight="1" thickBot="1" x14ac:dyDescent="0.25">
      <c r="B3431" s="704"/>
      <c r="C3431" s="145" t="str">
        <f>+'LISTA DE INSUMOS'!A758</f>
        <v>EQU002</v>
      </c>
      <c r="D3431" s="146" t="str">
        <f>+'LISTA DE INSUMOS'!B758</f>
        <v>Herramienta menor (% mano obra)</v>
      </c>
      <c r="E3431" s="145" t="str">
        <f>+'LISTA DE INSUMOS'!C758</f>
        <v>%MO</v>
      </c>
      <c r="F3431" s="147">
        <v>0.1</v>
      </c>
      <c r="G3431" s="148">
        <f>I3429</f>
        <v>9823</v>
      </c>
      <c r="H3431" s="145">
        <v>0</v>
      </c>
      <c r="I3431" s="148">
        <f>ROUND((F3431*G3431),0)</f>
        <v>982</v>
      </c>
      <c r="J3431" s="47"/>
      <c r="K3431" s="143"/>
    </row>
    <row r="3432" spans="2:11" ht="30" customHeight="1" x14ac:dyDescent="0.2">
      <c r="B3432" s="193" t="s">
        <v>1500</v>
      </c>
      <c r="C3432" s="117"/>
      <c r="D3432" s="112" t="s">
        <v>2259</v>
      </c>
      <c r="E3432" s="117" t="s">
        <v>1412</v>
      </c>
      <c r="F3432" s="149"/>
      <c r="G3432" s="119">
        <f>ROUND(SUM(I3433:I3437),0)</f>
        <v>67440</v>
      </c>
      <c r="H3432" s="120"/>
      <c r="I3432" s="119"/>
      <c r="J3432" s="47"/>
      <c r="K3432" s="143"/>
    </row>
    <row r="3433" spans="2:11" ht="30" customHeight="1" x14ac:dyDescent="0.2">
      <c r="B3433" s="657" t="s">
        <v>1325</v>
      </c>
      <c r="C3433" s="108" t="str">
        <f>+'LISTA DE INSUMOS'!A100</f>
        <v>MAT060</v>
      </c>
      <c r="D3433" s="139" t="str">
        <f>+'LISTA DE INSUMOS'!B100</f>
        <v>Canal PVC Amazonas</v>
      </c>
      <c r="E3433" s="108" t="str">
        <f>+'LISTA DE INSUMOS'!C100</f>
        <v>M</v>
      </c>
      <c r="F3433" s="140">
        <v>1</v>
      </c>
      <c r="G3433" s="141">
        <f>'LISTA DE INSUMOS'!E100</f>
        <v>31770.646319999996</v>
      </c>
      <c r="H3433" s="108">
        <v>1.03</v>
      </c>
      <c r="I3433" s="141">
        <f>ROUND((F3433*G3433*H3433),0)</f>
        <v>32724</v>
      </c>
      <c r="J3433" s="47"/>
      <c r="K3433" s="143"/>
    </row>
    <row r="3434" spans="2:11" ht="30" customHeight="1" thickBot="1" x14ac:dyDescent="0.25">
      <c r="B3434" s="659"/>
      <c r="C3434" s="108" t="str">
        <f>+'LISTA DE INSUMOS'!A333</f>
        <v>MAT316</v>
      </c>
      <c r="D3434" s="256" t="str">
        <f>+'LISTA DE INSUMOS'!B333</f>
        <v>Accesorios y soportes canal PVC Amazonas promedio</v>
      </c>
      <c r="E3434" s="108" t="str">
        <f>+'LISTA DE INSUMOS'!C333</f>
        <v>Un</v>
      </c>
      <c r="F3434" s="140">
        <v>1</v>
      </c>
      <c r="G3434" s="141">
        <f>'LISTA DE INSUMOS'!E333</f>
        <v>15069.971810770799</v>
      </c>
      <c r="H3434" s="108">
        <v>0</v>
      </c>
      <c r="I3434" s="141">
        <f>ROUND((F3434*G3434),0)</f>
        <v>15070</v>
      </c>
      <c r="J3434" s="47"/>
      <c r="K3434" s="143"/>
    </row>
    <row r="3435" spans="2:11" ht="24.9" customHeight="1" thickTop="1" thickBot="1" x14ac:dyDescent="0.25">
      <c r="B3435" s="250" t="s">
        <v>1034</v>
      </c>
      <c r="C3435" s="108" t="str">
        <f>+'LISTA DE INSUMOS'!A18</f>
        <v>MOB015</v>
      </c>
      <c r="D3435" s="139" t="str">
        <f>+'LISTA DE INSUMOS'!B18</f>
        <v>Cuadrilla E 1 Of + 1 Ay (jornal + prestaciones)</v>
      </c>
      <c r="E3435" s="108" t="str">
        <f>+'LISTA DE INSUMOS'!C18</f>
        <v>Día</v>
      </c>
      <c r="F3435" s="140">
        <v>1</v>
      </c>
      <c r="G3435" s="141">
        <f>'LISTA DE INSUMOS'!E18</f>
        <v>245584</v>
      </c>
      <c r="H3435" s="108">
        <f>1/15</f>
        <v>6.6666666666666666E-2</v>
      </c>
      <c r="I3435" s="141">
        <f>ROUND((F3435*G3435*H3435),0)</f>
        <v>16372</v>
      </c>
      <c r="J3435" s="47"/>
      <c r="K3435" s="143"/>
    </row>
    <row r="3436" spans="2:11" ht="24.9" customHeight="1" thickTop="1" x14ac:dyDescent="0.2">
      <c r="B3436" s="647" t="s">
        <v>1033</v>
      </c>
      <c r="C3436" s="108" t="str">
        <f>+'LISTA DE INSUMOS'!A762</f>
        <v>EQU006</v>
      </c>
      <c r="D3436" s="139" t="str">
        <f>+'LISTA DE INSUMOS'!B762</f>
        <v>Andamio (% mano obra)</v>
      </c>
      <c r="E3436" s="108" t="str">
        <f>+'LISTA DE INSUMOS'!C762</f>
        <v>%MO</v>
      </c>
      <c r="F3436" s="140">
        <v>0.1</v>
      </c>
      <c r="G3436" s="141">
        <f>I3435</f>
        <v>16372</v>
      </c>
      <c r="H3436" s="108">
        <v>0</v>
      </c>
      <c r="I3436" s="141">
        <f>ROUND((F3436*G3436),0)</f>
        <v>1637</v>
      </c>
      <c r="J3436" s="47"/>
      <c r="K3436" s="143"/>
    </row>
    <row r="3437" spans="2:11" ht="24.9" customHeight="1" thickBot="1" x14ac:dyDescent="0.25">
      <c r="B3437" s="704"/>
      <c r="C3437" s="145" t="str">
        <f>+'LISTA DE INSUMOS'!A758</f>
        <v>EQU002</v>
      </c>
      <c r="D3437" s="146" t="str">
        <f>+'LISTA DE INSUMOS'!B758</f>
        <v>Herramienta menor (% mano obra)</v>
      </c>
      <c r="E3437" s="145" t="str">
        <f>+'LISTA DE INSUMOS'!C758</f>
        <v>%MO</v>
      </c>
      <c r="F3437" s="147">
        <v>0.1</v>
      </c>
      <c r="G3437" s="148">
        <f>I3435</f>
        <v>16372</v>
      </c>
      <c r="H3437" s="145">
        <v>0</v>
      </c>
      <c r="I3437" s="148">
        <f>ROUND((F3437*G3437),0)</f>
        <v>1637</v>
      </c>
      <c r="J3437" s="47"/>
      <c r="K3437" s="143"/>
    </row>
    <row r="3438" spans="2:11" ht="30" customHeight="1" x14ac:dyDescent="0.2">
      <c r="B3438" s="117" t="s">
        <v>2967</v>
      </c>
      <c r="C3438" s="120"/>
      <c r="D3438" s="231" t="s">
        <v>1999</v>
      </c>
      <c r="E3438" s="120" t="s">
        <v>1412</v>
      </c>
      <c r="F3438" s="138"/>
      <c r="G3438" s="119">
        <f>ROUND(SUM(I3439:I3446),0)</f>
        <v>33794</v>
      </c>
      <c r="H3438" s="120"/>
      <c r="I3438" s="119"/>
      <c r="J3438" s="47"/>
      <c r="K3438" s="143"/>
    </row>
    <row r="3439" spans="2:11" ht="30" customHeight="1" x14ac:dyDescent="0.2">
      <c r="B3439" s="672" t="s">
        <v>1035</v>
      </c>
      <c r="C3439" s="108" t="str">
        <f>+'LISTA DE INSUMOS'!A417</f>
        <v>MAT429</v>
      </c>
      <c r="D3439" s="139" t="str">
        <f>+'LISTA DE INSUMOS'!B417</f>
        <v>Tubería PVC de ventilación de 2"</v>
      </c>
      <c r="E3439" s="108" t="str">
        <f>+'LISTA DE INSUMOS'!C417</f>
        <v>M</v>
      </c>
      <c r="F3439" s="140">
        <v>1</v>
      </c>
      <c r="G3439" s="141">
        <f>'LISTA DE INSUMOS'!E417</f>
        <v>9291.7996627499997</v>
      </c>
      <c r="H3439" s="108">
        <v>1.05</v>
      </c>
      <c r="I3439" s="141">
        <f>ROUND((F3439*G3439*H3439),0)</f>
        <v>9756</v>
      </c>
      <c r="J3439" s="47"/>
      <c r="K3439" s="143"/>
    </row>
    <row r="3440" spans="2:11" ht="24.9" customHeight="1" x14ac:dyDescent="0.2">
      <c r="B3440" s="672"/>
      <c r="C3440" s="108" t="str">
        <f>+'LISTA DE INSUMOS'!A375</f>
        <v>MAT369</v>
      </c>
      <c r="D3440" s="139" t="str">
        <f>+'LISTA DE INSUMOS'!B375</f>
        <v>Accesorios PVC agua lluvia (% tubería)</v>
      </c>
      <c r="E3440" s="108" t="str">
        <f>+'LISTA DE INSUMOS'!C375</f>
        <v>%Tub</v>
      </c>
      <c r="F3440" s="140">
        <v>0.48</v>
      </c>
      <c r="G3440" s="141">
        <f>I3439</f>
        <v>9756</v>
      </c>
      <c r="H3440" s="108">
        <v>0</v>
      </c>
      <c r="I3440" s="141">
        <f>ROUND((F3440*G3440),0)</f>
        <v>4683</v>
      </c>
      <c r="J3440" s="47"/>
      <c r="K3440" s="143"/>
    </row>
    <row r="3441" spans="2:11" ht="24.9" customHeight="1" x14ac:dyDescent="0.2">
      <c r="B3441" s="672"/>
      <c r="C3441" s="108" t="str">
        <f>+'LISTA DE INSUMOS'!A325</f>
        <v>MAT302</v>
      </c>
      <c r="D3441" s="139" t="str">
        <f>+'LISTA DE INSUMOS'!B325</f>
        <v xml:space="preserve">Soporte bajante PVC </v>
      </c>
      <c r="E3441" s="108" t="str">
        <f>+'LISTA DE INSUMOS'!C325</f>
        <v>Un</v>
      </c>
      <c r="F3441" s="140">
        <v>1.5</v>
      </c>
      <c r="G3441" s="141">
        <f>'LISTA DE INSUMOS'!E325</f>
        <v>3991.0106993988002</v>
      </c>
      <c r="H3441" s="108">
        <v>0</v>
      </c>
      <c r="I3441" s="141">
        <f>ROUND((F3441*G3441),0)</f>
        <v>5987</v>
      </c>
      <c r="J3441" s="47"/>
      <c r="K3441" s="143"/>
    </row>
    <row r="3442" spans="2:11" ht="24.9" customHeight="1" x14ac:dyDescent="0.2">
      <c r="B3442" s="672"/>
      <c r="C3442" s="108" t="str">
        <f>+'LISTA DE INSUMOS'!A651</f>
        <v>MAT667</v>
      </c>
      <c r="D3442" s="139" t="str">
        <f>+'LISTA DE INSUMOS'!B651</f>
        <v>Limpiador removedor PVC 1/4</v>
      </c>
      <c r="E3442" s="108" t="str">
        <f>+'LISTA DE INSUMOS'!C651</f>
        <v>Un</v>
      </c>
      <c r="F3442" s="152">
        <v>0.02</v>
      </c>
      <c r="G3442" s="141">
        <f>+'LISTA DE INSUMOS'!E651</f>
        <v>55927.469152499994</v>
      </c>
      <c r="H3442" s="108">
        <v>1.03</v>
      </c>
      <c r="I3442" s="141">
        <f>ROUND((F3442*G3442*H3442),0)</f>
        <v>1152</v>
      </c>
      <c r="J3442" s="47"/>
      <c r="K3442" s="143"/>
    </row>
    <row r="3443" spans="2:11" ht="24.9" customHeight="1" thickBot="1" x14ac:dyDescent="0.25">
      <c r="B3443" s="673"/>
      <c r="C3443" s="108" t="str">
        <f>+'LISTA DE INSUMOS'!A650</f>
        <v>MAT666</v>
      </c>
      <c r="D3443" s="139" t="str">
        <f>+'LISTA DE INSUMOS'!B650</f>
        <v>Soldadura liquida para PVC 1/4 GL</v>
      </c>
      <c r="E3443" s="108" t="str">
        <f>+'LISTA DE INSUMOS'!C650</f>
        <v>Un</v>
      </c>
      <c r="F3443" s="152">
        <v>0.02</v>
      </c>
      <c r="G3443" s="141">
        <f>+'LISTA DE INSUMOS'!E650</f>
        <v>116100.56750324999</v>
      </c>
      <c r="H3443" s="108">
        <v>1.03</v>
      </c>
      <c r="I3443" s="141">
        <f>ROUND((F3443*G3443*H3443),0)</f>
        <v>2392</v>
      </c>
      <c r="J3443" s="47"/>
      <c r="K3443" s="143"/>
    </row>
    <row r="3444" spans="2:11" ht="24.9" customHeight="1" thickTop="1" thickBot="1" x14ac:dyDescent="0.25">
      <c r="B3444" s="250" t="s">
        <v>1034</v>
      </c>
      <c r="C3444" s="108" t="str">
        <f>'LISTA DE INSUMOS'!A18</f>
        <v>MOB015</v>
      </c>
      <c r="D3444" s="139" t="str">
        <f>'LISTA DE INSUMOS'!B18</f>
        <v>Cuadrilla E 1 Of + 1 Ay (jornal + prestaciones)</v>
      </c>
      <c r="E3444" s="108" t="str">
        <f>'LISTA DE INSUMOS'!C18</f>
        <v>Día</v>
      </c>
      <c r="F3444" s="140">
        <v>1</v>
      </c>
      <c r="G3444" s="141">
        <f>'LISTA DE INSUMOS'!E18</f>
        <v>245584</v>
      </c>
      <c r="H3444" s="108">
        <f>1/30</f>
        <v>3.3333333333333333E-2</v>
      </c>
      <c r="I3444" s="141">
        <f>ROUND((F3444*G3444*H3444),0)</f>
        <v>8186</v>
      </c>
      <c r="J3444" s="47"/>
      <c r="K3444" s="143"/>
    </row>
    <row r="3445" spans="2:11" ht="24.9" customHeight="1" thickTop="1" x14ac:dyDescent="0.2">
      <c r="B3445" s="647" t="s">
        <v>1033</v>
      </c>
      <c r="C3445" s="108" t="str">
        <f>'LISTA DE INSUMOS'!A762</f>
        <v>EQU006</v>
      </c>
      <c r="D3445" s="139" t="str">
        <f>'LISTA DE INSUMOS'!B762</f>
        <v>Andamio (% mano obra)</v>
      </c>
      <c r="E3445" s="108" t="str">
        <f>'LISTA DE INSUMOS'!C762</f>
        <v>%MO</v>
      </c>
      <c r="F3445" s="140">
        <v>0.1</v>
      </c>
      <c r="G3445" s="141">
        <f>I3444</f>
        <v>8186</v>
      </c>
      <c r="H3445" s="108">
        <v>0</v>
      </c>
      <c r="I3445" s="141">
        <f>ROUND((F3445*G3445),0)</f>
        <v>819</v>
      </c>
      <c r="J3445" s="47"/>
      <c r="K3445" s="143"/>
    </row>
    <row r="3446" spans="2:11" ht="24.9" customHeight="1" thickBot="1" x14ac:dyDescent="0.25">
      <c r="B3446" s="704"/>
      <c r="C3446" s="145" t="str">
        <f>'LISTA DE INSUMOS'!A758</f>
        <v>EQU002</v>
      </c>
      <c r="D3446" s="146" t="str">
        <f>'LISTA DE INSUMOS'!B758</f>
        <v>Herramienta menor (% mano obra)</v>
      </c>
      <c r="E3446" s="145" t="str">
        <f>'LISTA DE INSUMOS'!C758</f>
        <v>%MO</v>
      </c>
      <c r="F3446" s="147">
        <v>0.1</v>
      </c>
      <c r="G3446" s="148">
        <f>I3444</f>
        <v>8186</v>
      </c>
      <c r="H3446" s="145">
        <v>0</v>
      </c>
      <c r="I3446" s="148">
        <f>ROUND((F3446*G3446),0)</f>
        <v>819</v>
      </c>
      <c r="J3446" s="47"/>
      <c r="K3446" s="143"/>
    </row>
    <row r="3447" spans="2:11" ht="24.9" customHeight="1" x14ac:dyDescent="0.2">
      <c r="B3447" s="193" t="s">
        <v>1502</v>
      </c>
      <c r="C3447" s="117"/>
      <c r="D3447" s="112" t="s">
        <v>2001</v>
      </c>
      <c r="E3447" s="117" t="s">
        <v>1412</v>
      </c>
      <c r="F3447" s="149"/>
      <c r="G3447" s="119">
        <f>ROUND(SUM(I3448:I3455),0)</f>
        <v>37933</v>
      </c>
      <c r="H3447" s="120"/>
      <c r="I3447" s="119"/>
      <c r="J3447" s="47"/>
      <c r="K3447" s="143"/>
    </row>
    <row r="3448" spans="2:11" ht="24.9" customHeight="1" x14ac:dyDescent="0.2">
      <c r="B3448" s="672" t="s">
        <v>1035</v>
      </c>
      <c r="C3448" s="108" t="str">
        <f>+'LISTA DE INSUMOS'!A418</f>
        <v>MAT430</v>
      </c>
      <c r="D3448" s="139" t="str">
        <f>+'LISTA DE INSUMOS'!B418</f>
        <v>Tubería PVC de ventilación de 3"</v>
      </c>
      <c r="E3448" s="108" t="str">
        <f>+'LISTA DE INSUMOS'!C418</f>
        <v>M</v>
      </c>
      <c r="F3448" s="140">
        <v>1</v>
      </c>
      <c r="G3448" s="141">
        <f>'LISTA DE INSUMOS'!E418</f>
        <v>12125.494906305001</v>
      </c>
      <c r="H3448" s="108">
        <v>1.05</v>
      </c>
      <c r="I3448" s="141">
        <f>ROUND((F3448*G3448*H3448),0)</f>
        <v>12732</v>
      </c>
      <c r="J3448" s="47"/>
      <c r="K3448" s="143"/>
    </row>
    <row r="3449" spans="2:11" ht="24.9" customHeight="1" x14ac:dyDescent="0.2">
      <c r="B3449" s="672"/>
      <c r="C3449" s="108" t="str">
        <f>+'LISTA DE INSUMOS'!A375</f>
        <v>MAT369</v>
      </c>
      <c r="D3449" s="139" t="str">
        <f>+'LISTA DE INSUMOS'!B375</f>
        <v>Accesorios PVC agua lluvia (% tubería)</v>
      </c>
      <c r="E3449" s="108" t="str">
        <f>+'LISTA DE INSUMOS'!C375</f>
        <v>%Tub</v>
      </c>
      <c r="F3449" s="140">
        <v>0.32</v>
      </c>
      <c r="G3449" s="141">
        <f>I3448</f>
        <v>12732</v>
      </c>
      <c r="H3449" s="108">
        <v>0</v>
      </c>
      <c r="I3449" s="141">
        <f>ROUND((F3449*G3449),0)</f>
        <v>4074</v>
      </c>
      <c r="J3449" s="47"/>
      <c r="K3449" s="143"/>
    </row>
    <row r="3450" spans="2:11" ht="24.9" customHeight="1" x14ac:dyDescent="0.2">
      <c r="B3450" s="672"/>
      <c r="C3450" s="108" t="str">
        <f>+'LISTA DE INSUMOS'!A325</f>
        <v>MAT302</v>
      </c>
      <c r="D3450" s="139" t="str">
        <f>+'LISTA DE INSUMOS'!B325</f>
        <v xml:space="preserve">Soporte bajante PVC </v>
      </c>
      <c r="E3450" s="108" t="str">
        <f>+'LISTA DE INSUMOS'!C325</f>
        <v>Un</v>
      </c>
      <c r="F3450" s="140">
        <v>1.5</v>
      </c>
      <c r="G3450" s="141">
        <f>'LISTA DE INSUMOS'!E325</f>
        <v>3991.0106993988002</v>
      </c>
      <c r="H3450" s="108">
        <v>0</v>
      </c>
      <c r="I3450" s="141">
        <f>ROUND((F3450*G3450),0)</f>
        <v>5987</v>
      </c>
      <c r="J3450" s="47"/>
      <c r="K3450" s="143"/>
    </row>
    <row r="3451" spans="2:11" ht="24.9" customHeight="1" x14ac:dyDescent="0.2">
      <c r="B3451" s="672"/>
      <c r="C3451" s="108" t="str">
        <f>+'LISTA DE INSUMOS'!A651</f>
        <v>MAT667</v>
      </c>
      <c r="D3451" s="139" t="str">
        <f>+'LISTA DE INSUMOS'!B651</f>
        <v>Limpiador removedor PVC 1/4</v>
      </c>
      <c r="E3451" s="108" t="str">
        <f>+'LISTA DE INSUMOS'!C651</f>
        <v>Un</v>
      </c>
      <c r="F3451" s="152">
        <v>0.03</v>
      </c>
      <c r="G3451" s="141">
        <f>+'LISTA DE INSUMOS'!E651</f>
        <v>55927.469152499994</v>
      </c>
      <c r="H3451" s="108">
        <v>1.03</v>
      </c>
      <c r="I3451" s="141">
        <f>ROUND((F3451*G3451*H3451),0)</f>
        <v>1728</v>
      </c>
      <c r="J3451" s="47"/>
      <c r="K3451" s="143"/>
    </row>
    <row r="3452" spans="2:11" ht="24.9" customHeight="1" thickBot="1" x14ac:dyDescent="0.25">
      <c r="B3452" s="673"/>
      <c r="C3452" s="108" t="str">
        <f>+'LISTA DE INSUMOS'!A650</f>
        <v>MAT666</v>
      </c>
      <c r="D3452" s="139" t="str">
        <f>+'LISTA DE INSUMOS'!B650</f>
        <v>Soldadura liquida para PVC 1/4 GL</v>
      </c>
      <c r="E3452" s="108" t="str">
        <f>+'LISTA DE INSUMOS'!C650</f>
        <v>Un</v>
      </c>
      <c r="F3452" s="152">
        <v>0.03</v>
      </c>
      <c r="G3452" s="141">
        <f>+'LISTA DE INSUMOS'!E650</f>
        <v>116100.56750324999</v>
      </c>
      <c r="H3452" s="108">
        <v>1.03</v>
      </c>
      <c r="I3452" s="141">
        <f>ROUND((F3452*G3452*H3452),0)</f>
        <v>3588</v>
      </c>
      <c r="J3452" s="47"/>
      <c r="K3452" s="143"/>
    </row>
    <row r="3453" spans="2:11" ht="24.9" customHeight="1" thickTop="1" thickBot="1" x14ac:dyDescent="0.25">
      <c r="B3453" s="250" t="s">
        <v>1034</v>
      </c>
      <c r="C3453" s="108" t="str">
        <f>'LISTA DE INSUMOS'!A18</f>
        <v>MOB015</v>
      </c>
      <c r="D3453" s="139" t="str">
        <f>'LISTA DE INSUMOS'!B18</f>
        <v>Cuadrilla E 1 Of + 1 Ay (jornal + prestaciones)</v>
      </c>
      <c r="E3453" s="108" t="str">
        <f>'LISTA DE INSUMOS'!C18</f>
        <v>Día</v>
      </c>
      <c r="F3453" s="140">
        <v>1</v>
      </c>
      <c r="G3453" s="141">
        <f>'LISTA DE INSUMOS'!E18</f>
        <v>245584</v>
      </c>
      <c r="H3453" s="108">
        <f>1/30</f>
        <v>3.3333333333333333E-2</v>
      </c>
      <c r="I3453" s="141">
        <f>ROUND((F3453*G3453*H3453),0)</f>
        <v>8186</v>
      </c>
      <c r="J3453" s="47"/>
      <c r="K3453" s="143"/>
    </row>
    <row r="3454" spans="2:11" ht="24.9" customHeight="1" thickTop="1" x14ac:dyDescent="0.2">
      <c r="B3454" s="647" t="s">
        <v>1033</v>
      </c>
      <c r="C3454" s="108" t="str">
        <f>'LISTA DE INSUMOS'!A762</f>
        <v>EQU006</v>
      </c>
      <c r="D3454" s="139" t="str">
        <f>'LISTA DE INSUMOS'!B762</f>
        <v>Andamio (% mano obra)</v>
      </c>
      <c r="E3454" s="108" t="str">
        <f>'LISTA DE INSUMOS'!C762</f>
        <v>%MO</v>
      </c>
      <c r="F3454" s="140">
        <v>0.1</v>
      </c>
      <c r="G3454" s="141">
        <f>I3453</f>
        <v>8186</v>
      </c>
      <c r="H3454" s="108">
        <v>0</v>
      </c>
      <c r="I3454" s="141">
        <f>ROUND((F3454*G3454),0)</f>
        <v>819</v>
      </c>
      <c r="J3454" s="47"/>
      <c r="K3454" s="143"/>
    </row>
    <row r="3455" spans="2:11" ht="24.9" customHeight="1" thickBot="1" x14ac:dyDescent="0.25">
      <c r="B3455" s="704"/>
      <c r="C3455" s="145" t="str">
        <f>+'LISTA DE INSUMOS'!A758</f>
        <v>EQU002</v>
      </c>
      <c r="D3455" s="146" t="str">
        <f>+'LISTA DE INSUMOS'!B758</f>
        <v>Herramienta menor (% mano obra)</v>
      </c>
      <c r="E3455" s="145" t="str">
        <f>+'LISTA DE INSUMOS'!C758</f>
        <v>%MO</v>
      </c>
      <c r="F3455" s="147">
        <v>0.1</v>
      </c>
      <c r="G3455" s="148">
        <f>I3453</f>
        <v>8186</v>
      </c>
      <c r="H3455" s="145">
        <v>0</v>
      </c>
      <c r="I3455" s="148">
        <f>ROUND((F3455*G3455),0)</f>
        <v>819</v>
      </c>
      <c r="J3455" s="47"/>
      <c r="K3455" s="143"/>
    </row>
    <row r="3456" spans="2:11" ht="24.9" customHeight="1" x14ac:dyDescent="0.2">
      <c r="B3456" s="193" t="s">
        <v>2326</v>
      </c>
      <c r="C3456" s="117"/>
      <c r="D3456" s="112" t="s">
        <v>2020</v>
      </c>
      <c r="E3456" s="117" t="s">
        <v>1412</v>
      </c>
      <c r="F3456" s="149"/>
      <c r="G3456" s="119">
        <f>ROUND(SUM(I3457:I3462),0)-1</f>
        <v>38029</v>
      </c>
      <c r="H3456" s="120"/>
      <c r="I3456" s="119"/>
      <c r="J3456" s="47"/>
      <c r="K3456" s="143"/>
    </row>
    <row r="3457" spans="2:11" ht="24.9" customHeight="1" x14ac:dyDescent="0.2">
      <c r="B3457" s="672" t="s">
        <v>1035</v>
      </c>
      <c r="C3457" s="108" t="str">
        <f>+'LISTA DE INSUMOS'!A144</f>
        <v>MAT103</v>
      </c>
      <c r="D3457" s="139" t="str">
        <f>+'LISTA DE INSUMOS'!B144</f>
        <v>Tubería PVC sanitaria de 2"</v>
      </c>
      <c r="E3457" s="108" t="str">
        <f>+'LISTA DE INSUMOS'!C144</f>
        <v>M</v>
      </c>
      <c r="F3457" s="140">
        <v>1</v>
      </c>
      <c r="G3457" s="141">
        <f>'LISTA DE INSUMOS'!E144</f>
        <v>16397.123332799998</v>
      </c>
      <c r="H3457" s="108">
        <v>1.05</v>
      </c>
      <c r="I3457" s="141">
        <f>ROUND((F3457*G3457*H3457),0)</f>
        <v>17217</v>
      </c>
      <c r="J3457" s="47"/>
      <c r="K3457" s="143"/>
    </row>
    <row r="3458" spans="2:11" ht="24.9" customHeight="1" x14ac:dyDescent="0.2">
      <c r="B3458" s="672"/>
      <c r="C3458" s="108" t="str">
        <f>+'LISTA DE INSUMOS'!A657</f>
        <v>MAT673</v>
      </c>
      <c r="D3458" s="139" t="str">
        <f>+'LISTA DE INSUMOS'!B657</f>
        <v>Accesorios tubería PVC santiaria</v>
      </c>
      <c r="E3458" s="108" t="str">
        <f>+'LISTA DE INSUMOS'!C657</f>
        <v>%Tub</v>
      </c>
      <c r="F3458" s="140">
        <v>0.48</v>
      </c>
      <c r="G3458" s="141">
        <f>I3457</f>
        <v>17217</v>
      </c>
      <c r="H3458" s="108">
        <v>0</v>
      </c>
      <c r="I3458" s="141">
        <f>ROUND((F3458*G3458),0)</f>
        <v>8264</v>
      </c>
      <c r="J3458" s="47"/>
      <c r="K3458" s="143"/>
    </row>
    <row r="3459" spans="2:11" ht="24.9" customHeight="1" x14ac:dyDescent="0.2">
      <c r="B3459" s="672"/>
      <c r="C3459" s="108" t="str">
        <f>+'LISTA DE INSUMOS'!A651</f>
        <v>MAT667</v>
      </c>
      <c r="D3459" s="139" t="str">
        <f>+'LISTA DE INSUMOS'!B651</f>
        <v>Limpiador removedor PVC 1/4</v>
      </c>
      <c r="E3459" s="108" t="str">
        <f>+'LISTA DE INSUMOS'!C651</f>
        <v>Un</v>
      </c>
      <c r="F3459" s="152">
        <v>0.02</v>
      </c>
      <c r="G3459" s="141">
        <f>+'LISTA DE INSUMOS'!E651</f>
        <v>55927.469152499994</v>
      </c>
      <c r="H3459" s="108">
        <v>1.03</v>
      </c>
      <c r="I3459" s="141">
        <f>ROUND((F3459*G3459*H3459),0)</f>
        <v>1152</v>
      </c>
      <c r="J3459" s="47"/>
      <c r="K3459" s="143"/>
    </row>
    <row r="3460" spans="2:11" ht="24.9" customHeight="1" thickBot="1" x14ac:dyDescent="0.25">
      <c r="B3460" s="673"/>
      <c r="C3460" s="108" t="str">
        <f>+'LISTA DE INSUMOS'!A650</f>
        <v>MAT666</v>
      </c>
      <c r="D3460" s="139" t="str">
        <f>+'LISTA DE INSUMOS'!B650</f>
        <v>Soldadura liquida para PVC 1/4 GL</v>
      </c>
      <c r="E3460" s="108" t="str">
        <f>+'LISTA DE INSUMOS'!C650</f>
        <v>Un</v>
      </c>
      <c r="F3460" s="152">
        <v>0.02</v>
      </c>
      <c r="G3460" s="141">
        <f>+'LISTA DE INSUMOS'!E650</f>
        <v>116100.56750324999</v>
      </c>
      <c r="H3460" s="108">
        <v>1.03</v>
      </c>
      <c r="I3460" s="141">
        <f>ROUND((F3460*G3460*H3460),0)</f>
        <v>2392</v>
      </c>
      <c r="J3460" s="47"/>
      <c r="K3460" s="143"/>
    </row>
    <row r="3461" spans="2:11" ht="24.9" customHeight="1" thickTop="1" thickBot="1" x14ac:dyDescent="0.25">
      <c r="B3461" s="250" t="s">
        <v>1034</v>
      </c>
      <c r="C3461" s="108" t="str">
        <f>'LISTA DE INSUMOS'!A18</f>
        <v>MOB015</v>
      </c>
      <c r="D3461" s="139" t="str">
        <f>'LISTA DE INSUMOS'!B18</f>
        <v>Cuadrilla E 1 Of + 1 Ay (jornal + prestaciones)</v>
      </c>
      <c r="E3461" s="108" t="str">
        <f>'LISTA DE INSUMOS'!C18</f>
        <v>Día</v>
      </c>
      <c r="F3461" s="140">
        <v>1</v>
      </c>
      <c r="G3461" s="141">
        <f>'LISTA DE INSUMOS'!E18</f>
        <v>245584</v>
      </c>
      <c r="H3461" s="108">
        <f>1/30</f>
        <v>3.3333333333333333E-2</v>
      </c>
      <c r="I3461" s="141">
        <f>ROUND((F3461*G3461*H3461),0)</f>
        <v>8186</v>
      </c>
      <c r="J3461" s="47"/>
      <c r="K3461" s="143"/>
    </row>
    <row r="3462" spans="2:11" ht="24.9" customHeight="1" thickTop="1" thickBot="1" x14ac:dyDescent="0.25">
      <c r="B3462" s="150" t="s">
        <v>1033</v>
      </c>
      <c r="C3462" s="151" t="str">
        <f>+'LISTA DE INSUMOS'!A758</f>
        <v>EQU002</v>
      </c>
      <c r="D3462" s="146" t="str">
        <f>+'LISTA DE INSUMOS'!B758</f>
        <v>Herramienta menor (% mano obra)</v>
      </c>
      <c r="E3462" s="145" t="str">
        <f>+'LISTA DE INSUMOS'!C758</f>
        <v>%MO</v>
      </c>
      <c r="F3462" s="147">
        <v>0.1</v>
      </c>
      <c r="G3462" s="148">
        <f>I3461</f>
        <v>8186</v>
      </c>
      <c r="H3462" s="145">
        <v>0</v>
      </c>
      <c r="I3462" s="148">
        <f>ROUND((F3462*G3462),0)</f>
        <v>819</v>
      </c>
      <c r="J3462" s="47"/>
      <c r="K3462" s="143"/>
    </row>
    <row r="3463" spans="2:11" ht="24.9" customHeight="1" x14ac:dyDescent="0.2">
      <c r="B3463" s="117" t="s">
        <v>2327</v>
      </c>
      <c r="C3463" s="117"/>
      <c r="D3463" s="112" t="s">
        <v>2021</v>
      </c>
      <c r="E3463" s="117" t="s">
        <v>1412</v>
      </c>
      <c r="F3463" s="149"/>
      <c r="G3463" s="119">
        <f>ROUND(SUM(I3464:I3469),0)</f>
        <v>41463</v>
      </c>
      <c r="H3463" s="120"/>
      <c r="I3463" s="119"/>
      <c r="J3463" s="47"/>
      <c r="K3463" s="143"/>
    </row>
    <row r="3464" spans="2:11" ht="24.9" customHeight="1" x14ac:dyDescent="0.2">
      <c r="B3464" s="672" t="s">
        <v>1035</v>
      </c>
      <c r="C3464" s="108" t="str">
        <f>+'LISTA DE INSUMOS'!A311</f>
        <v>MAT285</v>
      </c>
      <c r="D3464" s="139" t="str">
        <f>+'LISTA DE INSUMOS'!B311</f>
        <v>Tubería PVC sanitaria de 3"</v>
      </c>
      <c r="E3464" s="108" t="str">
        <f>+'LISTA DE INSUMOS'!C311</f>
        <v>M</v>
      </c>
      <c r="F3464" s="140">
        <v>1</v>
      </c>
      <c r="G3464" s="141">
        <f>'LISTA DE INSUMOS'!E311</f>
        <v>19582.621824427199</v>
      </c>
      <c r="H3464" s="108">
        <v>1.05</v>
      </c>
      <c r="I3464" s="141">
        <f>ROUND((F3464*G3464*H3464),0)</f>
        <v>20562</v>
      </c>
      <c r="J3464" s="47"/>
      <c r="K3464" s="143"/>
    </row>
    <row r="3465" spans="2:11" ht="24.9" customHeight="1" x14ac:dyDescent="0.2">
      <c r="B3465" s="672"/>
      <c r="C3465" s="108" t="str">
        <f>+'LISTA DE INSUMOS'!A657</f>
        <v>MAT673</v>
      </c>
      <c r="D3465" s="139" t="str">
        <f>+'LISTA DE INSUMOS'!B657</f>
        <v>Accesorios tubería PVC santiaria</v>
      </c>
      <c r="E3465" s="108" t="str">
        <f>+'LISTA DE INSUMOS'!C657</f>
        <v>%Tub</v>
      </c>
      <c r="F3465" s="140">
        <v>0.32</v>
      </c>
      <c r="G3465" s="141">
        <f>I3464</f>
        <v>20562</v>
      </c>
      <c r="H3465" s="108">
        <v>0</v>
      </c>
      <c r="I3465" s="141">
        <f>ROUND((F3465*G3465),0)</f>
        <v>6580</v>
      </c>
      <c r="J3465" s="47"/>
      <c r="K3465" s="143"/>
    </row>
    <row r="3466" spans="2:11" ht="24.9" customHeight="1" x14ac:dyDescent="0.2">
      <c r="B3466" s="672"/>
      <c r="C3466" s="108" t="str">
        <f>+'LISTA DE INSUMOS'!A651</f>
        <v>MAT667</v>
      </c>
      <c r="D3466" s="139" t="str">
        <f>+'LISTA DE INSUMOS'!B651</f>
        <v>Limpiador removedor PVC 1/4</v>
      </c>
      <c r="E3466" s="108" t="str">
        <f>+'LISTA DE INSUMOS'!C651</f>
        <v>Un</v>
      </c>
      <c r="F3466" s="152">
        <v>0.03</v>
      </c>
      <c r="G3466" s="141">
        <f>+'LISTA DE INSUMOS'!E651</f>
        <v>55927.469152499994</v>
      </c>
      <c r="H3466" s="108">
        <v>1.03</v>
      </c>
      <c r="I3466" s="141">
        <f>ROUND((F3466*G3466*H3466),0)</f>
        <v>1728</v>
      </c>
      <c r="J3466" s="47"/>
      <c r="K3466" s="143"/>
    </row>
    <row r="3467" spans="2:11" ht="24.9" customHeight="1" thickBot="1" x14ac:dyDescent="0.25">
      <c r="B3467" s="673"/>
      <c r="C3467" s="108" t="str">
        <f>+'LISTA DE INSUMOS'!A650</f>
        <v>MAT666</v>
      </c>
      <c r="D3467" s="139" t="str">
        <f>+'LISTA DE INSUMOS'!B650</f>
        <v>Soldadura liquida para PVC 1/4 GL</v>
      </c>
      <c r="E3467" s="108" t="str">
        <f>+'LISTA DE INSUMOS'!C650</f>
        <v>Un</v>
      </c>
      <c r="F3467" s="152">
        <v>0.03</v>
      </c>
      <c r="G3467" s="141">
        <f>+'LISTA DE INSUMOS'!E650</f>
        <v>116100.56750324999</v>
      </c>
      <c r="H3467" s="108">
        <v>1.03</v>
      </c>
      <c r="I3467" s="141">
        <f>ROUND((F3467*G3467*H3467),0)</f>
        <v>3588</v>
      </c>
      <c r="J3467" s="47"/>
      <c r="K3467" s="143"/>
    </row>
    <row r="3468" spans="2:11" ht="24.9" customHeight="1" thickTop="1" thickBot="1" x14ac:dyDescent="0.25">
      <c r="B3468" s="250" t="s">
        <v>1034</v>
      </c>
      <c r="C3468" s="108" t="str">
        <f>'LISTA DE INSUMOS'!A18</f>
        <v>MOB015</v>
      </c>
      <c r="D3468" s="139" t="str">
        <f>'LISTA DE INSUMOS'!B18</f>
        <v>Cuadrilla E 1 Of + 1 Ay (jornal + prestaciones)</v>
      </c>
      <c r="E3468" s="108" t="str">
        <f>'LISTA DE INSUMOS'!C18</f>
        <v>Día</v>
      </c>
      <c r="F3468" s="140">
        <v>1</v>
      </c>
      <c r="G3468" s="141">
        <f>'LISTA DE INSUMOS'!E18</f>
        <v>245584</v>
      </c>
      <c r="H3468" s="108">
        <f>1/30</f>
        <v>3.3333333333333333E-2</v>
      </c>
      <c r="I3468" s="141">
        <f>ROUND((F3468*G3468*H3468),0)</f>
        <v>8186</v>
      </c>
      <c r="J3468" s="47"/>
      <c r="K3468" s="143"/>
    </row>
    <row r="3469" spans="2:11" ht="24.9" customHeight="1" thickTop="1" thickBot="1" x14ac:dyDescent="0.25">
      <c r="B3469" s="150" t="s">
        <v>1033</v>
      </c>
      <c r="C3469" s="151" t="str">
        <f>+'LISTA DE INSUMOS'!A758</f>
        <v>EQU002</v>
      </c>
      <c r="D3469" s="146" t="str">
        <f>+'LISTA DE INSUMOS'!B758</f>
        <v>Herramienta menor (% mano obra)</v>
      </c>
      <c r="E3469" s="145" t="str">
        <f>+'LISTA DE INSUMOS'!C758</f>
        <v>%MO</v>
      </c>
      <c r="F3469" s="147">
        <v>0.1</v>
      </c>
      <c r="G3469" s="148">
        <f>I3468</f>
        <v>8186</v>
      </c>
      <c r="H3469" s="145">
        <v>0</v>
      </c>
      <c r="I3469" s="148">
        <f>ROUND((F3469*G3469),0)</f>
        <v>819</v>
      </c>
      <c r="J3469" s="47"/>
      <c r="K3469" s="143"/>
    </row>
    <row r="3470" spans="2:11" ht="24.9" customHeight="1" x14ac:dyDescent="0.2">
      <c r="B3470" s="117" t="s">
        <v>1654</v>
      </c>
      <c r="C3470" s="117"/>
      <c r="D3470" s="112" t="s">
        <v>2022</v>
      </c>
      <c r="E3470" s="117" t="s">
        <v>1412</v>
      </c>
      <c r="F3470" s="149"/>
      <c r="G3470" s="119">
        <f>ROUND(SUM(I3471:I3476),0)</f>
        <v>65630</v>
      </c>
      <c r="H3470" s="120"/>
      <c r="I3470" s="119"/>
      <c r="J3470" s="47"/>
      <c r="K3470" s="143"/>
    </row>
    <row r="3471" spans="2:11" ht="24.9" customHeight="1" x14ac:dyDescent="0.2">
      <c r="B3471" s="672" t="s">
        <v>1035</v>
      </c>
      <c r="C3471" s="108" t="str">
        <f>+'LISTA DE INSUMOS'!A145</f>
        <v>MAT104</v>
      </c>
      <c r="D3471" s="139" t="str">
        <f>+'LISTA DE INSUMOS'!B145</f>
        <v>Tubería PVC sanitaria de 4"</v>
      </c>
      <c r="E3471" s="108" t="str">
        <f>+'LISTA DE INSUMOS'!C145</f>
        <v>M</v>
      </c>
      <c r="F3471" s="140">
        <v>1</v>
      </c>
      <c r="G3471" s="141">
        <f>'LISTA DE INSUMOS'!E145</f>
        <v>34443.320315599995</v>
      </c>
      <c r="H3471" s="108">
        <v>1.05</v>
      </c>
      <c r="I3471" s="141">
        <f>ROUND((F3471*G3471*H3471),0)</f>
        <v>36165</v>
      </c>
      <c r="J3471" s="47"/>
      <c r="K3471" s="143"/>
    </row>
    <row r="3472" spans="2:11" ht="24.9" customHeight="1" x14ac:dyDescent="0.2">
      <c r="B3472" s="672"/>
      <c r="C3472" s="108" t="str">
        <f>+'LISTA DE INSUMOS'!A657</f>
        <v>MAT673</v>
      </c>
      <c r="D3472" s="139" t="str">
        <f>+'LISTA DE INSUMOS'!B657</f>
        <v>Accesorios tubería PVC santiaria</v>
      </c>
      <c r="E3472" s="108" t="str">
        <f>+'LISTA DE INSUMOS'!C657</f>
        <v>%Tub</v>
      </c>
      <c r="F3472" s="140">
        <v>0.32</v>
      </c>
      <c r="G3472" s="141">
        <f>I3471</f>
        <v>36165</v>
      </c>
      <c r="H3472" s="108">
        <v>0</v>
      </c>
      <c r="I3472" s="141">
        <f>ROUND((F3472*G3472),0)</f>
        <v>11573</v>
      </c>
      <c r="J3472" s="47"/>
      <c r="K3472" s="143"/>
    </row>
    <row r="3473" spans="2:11" ht="24.9" customHeight="1" x14ac:dyDescent="0.2">
      <c r="B3473" s="672"/>
      <c r="C3473" s="108" t="str">
        <f>+'LISTA DE INSUMOS'!A651</f>
        <v>MAT667</v>
      </c>
      <c r="D3473" s="139" t="str">
        <f>+'LISTA DE INSUMOS'!B651</f>
        <v>Limpiador removedor PVC 1/4</v>
      </c>
      <c r="E3473" s="108" t="str">
        <f>+'LISTA DE INSUMOS'!C651</f>
        <v>Un</v>
      </c>
      <c r="F3473" s="152">
        <v>0.04</v>
      </c>
      <c r="G3473" s="141">
        <f>+'LISTA DE INSUMOS'!E651</f>
        <v>55927.469152499994</v>
      </c>
      <c r="H3473" s="108">
        <v>1.03</v>
      </c>
      <c r="I3473" s="141">
        <f>ROUND((F3473*G3473*H3473),0)</f>
        <v>2304</v>
      </c>
      <c r="J3473" s="47"/>
      <c r="K3473" s="143"/>
    </row>
    <row r="3474" spans="2:11" ht="24.9" customHeight="1" thickBot="1" x14ac:dyDescent="0.25">
      <c r="B3474" s="673"/>
      <c r="C3474" s="108" t="str">
        <f>+'LISTA DE INSUMOS'!A650</f>
        <v>MAT666</v>
      </c>
      <c r="D3474" s="139" t="str">
        <f>+'LISTA DE INSUMOS'!B650</f>
        <v>Soldadura liquida para PVC 1/4 GL</v>
      </c>
      <c r="E3474" s="108" t="str">
        <f>+'LISTA DE INSUMOS'!C650</f>
        <v>Un</v>
      </c>
      <c r="F3474" s="152">
        <v>0.04</v>
      </c>
      <c r="G3474" s="141">
        <f>+'LISTA DE INSUMOS'!E650</f>
        <v>116100.56750324999</v>
      </c>
      <c r="H3474" s="108">
        <v>1.03</v>
      </c>
      <c r="I3474" s="141">
        <f>ROUND((F3474*G3474*H3474),0)</f>
        <v>4783</v>
      </c>
      <c r="J3474" s="47"/>
      <c r="K3474" s="143"/>
    </row>
    <row r="3475" spans="2:11" ht="24.9" customHeight="1" thickTop="1" thickBot="1" x14ac:dyDescent="0.25">
      <c r="B3475" s="250" t="s">
        <v>1034</v>
      </c>
      <c r="C3475" s="108" t="str">
        <f>'LISTA DE INSUMOS'!A18</f>
        <v>MOB015</v>
      </c>
      <c r="D3475" s="139" t="str">
        <f>'LISTA DE INSUMOS'!B18</f>
        <v>Cuadrilla E 1 Of + 1 Ay (jornal + prestaciones)</v>
      </c>
      <c r="E3475" s="108" t="str">
        <f>'LISTA DE INSUMOS'!C18</f>
        <v>Día</v>
      </c>
      <c r="F3475" s="140">
        <v>1</v>
      </c>
      <c r="G3475" s="141">
        <f>'LISTA DE INSUMOS'!E18</f>
        <v>245584</v>
      </c>
      <c r="H3475" s="108">
        <f>1/25</f>
        <v>0.04</v>
      </c>
      <c r="I3475" s="141">
        <f>ROUND((F3475*G3475*H3475),0)</f>
        <v>9823</v>
      </c>
      <c r="J3475" s="47"/>
      <c r="K3475" s="143"/>
    </row>
    <row r="3476" spans="2:11" ht="24.9" customHeight="1" thickTop="1" thickBot="1" x14ac:dyDescent="0.25">
      <c r="B3476" s="150" t="s">
        <v>1033</v>
      </c>
      <c r="C3476" s="151" t="str">
        <f>+'LISTA DE INSUMOS'!A758</f>
        <v>EQU002</v>
      </c>
      <c r="D3476" s="146" t="str">
        <f>+'LISTA DE INSUMOS'!B758</f>
        <v>Herramienta menor (% mano obra)</v>
      </c>
      <c r="E3476" s="145" t="str">
        <f>+'LISTA DE INSUMOS'!C758</f>
        <v>%MO</v>
      </c>
      <c r="F3476" s="147">
        <v>0.1</v>
      </c>
      <c r="G3476" s="148">
        <f>I3475</f>
        <v>9823</v>
      </c>
      <c r="H3476" s="145">
        <v>0</v>
      </c>
      <c r="I3476" s="148">
        <f>ROUND((F3476*G3476),0)</f>
        <v>982</v>
      </c>
      <c r="J3476" s="47"/>
      <c r="K3476" s="143"/>
    </row>
    <row r="3477" spans="2:11" ht="24.9" customHeight="1" x14ac:dyDescent="0.2">
      <c r="B3477" s="117" t="s">
        <v>2328</v>
      </c>
      <c r="C3477" s="117"/>
      <c r="D3477" s="112" t="s">
        <v>2024</v>
      </c>
      <c r="E3477" s="117" t="s">
        <v>1412</v>
      </c>
      <c r="F3477" s="149"/>
      <c r="G3477" s="119">
        <f>ROUND(SUM(I3478:I3483),0)</f>
        <v>109468</v>
      </c>
      <c r="H3477" s="120"/>
      <c r="I3477" s="119"/>
      <c r="J3477" s="47"/>
      <c r="K3477" s="143"/>
    </row>
    <row r="3478" spans="2:11" ht="24.9" customHeight="1" x14ac:dyDescent="0.2">
      <c r="B3478" s="672" t="s">
        <v>1035</v>
      </c>
      <c r="C3478" s="108" t="str">
        <f>+'LISTA DE INSUMOS'!A146</f>
        <v>MAT105</v>
      </c>
      <c r="D3478" s="139" t="str">
        <f>+'LISTA DE INSUMOS'!B146</f>
        <v>Tubería PVC sanitaria de 6"</v>
      </c>
      <c r="E3478" s="108" t="str">
        <f>+'LISTA DE INSUMOS'!C146</f>
        <v>M</v>
      </c>
      <c r="F3478" s="140">
        <v>1</v>
      </c>
      <c r="G3478" s="141">
        <f>'LISTA DE INSUMOS'!E146</f>
        <v>72276.593894399994</v>
      </c>
      <c r="H3478" s="108">
        <v>1.05</v>
      </c>
      <c r="I3478" s="141">
        <f>ROUND((F3478*G3478*H3478),0)</f>
        <v>75890</v>
      </c>
      <c r="J3478" s="47"/>
      <c r="K3478" s="143"/>
    </row>
    <row r="3479" spans="2:11" ht="24.9" customHeight="1" x14ac:dyDescent="0.2">
      <c r="B3479" s="672"/>
      <c r="C3479" s="108" t="str">
        <f>+'LISTA DE INSUMOS'!A657</f>
        <v>MAT673</v>
      </c>
      <c r="D3479" s="139" t="str">
        <f>+'LISTA DE INSUMOS'!B657</f>
        <v>Accesorios tubería PVC santiaria</v>
      </c>
      <c r="E3479" s="108" t="str">
        <f>+'LISTA DE INSUMOS'!C657</f>
        <v>%Tub</v>
      </c>
      <c r="F3479" s="140">
        <v>0.16</v>
      </c>
      <c r="G3479" s="141">
        <f>I3478</f>
        <v>75890</v>
      </c>
      <c r="H3479" s="108">
        <v>0</v>
      </c>
      <c r="I3479" s="141">
        <f>ROUND((F3479*G3479),0)</f>
        <v>12142</v>
      </c>
      <c r="J3479" s="47"/>
      <c r="K3479" s="143"/>
    </row>
    <row r="3480" spans="2:11" ht="24.9" customHeight="1" x14ac:dyDescent="0.2">
      <c r="B3480" s="672"/>
      <c r="C3480" s="108" t="str">
        <f>+'LISTA DE INSUMOS'!A651</f>
        <v>MAT667</v>
      </c>
      <c r="D3480" s="139" t="str">
        <f>+'LISTA DE INSUMOS'!B651</f>
        <v>Limpiador removedor PVC 1/4</v>
      </c>
      <c r="E3480" s="108" t="str">
        <f>+'LISTA DE INSUMOS'!C651</f>
        <v>Un</v>
      </c>
      <c r="F3480" s="152">
        <v>0.06</v>
      </c>
      <c r="G3480" s="141">
        <f>+'LISTA DE INSUMOS'!E651</f>
        <v>55927.469152499994</v>
      </c>
      <c r="H3480" s="108">
        <v>1.03</v>
      </c>
      <c r="I3480" s="141">
        <f>ROUND((F3480*G3480*H3480),0)</f>
        <v>3456</v>
      </c>
      <c r="J3480" s="47"/>
      <c r="K3480" s="143"/>
    </row>
    <row r="3481" spans="2:11" ht="24.9" customHeight="1" thickBot="1" x14ac:dyDescent="0.25">
      <c r="B3481" s="673"/>
      <c r="C3481" s="108" t="str">
        <f>+'LISTA DE INSUMOS'!A650</f>
        <v>MAT666</v>
      </c>
      <c r="D3481" s="139" t="str">
        <f>+'LISTA DE INSUMOS'!B650</f>
        <v>Soldadura liquida para PVC 1/4 GL</v>
      </c>
      <c r="E3481" s="108" t="str">
        <f>+'LISTA DE INSUMOS'!C650</f>
        <v>Un</v>
      </c>
      <c r="F3481" s="152">
        <v>0.06</v>
      </c>
      <c r="G3481" s="141">
        <f>+'LISTA DE INSUMOS'!E650</f>
        <v>116100.56750324999</v>
      </c>
      <c r="H3481" s="108">
        <v>1.03</v>
      </c>
      <c r="I3481" s="141">
        <f>ROUND((F3481*G3481*H3481),0)</f>
        <v>7175</v>
      </c>
      <c r="J3481" s="47"/>
      <c r="K3481" s="143"/>
    </row>
    <row r="3482" spans="2:11" ht="24.9" customHeight="1" thickTop="1" thickBot="1" x14ac:dyDescent="0.25">
      <c r="B3482" s="250" t="s">
        <v>1034</v>
      </c>
      <c r="C3482" s="108" t="str">
        <f>'LISTA DE INSUMOS'!A18</f>
        <v>MOB015</v>
      </c>
      <c r="D3482" s="139" t="str">
        <f>'LISTA DE INSUMOS'!B18</f>
        <v>Cuadrilla E 1 Of + 1 Ay (jornal + prestaciones)</v>
      </c>
      <c r="E3482" s="108" t="str">
        <f>'LISTA DE INSUMOS'!C18</f>
        <v>Día</v>
      </c>
      <c r="F3482" s="140">
        <v>1</v>
      </c>
      <c r="G3482" s="141">
        <f>'LISTA DE INSUMOS'!E18</f>
        <v>245584</v>
      </c>
      <c r="H3482" s="142">
        <f>1/25</f>
        <v>0.04</v>
      </c>
      <c r="I3482" s="141">
        <f>ROUND((F3482*G3482*H3482),0)</f>
        <v>9823</v>
      </c>
      <c r="J3482" s="47"/>
      <c r="K3482" s="143"/>
    </row>
    <row r="3483" spans="2:11" ht="24.9" customHeight="1" thickTop="1" thickBot="1" x14ac:dyDescent="0.25">
      <c r="B3483" s="150" t="s">
        <v>1033</v>
      </c>
      <c r="C3483" s="151" t="str">
        <f>+'LISTA DE INSUMOS'!A758</f>
        <v>EQU002</v>
      </c>
      <c r="D3483" s="146" t="str">
        <f>+'LISTA DE INSUMOS'!B758</f>
        <v>Herramienta menor (% mano obra)</v>
      </c>
      <c r="E3483" s="145" t="str">
        <f>+'LISTA DE INSUMOS'!C758</f>
        <v>%MO</v>
      </c>
      <c r="F3483" s="147">
        <v>0.1</v>
      </c>
      <c r="G3483" s="148">
        <f>I3482</f>
        <v>9823</v>
      </c>
      <c r="H3483" s="145">
        <v>0</v>
      </c>
      <c r="I3483" s="148">
        <f>ROUND((F3483*G3483),0)</f>
        <v>982</v>
      </c>
      <c r="J3483" s="47"/>
      <c r="K3483" s="143"/>
    </row>
    <row r="3484" spans="2:11" ht="24.9" customHeight="1" x14ac:dyDescent="0.2">
      <c r="B3484" s="117" t="s">
        <v>1950</v>
      </c>
      <c r="C3484" s="117"/>
      <c r="D3484" s="112" t="s">
        <v>1348</v>
      </c>
      <c r="E3484" s="117" t="s">
        <v>1871</v>
      </c>
      <c r="F3484" s="118"/>
      <c r="G3484" s="119">
        <f>ROUND(SUM(I3485:I3491),0)-3</f>
        <v>113500</v>
      </c>
      <c r="H3484" s="120"/>
      <c r="I3484" s="119"/>
      <c r="J3484" s="47"/>
      <c r="K3484" s="143"/>
    </row>
    <row r="3485" spans="2:11" ht="24.9" customHeight="1" x14ac:dyDescent="0.2">
      <c r="B3485" s="672" t="s">
        <v>1035</v>
      </c>
      <c r="C3485" s="108" t="str">
        <f>+'LISTA DE INSUMOS'!A144</f>
        <v>MAT103</v>
      </c>
      <c r="D3485" s="139" t="str">
        <f>+'LISTA DE INSUMOS'!B144</f>
        <v>Tubería PVC sanitaria de 2"</v>
      </c>
      <c r="E3485" s="108" t="str">
        <f>+'LISTA DE INSUMOS'!C144</f>
        <v>M</v>
      </c>
      <c r="F3485" s="140">
        <v>3</v>
      </c>
      <c r="G3485" s="141">
        <f>'LISTA DE INSUMOS'!E144</f>
        <v>16397.123332799998</v>
      </c>
      <c r="H3485" s="108">
        <v>1.05</v>
      </c>
      <c r="I3485" s="141">
        <f>ROUND((F3485*G3485*H3485),0)</f>
        <v>51651</v>
      </c>
      <c r="J3485" s="47"/>
      <c r="K3485" s="143"/>
    </row>
    <row r="3486" spans="2:11" ht="24.9" customHeight="1" x14ac:dyDescent="0.2">
      <c r="B3486" s="672"/>
      <c r="C3486" s="108" t="str">
        <f>+'LISTA DE INSUMOS'!A345</f>
        <v>MAT334</v>
      </c>
      <c r="D3486" s="139" t="str">
        <f>+'LISTA DE INSUMOS'!B345</f>
        <v>Accesorios PVC sanitaria 2" promedio</v>
      </c>
      <c r="E3486" s="108" t="str">
        <f>+'LISTA DE INSUMOS'!C345</f>
        <v>Un</v>
      </c>
      <c r="F3486" s="140">
        <v>3</v>
      </c>
      <c r="G3486" s="141">
        <f>'LISTA DE INSUMOS'!E345</f>
        <v>6254.9723178095992</v>
      </c>
      <c r="H3486" s="108">
        <v>0</v>
      </c>
      <c r="I3486" s="141">
        <f>ROUND((F3486*G3486),0)</f>
        <v>18765</v>
      </c>
      <c r="J3486" s="47"/>
      <c r="K3486" s="143"/>
    </row>
    <row r="3487" spans="2:11" ht="24.9" customHeight="1" x14ac:dyDescent="0.2">
      <c r="B3487" s="672"/>
      <c r="C3487" s="108" t="str">
        <f>+'LISTA DE INSUMOS'!A651</f>
        <v>MAT667</v>
      </c>
      <c r="D3487" s="139" t="str">
        <f>+'LISTA DE INSUMOS'!B651</f>
        <v>Limpiador removedor PVC 1/4</v>
      </c>
      <c r="E3487" s="108" t="str">
        <f>+'LISTA DE INSUMOS'!C651</f>
        <v>Un</v>
      </c>
      <c r="F3487" s="152">
        <v>0.06</v>
      </c>
      <c r="G3487" s="141">
        <f>+'LISTA DE INSUMOS'!E651</f>
        <v>55927.469152499994</v>
      </c>
      <c r="H3487" s="108">
        <v>1.03</v>
      </c>
      <c r="I3487" s="141">
        <f>ROUND((F3487*G3487*H3487),0)</f>
        <v>3456</v>
      </c>
      <c r="J3487" s="47"/>
      <c r="K3487" s="143"/>
    </row>
    <row r="3488" spans="2:11" ht="24.9" customHeight="1" thickBot="1" x14ac:dyDescent="0.25">
      <c r="B3488" s="673"/>
      <c r="C3488" s="108" t="str">
        <f>+'LISTA DE INSUMOS'!A650</f>
        <v>MAT666</v>
      </c>
      <c r="D3488" s="139" t="str">
        <f>+'LISTA DE INSUMOS'!B650</f>
        <v>Soldadura liquida para PVC 1/4 GL</v>
      </c>
      <c r="E3488" s="108" t="str">
        <f>+'LISTA DE INSUMOS'!C650</f>
        <v>Un</v>
      </c>
      <c r="F3488" s="152">
        <v>0.06</v>
      </c>
      <c r="G3488" s="141">
        <f>+'LISTA DE INSUMOS'!E650</f>
        <v>116100.56750324999</v>
      </c>
      <c r="H3488" s="108">
        <v>1.03</v>
      </c>
      <c r="I3488" s="141">
        <f>ROUND((F3488*G3488*H3488),0)</f>
        <v>7175</v>
      </c>
      <c r="J3488" s="47"/>
      <c r="K3488" s="143"/>
    </row>
    <row r="3489" spans="2:11" ht="24.9" customHeight="1" thickTop="1" thickBot="1" x14ac:dyDescent="0.25">
      <c r="B3489" s="191" t="s">
        <v>1310</v>
      </c>
      <c r="C3489" s="108" t="str">
        <f>+B574</f>
        <v>ITE96</v>
      </c>
      <c r="D3489" s="139" t="str">
        <f>+D574</f>
        <v>Mortero 1:3 (producción)</v>
      </c>
      <c r="E3489" s="108" t="str">
        <f>+E574</f>
        <v>M3</v>
      </c>
      <c r="F3489" s="140">
        <v>4.0000000000000001E-3</v>
      </c>
      <c r="G3489" s="141">
        <f>G574</f>
        <v>580906</v>
      </c>
      <c r="H3489" s="108">
        <v>1.05</v>
      </c>
      <c r="I3489" s="141">
        <f>ROUND((F3489*G3489*H3489),0)</f>
        <v>2440</v>
      </c>
      <c r="J3489" s="47"/>
      <c r="K3489" s="143"/>
    </row>
    <row r="3490" spans="2:11" ht="24.9" customHeight="1" thickTop="1" thickBot="1" x14ac:dyDescent="0.25">
      <c r="B3490" s="250" t="s">
        <v>1034</v>
      </c>
      <c r="C3490" s="108" t="str">
        <f>'LISTA DE INSUMOS'!A18</f>
        <v>MOB015</v>
      </c>
      <c r="D3490" s="139" t="str">
        <f>'LISTA DE INSUMOS'!B18</f>
        <v>Cuadrilla E 1 Of + 1 Ay (jornal + prestaciones)</v>
      </c>
      <c r="E3490" s="108" t="str">
        <f>'LISTA DE INSUMOS'!C18</f>
        <v>Día</v>
      </c>
      <c r="F3490" s="140">
        <v>1</v>
      </c>
      <c r="G3490" s="141">
        <f>'LISTA DE INSUMOS'!E18</f>
        <v>245584</v>
      </c>
      <c r="H3490" s="108">
        <f>1/9</f>
        <v>0.1111111111111111</v>
      </c>
      <c r="I3490" s="141">
        <f>ROUND((F3490*G3490*H3490),0)</f>
        <v>27287</v>
      </c>
      <c r="J3490" s="47"/>
      <c r="K3490" s="143"/>
    </row>
    <row r="3491" spans="2:11" ht="24.9" customHeight="1" thickTop="1" thickBot="1" x14ac:dyDescent="0.25">
      <c r="B3491" s="150" t="s">
        <v>1033</v>
      </c>
      <c r="C3491" s="151" t="str">
        <f>+'LISTA DE INSUMOS'!A758</f>
        <v>EQU002</v>
      </c>
      <c r="D3491" s="146" t="str">
        <f>+'LISTA DE INSUMOS'!B758</f>
        <v>Herramienta menor (% mano obra)</v>
      </c>
      <c r="E3491" s="145" t="str">
        <f>+'LISTA DE INSUMOS'!C758</f>
        <v>%MO</v>
      </c>
      <c r="F3491" s="147">
        <v>0.1</v>
      </c>
      <c r="G3491" s="148">
        <f>I3490</f>
        <v>27287</v>
      </c>
      <c r="H3491" s="145">
        <v>0</v>
      </c>
      <c r="I3491" s="148">
        <f>ROUND((F3491*G3491),0)</f>
        <v>2729</v>
      </c>
      <c r="J3491" s="47"/>
      <c r="K3491" s="143"/>
    </row>
    <row r="3492" spans="2:11" ht="24.9" customHeight="1" x14ac:dyDescent="0.2">
      <c r="B3492" s="117" t="s">
        <v>1886</v>
      </c>
      <c r="C3492" s="117"/>
      <c r="D3492" s="112" t="s">
        <v>1349</v>
      </c>
      <c r="E3492" s="117" t="s">
        <v>1871</v>
      </c>
      <c r="F3492" s="149"/>
      <c r="G3492" s="119">
        <f>ROUND(SUM(I3493:I3499),0)</f>
        <v>212029</v>
      </c>
      <c r="H3492" s="120"/>
      <c r="I3492" s="119"/>
      <c r="J3492" s="47"/>
      <c r="K3492" s="143"/>
    </row>
    <row r="3493" spans="2:11" ht="24.9" customHeight="1" x14ac:dyDescent="0.2">
      <c r="B3493" s="672" t="s">
        <v>1035</v>
      </c>
      <c r="C3493" s="108" t="str">
        <f>+'LISTA DE INSUMOS'!A311</f>
        <v>MAT285</v>
      </c>
      <c r="D3493" s="139" t="str">
        <f>+'LISTA DE INSUMOS'!B311</f>
        <v>Tubería PVC sanitaria de 3"</v>
      </c>
      <c r="E3493" s="108" t="str">
        <f>+'LISTA DE INSUMOS'!C311</f>
        <v>M</v>
      </c>
      <c r="F3493" s="140">
        <v>3</v>
      </c>
      <c r="G3493" s="141">
        <f>'LISTA DE INSUMOS'!E311</f>
        <v>19582.621824427199</v>
      </c>
      <c r="H3493" s="108">
        <v>1.05</v>
      </c>
      <c r="I3493" s="141">
        <f>ROUND((F3493*G3493*H3493),0)</f>
        <v>61685</v>
      </c>
      <c r="J3493" s="47"/>
      <c r="K3493" s="143"/>
    </row>
    <row r="3494" spans="2:11" ht="24.9" customHeight="1" x14ac:dyDescent="0.2">
      <c r="B3494" s="672"/>
      <c r="C3494" s="108" t="str">
        <f>+'LISTA DE INSUMOS'!A152</f>
        <v>MAT111</v>
      </c>
      <c r="D3494" s="139" t="str">
        <f>+'LISTA DE INSUMOS'!B152</f>
        <v>Accesorios PVC sanitaria 3" promedio</v>
      </c>
      <c r="E3494" s="108" t="str">
        <f>+'LISTA DE INSUMOS'!C152</f>
        <v>Un</v>
      </c>
      <c r="F3494" s="140">
        <v>2</v>
      </c>
      <c r="G3494" s="141">
        <f>'LISTA DE INSUMOS'!E152</f>
        <v>48208.401598637276</v>
      </c>
      <c r="H3494" s="108">
        <v>0</v>
      </c>
      <c r="I3494" s="141">
        <f>ROUND((F3494*G3494),0)</f>
        <v>96417</v>
      </c>
      <c r="J3494" s="47"/>
      <c r="K3494" s="143"/>
    </row>
    <row r="3495" spans="2:11" ht="24.9" customHeight="1" x14ac:dyDescent="0.2">
      <c r="B3495" s="672"/>
      <c r="C3495" s="108" t="str">
        <f>+'LISTA DE INSUMOS'!A651</f>
        <v>MAT667</v>
      </c>
      <c r="D3495" s="139" t="str">
        <f>+'LISTA DE INSUMOS'!B651</f>
        <v>Limpiador removedor PVC 1/4</v>
      </c>
      <c r="E3495" s="108" t="str">
        <f>+'LISTA DE INSUMOS'!C651</f>
        <v>Un</v>
      </c>
      <c r="F3495" s="152">
        <v>0.1</v>
      </c>
      <c r="G3495" s="141">
        <f>+'LISTA DE INSUMOS'!E651</f>
        <v>55927.469152499994</v>
      </c>
      <c r="H3495" s="108">
        <v>1.03</v>
      </c>
      <c r="I3495" s="141">
        <f>ROUND((F3495*G3495*H3495),0)</f>
        <v>5761</v>
      </c>
      <c r="J3495" s="47"/>
      <c r="K3495" s="143"/>
    </row>
    <row r="3496" spans="2:11" ht="24.9" customHeight="1" thickBot="1" x14ac:dyDescent="0.25">
      <c r="B3496" s="673"/>
      <c r="C3496" s="108" t="str">
        <f>+'LISTA DE INSUMOS'!A650</f>
        <v>MAT666</v>
      </c>
      <c r="D3496" s="139" t="str">
        <f>+'LISTA DE INSUMOS'!B650</f>
        <v>Soldadura liquida para PVC 1/4 GL</v>
      </c>
      <c r="E3496" s="108" t="str">
        <f>+'LISTA DE INSUMOS'!C650</f>
        <v>Un</v>
      </c>
      <c r="F3496" s="152">
        <v>0.1</v>
      </c>
      <c r="G3496" s="141">
        <f>+'LISTA DE INSUMOS'!E650</f>
        <v>116100.56750324999</v>
      </c>
      <c r="H3496" s="108">
        <v>1.03</v>
      </c>
      <c r="I3496" s="141">
        <f>ROUND((F3496*G3496*H3496),0)</f>
        <v>11958</v>
      </c>
      <c r="J3496" s="47"/>
      <c r="K3496" s="143"/>
    </row>
    <row r="3497" spans="2:11" ht="24.9" customHeight="1" thickTop="1" thickBot="1" x14ac:dyDescent="0.25">
      <c r="B3497" s="191" t="s">
        <v>1310</v>
      </c>
      <c r="C3497" s="108" t="str">
        <f>+B574</f>
        <v>ITE96</v>
      </c>
      <c r="D3497" s="139" t="str">
        <f>+D574</f>
        <v>Mortero 1:3 (producción)</v>
      </c>
      <c r="E3497" s="108" t="str">
        <f>+E574</f>
        <v>M3</v>
      </c>
      <c r="F3497" s="140">
        <v>4.0000000000000001E-3</v>
      </c>
      <c r="G3497" s="141">
        <f>G574</f>
        <v>580906</v>
      </c>
      <c r="H3497" s="108">
        <v>1.05</v>
      </c>
      <c r="I3497" s="141">
        <f>ROUND((F3497*G3497*H3497),0)</f>
        <v>2440</v>
      </c>
      <c r="J3497" s="47"/>
      <c r="K3497" s="143"/>
    </row>
    <row r="3498" spans="2:11" ht="24.9" customHeight="1" thickTop="1" thickBot="1" x14ac:dyDescent="0.25">
      <c r="B3498" s="250" t="s">
        <v>1034</v>
      </c>
      <c r="C3498" s="108" t="str">
        <f>'LISTA DE INSUMOS'!A18</f>
        <v>MOB015</v>
      </c>
      <c r="D3498" s="139" t="str">
        <f>'LISTA DE INSUMOS'!B18</f>
        <v>Cuadrilla E 1 Of + 1 Ay (jornal + prestaciones)</v>
      </c>
      <c r="E3498" s="108" t="str">
        <f>'LISTA DE INSUMOS'!C18</f>
        <v>Día</v>
      </c>
      <c r="F3498" s="140">
        <v>1</v>
      </c>
      <c r="G3498" s="141">
        <f>'LISTA DE INSUMOS'!E18</f>
        <v>245584</v>
      </c>
      <c r="H3498" s="108">
        <f>1/8</f>
        <v>0.125</v>
      </c>
      <c r="I3498" s="141">
        <f>ROUND((F3498*G3498*H3498),0)</f>
        <v>30698</v>
      </c>
      <c r="J3498" s="47"/>
      <c r="K3498" s="143"/>
    </row>
    <row r="3499" spans="2:11" ht="24.9" customHeight="1" thickTop="1" thickBot="1" x14ac:dyDescent="0.25">
      <c r="B3499" s="150" t="s">
        <v>1033</v>
      </c>
      <c r="C3499" s="151" t="str">
        <f>+'LISTA DE INSUMOS'!A758</f>
        <v>EQU002</v>
      </c>
      <c r="D3499" s="146" t="str">
        <f>+'LISTA DE INSUMOS'!B758</f>
        <v>Herramienta menor (% mano obra)</v>
      </c>
      <c r="E3499" s="145" t="str">
        <f>+'LISTA DE INSUMOS'!C758</f>
        <v>%MO</v>
      </c>
      <c r="F3499" s="147">
        <v>0.1</v>
      </c>
      <c r="G3499" s="148">
        <f>I3498</f>
        <v>30698</v>
      </c>
      <c r="H3499" s="145">
        <v>0</v>
      </c>
      <c r="I3499" s="148">
        <f>ROUND((F3499*G3499),0)</f>
        <v>3070</v>
      </c>
      <c r="J3499" s="47"/>
      <c r="K3499" s="143"/>
    </row>
    <row r="3500" spans="2:11" ht="24.9" customHeight="1" x14ac:dyDescent="0.2">
      <c r="B3500" s="117" t="s">
        <v>2968</v>
      </c>
      <c r="C3500" s="117"/>
      <c r="D3500" s="112" t="s">
        <v>294</v>
      </c>
      <c r="E3500" s="117" t="s">
        <v>1871</v>
      </c>
      <c r="F3500" s="118"/>
      <c r="G3500" s="119">
        <f>ROUND(SUM(I3501:I3507),0)</f>
        <v>203047</v>
      </c>
      <c r="H3500" s="120"/>
      <c r="I3500" s="119"/>
      <c r="J3500" s="47"/>
      <c r="K3500" s="143"/>
    </row>
    <row r="3501" spans="2:11" ht="24.9" customHeight="1" x14ac:dyDescent="0.2">
      <c r="B3501" s="672" t="s">
        <v>1035</v>
      </c>
      <c r="C3501" s="108" t="str">
        <f>+'LISTA DE INSUMOS'!A145</f>
        <v>MAT104</v>
      </c>
      <c r="D3501" s="139" t="str">
        <f>+'LISTA DE INSUMOS'!B145</f>
        <v>Tubería PVC sanitaria de 4"</v>
      </c>
      <c r="E3501" s="108" t="str">
        <f>+'LISTA DE INSUMOS'!C145</f>
        <v>M</v>
      </c>
      <c r="F3501" s="140">
        <v>3</v>
      </c>
      <c r="G3501" s="141">
        <f>'LISTA DE INSUMOS'!E145</f>
        <v>34443.320315599995</v>
      </c>
      <c r="H3501" s="108">
        <v>1.05</v>
      </c>
      <c r="I3501" s="141">
        <f>ROUND((F3501*G3501*H3501),0)</f>
        <v>108496</v>
      </c>
      <c r="J3501" s="47"/>
      <c r="K3501" s="143"/>
    </row>
    <row r="3502" spans="2:11" ht="24.9" customHeight="1" x14ac:dyDescent="0.2">
      <c r="B3502" s="672"/>
      <c r="C3502" s="108" t="str">
        <f>+'LISTA DE INSUMOS'!A339</f>
        <v>MAT326</v>
      </c>
      <c r="D3502" s="139" t="str">
        <f>+'LISTA DE INSUMOS'!B339</f>
        <v>Accesorios PVC sanitaria 4" promedio</v>
      </c>
      <c r="E3502" s="108" t="str">
        <f>+'LISTA DE INSUMOS'!C339</f>
        <v>Un</v>
      </c>
      <c r="F3502" s="140">
        <v>2</v>
      </c>
      <c r="G3502" s="141">
        <f>+'LISTA DE INSUMOS'!E339</f>
        <v>16128.5236624512</v>
      </c>
      <c r="H3502" s="108">
        <v>0</v>
      </c>
      <c r="I3502" s="141">
        <f>ROUND((F3502*G3502),0)</f>
        <v>32257</v>
      </c>
      <c r="J3502" s="47"/>
      <c r="K3502" s="143"/>
    </row>
    <row r="3503" spans="2:11" ht="24.9" customHeight="1" x14ac:dyDescent="0.2">
      <c r="B3503" s="672"/>
      <c r="C3503" s="108" t="str">
        <f>+'LISTA DE INSUMOS'!A651</f>
        <v>MAT667</v>
      </c>
      <c r="D3503" s="139" t="str">
        <f>+'LISTA DE INSUMOS'!B651</f>
        <v>Limpiador removedor PVC 1/4</v>
      </c>
      <c r="E3503" s="108" t="str">
        <f>+'LISTA DE INSUMOS'!C651</f>
        <v>Un</v>
      </c>
      <c r="F3503" s="152">
        <v>0.12</v>
      </c>
      <c r="G3503" s="141">
        <f>+'LISTA DE INSUMOS'!E651</f>
        <v>55927.469152499994</v>
      </c>
      <c r="H3503" s="108">
        <v>1.03</v>
      </c>
      <c r="I3503" s="141">
        <f>ROUND((F3503*G3503*H3503),0)</f>
        <v>6913</v>
      </c>
      <c r="J3503" s="47"/>
      <c r="K3503" s="143"/>
    </row>
    <row r="3504" spans="2:11" ht="24.9" customHeight="1" thickBot="1" x14ac:dyDescent="0.25">
      <c r="B3504" s="673"/>
      <c r="C3504" s="108" t="str">
        <f>+'LISTA DE INSUMOS'!A650</f>
        <v>MAT666</v>
      </c>
      <c r="D3504" s="139" t="str">
        <f>+'LISTA DE INSUMOS'!B650</f>
        <v>Soldadura liquida para PVC 1/4 GL</v>
      </c>
      <c r="E3504" s="108" t="str">
        <f>+'LISTA DE INSUMOS'!C650</f>
        <v>Un</v>
      </c>
      <c r="F3504" s="152">
        <v>0.12</v>
      </c>
      <c r="G3504" s="141">
        <f>+'LISTA DE INSUMOS'!E650</f>
        <v>116100.56750324999</v>
      </c>
      <c r="H3504" s="108">
        <v>1.03</v>
      </c>
      <c r="I3504" s="141">
        <f>ROUND((F3504*G3504*H3504),0)</f>
        <v>14350</v>
      </c>
      <c r="J3504" s="47"/>
      <c r="K3504" s="143"/>
    </row>
    <row r="3505" spans="2:11" ht="24.9" customHeight="1" thickTop="1" thickBot="1" x14ac:dyDescent="0.25">
      <c r="B3505" s="191" t="s">
        <v>1310</v>
      </c>
      <c r="C3505" s="108" t="str">
        <f>+B574</f>
        <v>ITE96</v>
      </c>
      <c r="D3505" s="139" t="str">
        <f>+D574</f>
        <v>Mortero 1:3 (producción)</v>
      </c>
      <c r="E3505" s="108" t="str">
        <f>+E574</f>
        <v>M3</v>
      </c>
      <c r="F3505" s="140">
        <v>4.0000000000000001E-3</v>
      </c>
      <c r="G3505" s="141">
        <f>G574</f>
        <v>580906</v>
      </c>
      <c r="H3505" s="108">
        <v>1.05</v>
      </c>
      <c r="I3505" s="141">
        <f>ROUND((F3505*G3505*H3505),0)</f>
        <v>2440</v>
      </c>
      <c r="J3505" s="47"/>
      <c r="K3505" s="143"/>
    </row>
    <row r="3506" spans="2:11" ht="24.9" customHeight="1" thickTop="1" thickBot="1" x14ac:dyDescent="0.25">
      <c r="B3506" s="250" t="s">
        <v>1034</v>
      </c>
      <c r="C3506" s="108" t="str">
        <f>'LISTA DE INSUMOS'!A18</f>
        <v>MOB015</v>
      </c>
      <c r="D3506" s="139" t="str">
        <f>'LISTA DE INSUMOS'!B18</f>
        <v>Cuadrilla E 1 Of + 1 Ay (jornal + prestaciones)</v>
      </c>
      <c r="E3506" s="108" t="str">
        <f>'LISTA DE INSUMOS'!C18</f>
        <v>Día</v>
      </c>
      <c r="F3506" s="140">
        <v>1</v>
      </c>
      <c r="G3506" s="141">
        <f>'LISTA DE INSUMOS'!E18</f>
        <v>245584</v>
      </c>
      <c r="H3506" s="108">
        <f>1/7</f>
        <v>0.14285714285714285</v>
      </c>
      <c r="I3506" s="141">
        <f>ROUND((F3506*G3506*H3506),0)</f>
        <v>35083</v>
      </c>
      <c r="J3506" s="47"/>
      <c r="K3506" s="143"/>
    </row>
    <row r="3507" spans="2:11" ht="24.9" customHeight="1" thickTop="1" thickBot="1" x14ac:dyDescent="0.25">
      <c r="B3507" s="150" t="s">
        <v>1033</v>
      </c>
      <c r="C3507" s="151" t="str">
        <f>+'LISTA DE INSUMOS'!A758</f>
        <v>EQU002</v>
      </c>
      <c r="D3507" s="146" t="str">
        <f>+'LISTA DE INSUMOS'!B758</f>
        <v>Herramienta menor (% mano obra)</v>
      </c>
      <c r="E3507" s="145" t="str">
        <f>+'LISTA DE INSUMOS'!C758</f>
        <v>%MO</v>
      </c>
      <c r="F3507" s="147">
        <v>0.1</v>
      </c>
      <c r="G3507" s="148">
        <f>I3506</f>
        <v>35083</v>
      </c>
      <c r="H3507" s="145">
        <v>0</v>
      </c>
      <c r="I3507" s="148">
        <f>ROUND((F3507*G3507),0)</f>
        <v>3508</v>
      </c>
      <c r="J3507" s="47"/>
      <c r="K3507" s="143"/>
    </row>
    <row r="3508" spans="2:11" ht="24.9" customHeight="1" x14ac:dyDescent="0.2">
      <c r="B3508" s="117" t="s">
        <v>2969</v>
      </c>
      <c r="C3508" s="117"/>
      <c r="D3508" s="112" t="s">
        <v>2004</v>
      </c>
      <c r="E3508" s="117" t="s">
        <v>1412</v>
      </c>
      <c r="F3508" s="149"/>
      <c r="G3508" s="119">
        <f>ROUND(SUM(I3509:I3510),0)</f>
        <v>15301</v>
      </c>
      <c r="H3508" s="120"/>
      <c r="I3508" s="119"/>
      <c r="J3508" s="47"/>
      <c r="K3508" s="143"/>
    </row>
    <row r="3509" spans="2:11" ht="24.9" customHeight="1" thickBot="1" x14ac:dyDescent="0.25">
      <c r="B3509" s="175" t="s">
        <v>1325</v>
      </c>
      <c r="C3509" s="108" t="str">
        <f>+'LISTA DE INSUMOS'!A191</f>
        <v>MAT149</v>
      </c>
      <c r="D3509" s="139" t="str">
        <f>+'LISTA DE INSUMOS'!B191</f>
        <v>Tubería PVC corrugada perforada de   65 mm (2 1/2")</v>
      </c>
      <c r="E3509" s="108" t="str">
        <f>+'LISTA DE INSUMOS'!C191</f>
        <v>M</v>
      </c>
      <c r="F3509" s="140">
        <v>1</v>
      </c>
      <c r="G3509" s="141">
        <f>'LISTA DE INSUMOS'!E191</f>
        <v>11453.813179049999</v>
      </c>
      <c r="H3509" s="108">
        <v>1.05</v>
      </c>
      <c r="I3509" s="141">
        <f>ROUND((F3509*G3509*H3509),0)</f>
        <v>12027</v>
      </c>
      <c r="J3509" s="47"/>
      <c r="K3509" s="143"/>
    </row>
    <row r="3510" spans="2:11" ht="24.9" customHeight="1" thickTop="1" thickBot="1" x14ac:dyDescent="0.25">
      <c r="B3510" s="153" t="s">
        <v>1034</v>
      </c>
      <c r="C3510" s="145" t="str">
        <f>'LISTA DE INSUMOS'!A5</f>
        <v>MOB002</v>
      </c>
      <c r="D3510" s="146" t="str">
        <f>'LISTA DE INSUMOS'!B5</f>
        <v>Oficial (jornal + prestaciones)</v>
      </c>
      <c r="E3510" s="145" t="str">
        <f>'LISTA DE INSUMOS'!C5</f>
        <v>Día</v>
      </c>
      <c r="F3510" s="147">
        <v>1</v>
      </c>
      <c r="G3510" s="148">
        <f>'LISTA DE INSUMOS'!E5</f>
        <v>163723</v>
      </c>
      <c r="H3510" s="145">
        <v>0.02</v>
      </c>
      <c r="I3510" s="148">
        <f>ROUND((F3510*G3510*H3510),0)</f>
        <v>3274</v>
      </c>
      <c r="J3510" s="47"/>
      <c r="K3510" s="143"/>
    </row>
    <row r="3511" spans="2:11" ht="24.9" customHeight="1" x14ac:dyDescent="0.2">
      <c r="B3511" s="117" t="s">
        <v>2970</v>
      </c>
      <c r="C3511" s="117"/>
      <c r="D3511" s="112" t="s">
        <v>2005</v>
      </c>
      <c r="E3511" s="117" t="s">
        <v>1412</v>
      </c>
      <c r="F3511" s="149"/>
      <c r="G3511" s="119">
        <f>ROUND(SUM(I3512:I3513),0)</f>
        <v>23987</v>
      </c>
      <c r="H3511" s="120"/>
      <c r="I3511" s="119"/>
      <c r="J3511" s="47"/>
      <c r="K3511" s="143"/>
    </row>
    <row r="3512" spans="2:11" ht="24.9" customHeight="1" thickBot="1" x14ac:dyDescent="0.25">
      <c r="B3512" s="175" t="s">
        <v>1325</v>
      </c>
      <c r="C3512" s="108" t="str">
        <f>+'LISTA DE INSUMOS'!A192</f>
        <v>MAT150</v>
      </c>
      <c r="D3512" s="139" t="str">
        <f>+'LISTA DE INSUMOS'!B192</f>
        <v>Tubería PVC corrugada perforada de 100 mm (4")</v>
      </c>
      <c r="E3512" s="108" t="str">
        <f>+'LISTA DE INSUMOS'!C192</f>
        <v>M</v>
      </c>
      <c r="F3512" s="140">
        <v>1</v>
      </c>
      <c r="G3512" s="141">
        <f>'LISTA DE INSUMOS'!E192</f>
        <v>19726.551414735</v>
      </c>
      <c r="H3512" s="108">
        <v>1.05</v>
      </c>
      <c r="I3512" s="141">
        <f>ROUND((F3512*G3512*H3512),0)</f>
        <v>20713</v>
      </c>
      <c r="J3512" s="47"/>
      <c r="K3512" s="143"/>
    </row>
    <row r="3513" spans="2:11" ht="24.9" customHeight="1" thickTop="1" thickBot="1" x14ac:dyDescent="0.25">
      <c r="B3513" s="153" t="s">
        <v>1034</v>
      </c>
      <c r="C3513" s="145" t="str">
        <f>'LISTA DE INSUMOS'!A5</f>
        <v>MOB002</v>
      </c>
      <c r="D3513" s="146" t="str">
        <f>'LISTA DE INSUMOS'!B5</f>
        <v>Oficial (jornal + prestaciones)</v>
      </c>
      <c r="E3513" s="145" t="str">
        <f>'LISTA DE INSUMOS'!C5</f>
        <v>Día</v>
      </c>
      <c r="F3513" s="147">
        <v>1</v>
      </c>
      <c r="G3513" s="148">
        <f>'LISTA DE INSUMOS'!E5</f>
        <v>163723</v>
      </c>
      <c r="H3513" s="145">
        <v>0.02</v>
      </c>
      <c r="I3513" s="148">
        <f>ROUND((F3513*G3513*H3513),0)</f>
        <v>3274</v>
      </c>
      <c r="J3513" s="47"/>
      <c r="K3513" s="143"/>
    </row>
    <row r="3514" spans="2:11" ht="24.9" customHeight="1" x14ac:dyDescent="0.2">
      <c r="B3514" s="117" t="s">
        <v>1708</v>
      </c>
      <c r="C3514" s="117"/>
      <c r="D3514" s="112" t="s">
        <v>2006</v>
      </c>
      <c r="E3514" s="117" t="s">
        <v>1412</v>
      </c>
      <c r="F3514" s="149"/>
      <c r="G3514" s="119">
        <f>ROUND(SUM(I3515:I3516),0)</f>
        <v>54239</v>
      </c>
      <c r="H3514" s="120"/>
      <c r="I3514" s="119"/>
      <c r="J3514" s="47"/>
      <c r="K3514" s="143"/>
    </row>
    <row r="3515" spans="2:11" ht="24.9" customHeight="1" thickBot="1" x14ac:dyDescent="0.25">
      <c r="B3515" s="175" t="s">
        <v>1325</v>
      </c>
      <c r="C3515" s="108" t="str">
        <f>+'LISTA DE INSUMOS'!A193</f>
        <v>MAT151</v>
      </c>
      <c r="D3515" s="139" t="str">
        <f>+'LISTA DE INSUMOS'!B193</f>
        <v>Tubería PVC corrugada perforada de 160 mm (6")</v>
      </c>
      <c r="E3515" s="108" t="str">
        <f>+'LISTA DE INSUMOS'!C193</f>
        <v>M</v>
      </c>
      <c r="F3515" s="140">
        <v>1</v>
      </c>
      <c r="G3515" s="141">
        <f>'LISTA DE INSUMOS'!E193</f>
        <v>48538.418055270005</v>
      </c>
      <c r="H3515" s="108">
        <v>1.05</v>
      </c>
      <c r="I3515" s="141">
        <f>ROUND((F3515*G3515*H3515),0)</f>
        <v>50965</v>
      </c>
      <c r="J3515" s="47"/>
      <c r="K3515" s="143"/>
    </row>
    <row r="3516" spans="2:11" ht="24.75" customHeight="1" thickTop="1" thickBot="1" x14ac:dyDescent="0.25">
      <c r="B3516" s="153" t="s">
        <v>1034</v>
      </c>
      <c r="C3516" s="145" t="str">
        <f>'LISTA DE INSUMOS'!A5</f>
        <v>MOB002</v>
      </c>
      <c r="D3516" s="146" t="str">
        <f>'LISTA DE INSUMOS'!B5</f>
        <v>Oficial (jornal + prestaciones)</v>
      </c>
      <c r="E3516" s="145" t="str">
        <f>'LISTA DE INSUMOS'!C5</f>
        <v>Día</v>
      </c>
      <c r="F3516" s="147">
        <v>1</v>
      </c>
      <c r="G3516" s="148">
        <f>'LISTA DE INSUMOS'!E5</f>
        <v>163723</v>
      </c>
      <c r="H3516" s="145">
        <v>0.02</v>
      </c>
      <c r="I3516" s="148">
        <f>ROUND((F3516*G3516*H3516),0)</f>
        <v>3274</v>
      </c>
      <c r="J3516" s="47"/>
      <c r="K3516" s="143"/>
    </row>
    <row r="3517" spans="2:11" s="317" customFormat="1" ht="24.9" hidden="1" customHeight="1" x14ac:dyDescent="0.2">
      <c r="B3517" s="319" t="s">
        <v>2369</v>
      </c>
      <c r="C3517" s="319"/>
      <c r="D3517" s="320" t="s">
        <v>2008</v>
      </c>
      <c r="E3517" s="319" t="s">
        <v>1412</v>
      </c>
      <c r="F3517" s="332"/>
      <c r="G3517" s="312">
        <f>ROUND(SUM(I3518:I3519),0)</f>
        <v>81062</v>
      </c>
      <c r="H3517" s="322"/>
      <c r="I3517" s="312"/>
      <c r="J3517" s="313"/>
      <c r="K3517" s="323"/>
    </row>
    <row r="3518" spans="2:11" s="317" customFormat="1" ht="24.9" hidden="1" customHeight="1" thickBot="1" x14ac:dyDescent="0.25">
      <c r="B3518" s="347" t="s">
        <v>1325</v>
      </c>
      <c r="C3518" s="322" t="str">
        <f>+'LISTA DE INSUMOS'!A171</f>
        <v>MAT125</v>
      </c>
      <c r="D3518" s="324" t="str">
        <f>+'LISTA DE INSUMOS'!B171</f>
        <v>Tubería PVC corrugada perforada de 200 mm (8")</v>
      </c>
      <c r="E3518" s="322" t="str">
        <f>+'LISTA DE INSUMOS'!C171</f>
        <v>M</v>
      </c>
      <c r="F3518" s="325">
        <v>1</v>
      </c>
      <c r="G3518" s="312">
        <f>'LISTA DE INSUMOS'!E171</f>
        <v>74083.745071049983</v>
      </c>
      <c r="H3518" s="322">
        <v>1.05</v>
      </c>
      <c r="I3518" s="312">
        <f>ROUND((F3518*G3518*H3518),0)</f>
        <v>77788</v>
      </c>
      <c r="J3518" s="313"/>
      <c r="K3518" s="323"/>
    </row>
    <row r="3519" spans="2:11" s="317" customFormat="1" ht="24.9" hidden="1" customHeight="1" thickTop="1" thickBot="1" x14ac:dyDescent="0.25">
      <c r="B3519" s="363" t="s">
        <v>1034</v>
      </c>
      <c r="C3519" s="329" t="str">
        <f>'LISTA DE INSUMOS'!A5</f>
        <v>MOB002</v>
      </c>
      <c r="D3519" s="328" t="str">
        <f>'LISTA DE INSUMOS'!B5</f>
        <v>Oficial (jornal + prestaciones)</v>
      </c>
      <c r="E3519" s="329" t="str">
        <f>'LISTA DE INSUMOS'!C5</f>
        <v>Día</v>
      </c>
      <c r="F3519" s="330">
        <v>1</v>
      </c>
      <c r="G3519" s="331">
        <f>'LISTA DE INSUMOS'!E5</f>
        <v>163723</v>
      </c>
      <c r="H3519" s="329">
        <v>0.02</v>
      </c>
      <c r="I3519" s="331">
        <f>ROUND((F3519*G3519*H3519),0)</f>
        <v>3274</v>
      </c>
      <c r="J3519" s="313"/>
      <c r="K3519" s="323"/>
    </row>
    <row r="3520" spans="2:11" s="317" customFormat="1" ht="24.9" hidden="1" customHeight="1" x14ac:dyDescent="0.2">
      <c r="B3520" s="319" t="s">
        <v>2370</v>
      </c>
      <c r="C3520" s="319"/>
      <c r="D3520" s="320" t="s">
        <v>88</v>
      </c>
      <c r="E3520" s="319" t="s">
        <v>1412</v>
      </c>
      <c r="F3520" s="332"/>
      <c r="G3520" s="312">
        <f>ROUND(SUM(I3521:I3524),0)</f>
        <v>785515</v>
      </c>
      <c r="H3520" s="322"/>
      <c r="I3520" s="312"/>
      <c r="J3520" s="313"/>
      <c r="K3520" s="323"/>
    </row>
    <row r="3521" spans="2:12" s="317" customFormat="1" ht="24.9" hidden="1" customHeight="1" x14ac:dyDescent="0.2">
      <c r="B3521" s="658" t="s">
        <v>1325</v>
      </c>
      <c r="C3521" s="375" t="str">
        <f>+'LISTA DE INSUMOS'!A573</f>
        <v>MAT590</v>
      </c>
      <c r="D3521" s="368" t="str">
        <f>+'LISTA DE INSUMOS'!B573</f>
        <v>Tubería PVC de alcantarillado de pared estructural d = 24", exterior liso</v>
      </c>
      <c r="E3521" s="376" t="str">
        <f>+'LISTA DE INSUMOS'!C573</f>
        <v>M</v>
      </c>
      <c r="F3521" s="377">
        <v>1</v>
      </c>
      <c r="G3521" s="378">
        <f>'LISTA DE INSUMOS'!E573</f>
        <v>713336.37377639988</v>
      </c>
      <c r="H3521" s="376">
        <v>1.05</v>
      </c>
      <c r="I3521" s="378">
        <f>ROUND((F3521*G3521*H3521),0)</f>
        <v>749003</v>
      </c>
      <c r="J3521" s="313"/>
      <c r="K3521" s="323"/>
      <c r="L3521" s="317">
        <f>900/254</f>
        <v>3.5433070866141732</v>
      </c>
    </row>
    <row r="3522" spans="2:12" s="317" customFormat="1" ht="24.9" hidden="1" customHeight="1" thickBot="1" x14ac:dyDescent="0.25">
      <c r="B3522" s="668"/>
      <c r="C3522" s="322" t="str">
        <f>+'LISTA DE INSUMOS'!A112</f>
        <v>MAT070</v>
      </c>
      <c r="D3522" s="324" t="str">
        <f>+'LISTA DE INSUMOS'!B112</f>
        <v>Vaselina</v>
      </c>
      <c r="E3522" s="322" t="str">
        <f>+'LISTA DE INSUMOS'!C112</f>
        <v>Kg</v>
      </c>
      <c r="F3522" s="351">
        <v>3.2000000000000001E-2</v>
      </c>
      <c r="G3522" s="312">
        <f>'LISTA DE INSUMOS'!E112</f>
        <v>14940.005999999998</v>
      </c>
      <c r="H3522" s="322">
        <v>1.03</v>
      </c>
      <c r="I3522" s="312">
        <f>ROUND((F3522*G3522*H3522),0)</f>
        <v>492</v>
      </c>
      <c r="J3522" s="313"/>
      <c r="K3522" s="323"/>
    </row>
    <row r="3523" spans="2:12" s="381" customFormat="1" ht="24.75" hidden="1" customHeight="1" thickTop="1" thickBot="1" x14ac:dyDescent="0.25">
      <c r="B3523" s="372" t="s">
        <v>1034</v>
      </c>
      <c r="C3523" s="322" t="str">
        <f>'LISTA DE INSUMOS'!A20</f>
        <v>MOB017</v>
      </c>
      <c r="D3523" s="324" t="str">
        <f>'LISTA DE INSUMOS'!B20</f>
        <v>Cuadrilla G 1 Of + 2 Ay (jornal + prestaciones)</v>
      </c>
      <c r="E3523" s="322" t="str">
        <f>'LISTA DE INSUMOS'!C20</f>
        <v>Día</v>
      </c>
      <c r="F3523" s="325">
        <v>1</v>
      </c>
      <c r="G3523" s="312">
        <f>'LISTA DE INSUMOS'!E20</f>
        <v>327445</v>
      </c>
      <c r="H3523" s="322">
        <f>1/10</f>
        <v>0.1</v>
      </c>
      <c r="I3523" s="312">
        <f>ROUND((F3523*G3523*H3523),0)</f>
        <v>32745</v>
      </c>
      <c r="J3523" s="379"/>
      <c r="K3523" s="380"/>
    </row>
    <row r="3524" spans="2:12" s="317" customFormat="1" ht="24.9" hidden="1" customHeight="1" thickTop="1" thickBot="1" x14ac:dyDescent="0.25">
      <c r="B3524" s="255" t="s">
        <v>1033</v>
      </c>
      <c r="C3524" s="327" t="str">
        <f>+'LISTA DE INSUMOS'!A758</f>
        <v>EQU002</v>
      </c>
      <c r="D3524" s="328" t="str">
        <f>+'LISTA DE INSUMOS'!B758</f>
        <v>Herramienta menor (% mano obra)</v>
      </c>
      <c r="E3524" s="329" t="str">
        <f>+'LISTA DE INSUMOS'!C758</f>
        <v>%MO</v>
      </c>
      <c r="F3524" s="330">
        <v>0.1</v>
      </c>
      <c r="G3524" s="331">
        <f>I3523</f>
        <v>32745</v>
      </c>
      <c r="H3524" s="329">
        <v>0</v>
      </c>
      <c r="I3524" s="331">
        <f>ROUND((F3524*G3524),0)</f>
        <v>3275</v>
      </c>
      <c r="J3524" s="313"/>
      <c r="K3524" s="323"/>
    </row>
    <row r="3525" spans="2:12" s="317" customFormat="1" ht="24.9" hidden="1" customHeight="1" x14ac:dyDescent="0.2">
      <c r="B3525" s="319" t="s">
        <v>2371</v>
      </c>
      <c r="C3525" s="319"/>
      <c r="D3525" s="379" t="s">
        <v>89</v>
      </c>
      <c r="E3525" s="319" t="s">
        <v>1412</v>
      </c>
      <c r="F3525" s="332"/>
      <c r="G3525" s="312">
        <f>ROUND(SUM(I3526:I3529),0)</f>
        <v>942415</v>
      </c>
      <c r="H3525" s="322"/>
      <c r="I3525" s="312"/>
      <c r="J3525" s="313"/>
      <c r="K3525" s="323"/>
    </row>
    <row r="3526" spans="2:12" s="317" customFormat="1" ht="24.9" hidden="1" customHeight="1" x14ac:dyDescent="0.2">
      <c r="B3526" s="658" t="s">
        <v>1325</v>
      </c>
      <c r="C3526" s="338" t="str">
        <f>+'LISTA DE INSUMOS'!A574</f>
        <v>MAT591</v>
      </c>
      <c r="D3526" s="368" t="str">
        <f>+'LISTA DE INSUMOS'!B574</f>
        <v>Tubería PVC de alcantarillado de pared estructural d = 27", exterior liso</v>
      </c>
      <c r="E3526" s="322" t="str">
        <f>+'LISTA DE INSUMOS'!C574</f>
        <v>M</v>
      </c>
      <c r="F3526" s="325">
        <v>1</v>
      </c>
      <c r="G3526" s="312">
        <f>'LISTA DE INSUMOS'!E574</f>
        <v>854130.05071019998</v>
      </c>
      <c r="H3526" s="322">
        <v>1.05</v>
      </c>
      <c r="I3526" s="312">
        <f>ROUND((F3526*G3526*H3526),0)</f>
        <v>896837</v>
      </c>
      <c r="J3526" s="313"/>
      <c r="K3526" s="323"/>
    </row>
    <row r="3527" spans="2:12" s="317" customFormat="1" ht="24.9" hidden="1" customHeight="1" thickBot="1" x14ac:dyDescent="0.25">
      <c r="B3527" s="668"/>
      <c r="C3527" s="322" t="str">
        <f>+'LISTA DE INSUMOS'!A112</f>
        <v>MAT070</v>
      </c>
      <c r="D3527" s="324" t="str">
        <f>+'LISTA DE INSUMOS'!B112</f>
        <v>Vaselina</v>
      </c>
      <c r="E3527" s="322" t="str">
        <f>+'LISTA DE INSUMOS'!C112</f>
        <v>Kg</v>
      </c>
      <c r="F3527" s="351">
        <v>3.5999999999999997E-2</v>
      </c>
      <c r="G3527" s="312">
        <f>'LISTA DE INSUMOS'!E112</f>
        <v>14940.005999999998</v>
      </c>
      <c r="H3527" s="322">
        <v>1.03</v>
      </c>
      <c r="I3527" s="312">
        <f>ROUND((F3527*G3527*H3527),0)</f>
        <v>554</v>
      </c>
      <c r="J3527" s="313"/>
      <c r="K3527" s="323"/>
    </row>
    <row r="3528" spans="2:12" s="317" customFormat="1" ht="24.9" hidden="1" customHeight="1" thickTop="1" thickBot="1" x14ac:dyDescent="0.25">
      <c r="B3528" s="372" t="s">
        <v>1034</v>
      </c>
      <c r="C3528" s="322" t="str">
        <f>'LISTA DE INSUMOS'!A20</f>
        <v>MOB017</v>
      </c>
      <c r="D3528" s="324" t="str">
        <f>'LISTA DE INSUMOS'!B20</f>
        <v>Cuadrilla G 1 Of + 2 Ay (jornal + prestaciones)</v>
      </c>
      <c r="E3528" s="322" t="str">
        <f>'LISTA DE INSUMOS'!C20</f>
        <v>Día</v>
      </c>
      <c r="F3528" s="325">
        <v>1</v>
      </c>
      <c r="G3528" s="312">
        <f>'LISTA DE INSUMOS'!E20</f>
        <v>327445</v>
      </c>
      <c r="H3528" s="322">
        <f>1/8</f>
        <v>0.125</v>
      </c>
      <c r="I3528" s="312">
        <f>ROUND((F3528*G3528*H3528),0)</f>
        <v>40931</v>
      </c>
      <c r="J3528" s="313"/>
      <c r="K3528" s="323"/>
    </row>
    <row r="3529" spans="2:12" s="317" customFormat="1" ht="24.9" hidden="1" customHeight="1" thickTop="1" thickBot="1" x14ac:dyDescent="0.25">
      <c r="B3529" s="255" t="s">
        <v>1033</v>
      </c>
      <c r="C3529" s="327" t="str">
        <f>+'LISTA DE INSUMOS'!A758</f>
        <v>EQU002</v>
      </c>
      <c r="D3529" s="328" t="str">
        <f>+'LISTA DE INSUMOS'!B758</f>
        <v>Herramienta menor (% mano obra)</v>
      </c>
      <c r="E3529" s="329" t="str">
        <f>+'LISTA DE INSUMOS'!C758</f>
        <v>%MO</v>
      </c>
      <c r="F3529" s="330">
        <v>0.1</v>
      </c>
      <c r="G3529" s="331">
        <f>I3528</f>
        <v>40931</v>
      </c>
      <c r="H3529" s="329">
        <v>0</v>
      </c>
      <c r="I3529" s="331">
        <f>ROUND((F3529*G3529),0)</f>
        <v>4093</v>
      </c>
      <c r="J3529" s="313"/>
      <c r="K3529" s="323"/>
    </row>
    <row r="3530" spans="2:12" s="317" customFormat="1" ht="24.9" hidden="1" customHeight="1" x14ac:dyDescent="0.2">
      <c r="B3530" s="319" t="s">
        <v>2372</v>
      </c>
      <c r="C3530" s="319"/>
      <c r="D3530" s="379" t="s">
        <v>90</v>
      </c>
      <c r="E3530" s="319" t="s">
        <v>1412</v>
      </c>
      <c r="F3530" s="332"/>
      <c r="G3530" s="312">
        <f>ROUND(SUM(I3531:I3534),0)</f>
        <v>1164806</v>
      </c>
      <c r="H3530" s="322"/>
      <c r="I3530" s="312"/>
      <c r="J3530" s="313"/>
      <c r="K3530" s="323"/>
    </row>
    <row r="3531" spans="2:12" s="317" customFormat="1" ht="24.9" hidden="1" customHeight="1" x14ac:dyDescent="0.2">
      <c r="B3531" s="658" t="s">
        <v>1325</v>
      </c>
      <c r="C3531" s="338" t="str">
        <f>+'LISTA DE INSUMOS'!A575</f>
        <v>MAT592</v>
      </c>
      <c r="D3531" s="368" t="str">
        <f>+'LISTA DE INSUMOS'!B575</f>
        <v>Tubería PVC de alcantarillado de pared estructural d = 30", exterior liso</v>
      </c>
      <c r="E3531" s="322" t="str">
        <f>+'LISTA DE INSUMOS'!C575</f>
        <v>M</v>
      </c>
      <c r="F3531" s="325">
        <v>1</v>
      </c>
      <c r="G3531" s="312">
        <f>'LISTA DE INSUMOS'!E575</f>
        <v>1065872.6635358999</v>
      </c>
      <c r="H3531" s="322">
        <v>1.05</v>
      </c>
      <c r="I3531" s="312">
        <f>ROUND((F3531*G3531*H3531),0)</f>
        <v>1119166</v>
      </c>
      <c r="J3531" s="313"/>
      <c r="K3531" s="323"/>
    </row>
    <row r="3532" spans="2:12" s="317" customFormat="1" ht="24.9" hidden="1" customHeight="1" thickBot="1" x14ac:dyDescent="0.25">
      <c r="B3532" s="668"/>
      <c r="C3532" s="322" t="str">
        <f>+'LISTA DE INSUMOS'!A112</f>
        <v>MAT070</v>
      </c>
      <c r="D3532" s="324" t="str">
        <f>+'LISTA DE INSUMOS'!B112</f>
        <v>Vaselina</v>
      </c>
      <c r="E3532" s="322" t="str">
        <f>+'LISTA DE INSUMOS'!C112</f>
        <v>Kg</v>
      </c>
      <c r="F3532" s="325">
        <v>0.04</v>
      </c>
      <c r="G3532" s="312">
        <f>'LISTA DE INSUMOS'!E112</f>
        <v>14940.005999999998</v>
      </c>
      <c r="H3532" s="322">
        <v>1.03</v>
      </c>
      <c r="I3532" s="312">
        <f>ROUND((F3532*G3532*H3532),0)</f>
        <v>616</v>
      </c>
      <c r="J3532" s="313"/>
      <c r="K3532" s="323"/>
    </row>
    <row r="3533" spans="2:12" s="317" customFormat="1" ht="24.9" hidden="1" customHeight="1" thickTop="1" thickBot="1" x14ac:dyDescent="0.25">
      <c r="B3533" s="372" t="s">
        <v>1034</v>
      </c>
      <c r="C3533" s="322" t="str">
        <f>'LISTA DE INSUMOS'!A20</f>
        <v>MOB017</v>
      </c>
      <c r="D3533" s="324" t="str">
        <f>'LISTA DE INSUMOS'!B20</f>
        <v>Cuadrilla G 1 Of + 2 Ay (jornal + prestaciones)</v>
      </c>
      <c r="E3533" s="322" t="str">
        <f>'LISTA DE INSUMOS'!C20</f>
        <v>Día</v>
      </c>
      <c r="F3533" s="325">
        <v>1</v>
      </c>
      <c r="G3533" s="312">
        <f>'LISTA DE INSUMOS'!E20</f>
        <v>327445</v>
      </c>
      <c r="H3533" s="322">
        <f>1/8</f>
        <v>0.125</v>
      </c>
      <c r="I3533" s="312">
        <f>ROUND((F3533*G3533*H3533),0)</f>
        <v>40931</v>
      </c>
      <c r="J3533" s="313"/>
      <c r="K3533" s="323"/>
    </row>
    <row r="3534" spans="2:12" s="317" customFormat="1" ht="24.9" hidden="1" customHeight="1" thickTop="1" thickBot="1" x14ac:dyDescent="0.25">
      <c r="B3534" s="255" t="s">
        <v>1033</v>
      </c>
      <c r="C3534" s="327" t="str">
        <f>+'LISTA DE INSUMOS'!A758</f>
        <v>EQU002</v>
      </c>
      <c r="D3534" s="328" t="str">
        <f>+'LISTA DE INSUMOS'!B758</f>
        <v>Herramienta menor (% mano obra)</v>
      </c>
      <c r="E3534" s="329" t="str">
        <f>+'LISTA DE INSUMOS'!C758</f>
        <v>%MO</v>
      </c>
      <c r="F3534" s="330">
        <v>0.1</v>
      </c>
      <c r="G3534" s="331">
        <f>I3533</f>
        <v>40931</v>
      </c>
      <c r="H3534" s="329">
        <v>0</v>
      </c>
      <c r="I3534" s="331">
        <f>ROUND((F3534*G3534),0)</f>
        <v>4093</v>
      </c>
      <c r="J3534" s="313"/>
      <c r="K3534" s="323"/>
    </row>
    <row r="3535" spans="2:12" s="317" customFormat="1" ht="24.9" hidden="1" customHeight="1" x14ac:dyDescent="0.2">
      <c r="B3535" s="319" t="s">
        <v>2373</v>
      </c>
      <c r="C3535" s="319"/>
      <c r="D3535" s="379" t="s">
        <v>92</v>
      </c>
      <c r="E3535" s="319" t="s">
        <v>1412</v>
      </c>
      <c r="F3535" s="332"/>
      <c r="G3535" s="312">
        <f>ROUND(SUM(I3536:I3539),0)</f>
        <v>1144003</v>
      </c>
      <c r="H3535" s="322"/>
      <c r="I3535" s="312"/>
      <c r="J3535" s="313"/>
      <c r="K3535" s="323"/>
    </row>
    <row r="3536" spans="2:12" s="317" customFormat="1" ht="24.9" hidden="1" customHeight="1" x14ac:dyDescent="0.2">
      <c r="B3536" s="658" t="s">
        <v>1325</v>
      </c>
      <c r="C3536" s="338" t="str">
        <f>+'LISTA DE INSUMOS'!A577</f>
        <v>MAT594</v>
      </c>
      <c r="D3536" s="368" t="str">
        <f>+'LISTA DE INSUMOS'!B577</f>
        <v>Tubería PVC de alcantarillado de pared estructural d = 36", exterior liso</v>
      </c>
      <c r="E3536" s="322" t="str">
        <f>+'LISTA DE INSUMOS'!C577</f>
        <v>M</v>
      </c>
      <c r="F3536" s="325">
        <v>1</v>
      </c>
      <c r="G3536" s="312">
        <f>'LISTA DE INSUMOS'!E577</f>
        <v>1045913.8377780397</v>
      </c>
      <c r="H3536" s="322">
        <v>1.05</v>
      </c>
      <c r="I3536" s="312">
        <f>ROUND((F3536*G3536*H3536),0)</f>
        <v>1098210</v>
      </c>
      <c r="J3536" s="313"/>
      <c r="K3536" s="323"/>
    </row>
    <row r="3537" spans="2:11" s="317" customFormat="1" ht="24.9" hidden="1" customHeight="1" thickBot="1" x14ac:dyDescent="0.25">
      <c r="B3537" s="668"/>
      <c r="C3537" s="322" t="str">
        <f>+'LISTA DE INSUMOS'!A112</f>
        <v>MAT070</v>
      </c>
      <c r="D3537" s="324" t="str">
        <f>+'LISTA DE INSUMOS'!B112</f>
        <v>Vaselina</v>
      </c>
      <c r="E3537" s="322" t="str">
        <f>+'LISTA DE INSUMOS'!C112</f>
        <v>Kg</v>
      </c>
      <c r="F3537" s="325">
        <v>0.05</v>
      </c>
      <c r="G3537" s="312">
        <f>'LISTA DE INSUMOS'!E112</f>
        <v>14940.005999999998</v>
      </c>
      <c r="H3537" s="322">
        <v>1.03</v>
      </c>
      <c r="I3537" s="312">
        <f>ROUND((F3537*G3537*H3537),0)</f>
        <v>769</v>
      </c>
      <c r="J3537" s="313"/>
      <c r="K3537" s="323"/>
    </row>
    <row r="3538" spans="2:11" s="317" customFormat="1" ht="24.9" hidden="1" customHeight="1" thickTop="1" thickBot="1" x14ac:dyDescent="0.25">
      <c r="B3538" s="372" t="s">
        <v>1034</v>
      </c>
      <c r="C3538" s="322" t="str">
        <f>'LISTA DE INSUMOS'!A20</f>
        <v>MOB017</v>
      </c>
      <c r="D3538" s="324" t="str">
        <f>'LISTA DE INSUMOS'!B20</f>
        <v>Cuadrilla G 1 Of + 2 Ay (jornal + prestaciones)</v>
      </c>
      <c r="E3538" s="322" t="str">
        <f>'LISTA DE INSUMOS'!C20</f>
        <v>Día</v>
      </c>
      <c r="F3538" s="325">
        <v>1</v>
      </c>
      <c r="G3538" s="312">
        <f>'LISTA DE INSUMOS'!E20</f>
        <v>327445</v>
      </c>
      <c r="H3538" s="322">
        <f>1/8</f>
        <v>0.125</v>
      </c>
      <c r="I3538" s="312">
        <f>ROUND((F3538*G3538*H3538),0)</f>
        <v>40931</v>
      </c>
      <c r="J3538" s="313"/>
      <c r="K3538" s="323"/>
    </row>
    <row r="3539" spans="2:11" s="317" customFormat="1" ht="24.9" hidden="1" customHeight="1" thickTop="1" thickBot="1" x14ac:dyDescent="0.25">
      <c r="B3539" s="255" t="s">
        <v>1033</v>
      </c>
      <c r="C3539" s="327" t="str">
        <f>+'LISTA DE INSUMOS'!A758</f>
        <v>EQU002</v>
      </c>
      <c r="D3539" s="328" t="str">
        <f>+'LISTA DE INSUMOS'!B758</f>
        <v>Herramienta menor (% mano obra)</v>
      </c>
      <c r="E3539" s="329" t="str">
        <f>+'LISTA DE INSUMOS'!C758</f>
        <v>%MO</v>
      </c>
      <c r="F3539" s="330">
        <v>0.1</v>
      </c>
      <c r="G3539" s="331">
        <f>I3538</f>
        <v>40931</v>
      </c>
      <c r="H3539" s="329">
        <v>0</v>
      </c>
      <c r="I3539" s="331">
        <f>ROUND((F3539*G3539),0)</f>
        <v>4093</v>
      </c>
      <c r="J3539" s="313"/>
      <c r="K3539" s="323"/>
    </row>
    <row r="3540" spans="2:11" s="317" customFormat="1" ht="24.9" hidden="1" customHeight="1" x14ac:dyDescent="0.2">
      <c r="B3540" s="319" t="s">
        <v>2374</v>
      </c>
      <c r="C3540" s="319"/>
      <c r="D3540" s="379" t="s">
        <v>94</v>
      </c>
      <c r="E3540" s="319" t="s">
        <v>1412</v>
      </c>
      <c r="F3540" s="332"/>
      <c r="G3540" s="312">
        <f>ROUND(SUM(I3541:I3544),0)</f>
        <v>1771752</v>
      </c>
      <c r="H3540" s="322"/>
      <c r="I3540" s="312"/>
      <c r="J3540" s="313"/>
      <c r="K3540" s="323"/>
    </row>
    <row r="3541" spans="2:11" s="317" customFormat="1" ht="24.9" hidden="1" customHeight="1" x14ac:dyDescent="0.2">
      <c r="B3541" s="658" t="s">
        <v>1325</v>
      </c>
      <c r="C3541" s="338" t="str">
        <f>+'LISTA DE INSUMOS'!A579</f>
        <v>MAT596</v>
      </c>
      <c r="D3541" s="368" t="str">
        <f>+'LISTA DE INSUMOS'!B579</f>
        <v>Tubería PVC de alcantarillado de pared estructural d = 42", exterior liso</v>
      </c>
      <c r="E3541" s="322" t="str">
        <f>+'LISTA DE INSUMOS'!C579</f>
        <v>M</v>
      </c>
      <c r="F3541" s="325">
        <v>1</v>
      </c>
      <c r="G3541" s="312">
        <f>'LISTA DE INSUMOS'!E579</f>
        <v>1600744.4419497848</v>
      </c>
      <c r="H3541" s="322">
        <v>1.05</v>
      </c>
      <c r="I3541" s="312">
        <f>ROUND((F3541*G3541*H3541),0)</f>
        <v>1680782</v>
      </c>
      <c r="J3541" s="313"/>
      <c r="K3541" s="323"/>
    </row>
    <row r="3542" spans="2:11" s="317" customFormat="1" ht="24.9" hidden="1" customHeight="1" thickBot="1" x14ac:dyDescent="0.25">
      <c r="B3542" s="668"/>
      <c r="C3542" s="322" t="str">
        <f>+'LISTA DE INSUMOS'!A112</f>
        <v>MAT070</v>
      </c>
      <c r="D3542" s="324" t="str">
        <f>+'LISTA DE INSUMOS'!B112</f>
        <v>Vaselina</v>
      </c>
      <c r="E3542" s="322" t="str">
        <f>+'LISTA DE INSUMOS'!C112</f>
        <v>Kg</v>
      </c>
      <c r="F3542" s="325">
        <v>0.06</v>
      </c>
      <c r="G3542" s="312">
        <f>'LISTA DE INSUMOS'!E112</f>
        <v>14940.005999999998</v>
      </c>
      <c r="H3542" s="322">
        <v>1.03</v>
      </c>
      <c r="I3542" s="312">
        <f>ROUND((F3542*G3542*H3542),0)</f>
        <v>923</v>
      </c>
      <c r="J3542" s="313"/>
      <c r="K3542" s="323"/>
    </row>
    <row r="3543" spans="2:11" s="317" customFormat="1" ht="24.9" hidden="1" customHeight="1" thickTop="1" thickBot="1" x14ac:dyDescent="0.25">
      <c r="B3543" s="372" t="s">
        <v>1034</v>
      </c>
      <c r="C3543" s="322" t="str">
        <f>'LISTA DE INSUMOS'!A20</f>
        <v>MOB017</v>
      </c>
      <c r="D3543" s="324" t="str">
        <f>'LISTA DE INSUMOS'!B20</f>
        <v>Cuadrilla G 1 Of + 2 Ay (jornal + prestaciones)</v>
      </c>
      <c r="E3543" s="322" t="str">
        <f>'LISTA DE INSUMOS'!C20</f>
        <v>Día</v>
      </c>
      <c r="F3543" s="325">
        <v>1</v>
      </c>
      <c r="G3543" s="312">
        <f>'LISTA DE INSUMOS'!E20</f>
        <v>327445</v>
      </c>
      <c r="H3543" s="322">
        <f>1/4</f>
        <v>0.25</v>
      </c>
      <c r="I3543" s="312">
        <f>ROUND((F3543*G3543*H3543),0)</f>
        <v>81861</v>
      </c>
      <c r="J3543" s="313"/>
      <c r="K3543" s="323"/>
    </row>
    <row r="3544" spans="2:11" s="317" customFormat="1" ht="24.9" hidden="1" customHeight="1" thickTop="1" thickBot="1" x14ac:dyDescent="0.25">
      <c r="B3544" s="255" t="s">
        <v>1033</v>
      </c>
      <c r="C3544" s="327" t="str">
        <f>+'LISTA DE INSUMOS'!A758</f>
        <v>EQU002</v>
      </c>
      <c r="D3544" s="328" t="str">
        <f>+'LISTA DE INSUMOS'!B758</f>
        <v>Herramienta menor (% mano obra)</v>
      </c>
      <c r="E3544" s="329" t="str">
        <f>+'LISTA DE INSUMOS'!C758</f>
        <v>%MO</v>
      </c>
      <c r="F3544" s="330">
        <v>0.1</v>
      </c>
      <c r="G3544" s="331">
        <f>I3543</f>
        <v>81861</v>
      </c>
      <c r="H3544" s="329">
        <v>0</v>
      </c>
      <c r="I3544" s="331">
        <f>ROUND((F3544*G3544),0)</f>
        <v>8186</v>
      </c>
      <c r="J3544" s="313"/>
      <c r="K3544" s="323"/>
    </row>
    <row r="3545" spans="2:11" s="317" customFormat="1" ht="24.9" hidden="1" customHeight="1" x14ac:dyDescent="0.2">
      <c r="B3545" s="319" t="s">
        <v>2375</v>
      </c>
      <c r="C3545" s="319"/>
      <c r="D3545" s="320" t="s">
        <v>1990</v>
      </c>
      <c r="E3545" s="319" t="s">
        <v>1412</v>
      </c>
      <c r="F3545" s="321"/>
      <c r="G3545" s="312">
        <f>ROUND(SUM(I3546:I3550),0)</f>
        <v>215550</v>
      </c>
      <c r="H3545" s="322"/>
      <c r="I3545" s="312"/>
      <c r="J3545" s="313"/>
      <c r="K3545" s="323"/>
    </row>
    <row r="3546" spans="2:11" s="317" customFormat="1" ht="24.9" hidden="1" customHeight="1" thickBot="1" x14ac:dyDescent="0.25">
      <c r="B3546" s="347" t="s">
        <v>1325</v>
      </c>
      <c r="C3546" s="322" t="str">
        <f>+'LISTA DE INSUMOS'!A123</f>
        <v>MAT081</v>
      </c>
      <c r="D3546" s="324" t="str">
        <f>+'LISTA DE INSUMOS'!B123</f>
        <v>Tubería de concreto vibrada de 16" unión caucho C 2</v>
      </c>
      <c r="E3546" s="322" t="str">
        <f>+'LISTA DE INSUMOS'!C123</f>
        <v>M</v>
      </c>
      <c r="F3546" s="325">
        <v>1</v>
      </c>
      <c r="G3546" s="312">
        <f>'LISTA DE INSUMOS'!E123</f>
        <v>176575.38059999997</v>
      </c>
      <c r="H3546" s="322">
        <v>1.05</v>
      </c>
      <c r="I3546" s="312">
        <f>ROUND((F3546*G3546*H3546),0)</f>
        <v>185404</v>
      </c>
      <c r="J3546" s="313"/>
      <c r="K3546" s="323"/>
    </row>
    <row r="3547" spans="2:11" s="317" customFormat="1" ht="24.9" hidden="1" customHeight="1" thickTop="1" thickBot="1" x14ac:dyDescent="0.25">
      <c r="B3547" s="347" t="s">
        <v>1310</v>
      </c>
      <c r="C3547" s="322" t="str">
        <f>+B574</f>
        <v>ITE96</v>
      </c>
      <c r="D3547" s="324" t="str">
        <f>+D574</f>
        <v>Mortero 1:3 (producción)</v>
      </c>
      <c r="E3547" s="322" t="str">
        <f>+E574</f>
        <v>M3</v>
      </c>
      <c r="F3547" s="325">
        <v>4.0000000000000001E-3</v>
      </c>
      <c r="G3547" s="312">
        <f>G574</f>
        <v>580906</v>
      </c>
      <c r="H3547" s="322">
        <v>1.05</v>
      </c>
      <c r="I3547" s="312">
        <f>ROUND((F3547*G3547*H3547),0)</f>
        <v>2440</v>
      </c>
      <c r="J3547" s="313"/>
      <c r="K3547" s="323"/>
    </row>
    <row r="3548" spans="2:11" s="317" customFormat="1" ht="24.9" hidden="1" customHeight="1" thickTop="1" thickBot="1" x14ac:dyDescent="0.25">
      <c r="B3548" s="372" t="s">
        <v>1034</v>
      </c>
      <c r="C3548" s="322" t="str">
        <f>'LISTA DE INSUMOS'!A20</f>
        <v>MOB017</v>
      </c>
      <c r="D3548" s="324" t="str">
        <f>'LISTA DE INSUMOS'!B20</f>
        <v>Cuadrilla G 1 Of + 2 Ay (jornal + prestaciones)</v>
      </c>
      <c r="E3548" s="322" t="str">
        <f>'LISTA DE INSUMOS'!C20</f>
        <v>Día</v>
      </c>
      <c r="F3548" s="325">
        <v>1</v>
      </c>
      <c r="G3548" s="312">
        <f>'LISTA DE INSUMOS'!E20</f>
        <v>327445</v>
      </c>
      <c r="H3548" s="326">
        <f>1/13</f>
        <v>7.6923076923076927E-2</v>
      </c>
      <c r="I3548" s="312">
        <f>ROUND((F3548*G3548*H3548),0)</f>
        <v>25188</v>
      </c>
      <c r="J3548" s="313"/>
      <c r="K3548" s="323"/>
    </row>
    <row r="3549" spans="2:11" s="317" customFormat="1" ht="24.9" hidden="1" customHeight="1" thickTop="1" x14ac:dyDescent="0.2">
      <c r="B3549" s="652" t="s">
        <v>1033</v>
      </c>
      <c r="C3549" s="322" t="str">
        <f>+'LISTA DE INSUMOS'!A758</f>
        <v>EQU002</v>
      </c>
      <c r="D3549" s="324" t="str">
        <f>+'LISTA DE INSUMOS'!B758</f>
        <v>Herramienta menor (% mano obra)</v>
      </c>
      <c r="E3549" s="322" t="str">
        <f>+'LISTA DE INSUMOS'!C758</f>
        <v>%MO</v>
      </c>
      <c r="F3549" s="325">
        <v>0.05</v>
      </c>
      <c r="G3549" s="312">
        <f>I3548</f>
        <v>25188</v>
      </c>
      <c r="H3549" s="322">
        <v>0</v>
      </c>
      <c r="I3549" s="312">
        <f>ROUND((F3549*G3549),0)</f>
        <v>1259</v>
      </c>
      <c r="J3549" s="313"/>
      <c r="K3549" s="323"/>
    </row>
    <row r="3550" spans="2:11" s="317" customFormat="1" ht="24.9" hidden="1" customHeight="1" thickBot="1" x14ac:dyDescent="0.25">
      <c r="B3550" s="653"/>
      <c r="C3550" s="329" t="str">
        <f>+'LISTA DE INSUMOS'!A786</f>
        <v>EQU029</v>
      </c>
      <c r="D3550" s="328" t="str">
        <f>+'LISTA DE INSUMOS'!B786</f>
        <v>Manejo de tubería</v>
      </c>
      <c r="E3550" s="329" t="str">
        <f>+'LISTA DE INSUMOS'!C786</f>
        <v>%MO</v>
      </c>
      <c r="F3550" s="330">
        <v>0.05</v>
      </c>
      <c r="G3550" s="331">
        <f>I3548</f>
        <v>25188</v>
      </c>
      <c r="H3550" s="329">
        <v>0</v>
      </c>
      <c r="I3550" s="331">
        <f>ROUND((F3550*G3550),0)</f>
        <v>1259</v>
      </c>
      <c r="J3550" s="313"/>
      <c r="K3550" s="323"/>
    </row>
    <row r="3551" spans="2:11" s="317" customFormat="1" ht="24.9" hidden="1" customHeight="1" x14ac:dyDescent="0.2">
      <c r="B3551" s="353" t="s">
        <v>2376</v>
      </c>
      <c r="C3551" s="319"/>
      <c r="D3551" s="320" t="s">
        <v>1991</v>
      </c>
      <c r="E3551" s="319" t="s">
        <v>1412</v>
      </c>
      <c r="F3551" s="321"/>
      <c r="G3551" s="312">
        <f>ROUND(SUM(I3552:I3556),0)</f>
        <v>168270</v>
      </c>
      <c r="H3551" s="322"/>
      <c r="I3551" s="312"/>
      <c r="J3551" s="313"/>
      <c r="K3551" s="323"/>
    </row>
    <row r="3552" spans="2:11" s="317" customFormat="1" ht="24.9" hidden="1" customHeight="1" thickBot="1" x14ac:dyDescent="0.25">
      <c r="B3552" s="347" t="s">
        <v>1325</v>
      </c>
      <c r="C3552" s="322" t="str">
        <f>+'LISTA DE INSUMOS'!A397</f>
        <v>MAT408</v>
      </c>
      <c r="D3552" s="324" t="str">
        <f>+'LISTA DE INSUMOS'!B397</f>
        <v>Tubería de concreto vibrada de 18" unión caucho C 2</v>
      </c>
      <c r="E3552" s="322" t="str">
        <f>+'LISTA DE INSUMOS'!C397</f>
        <v>M</v>
      </c>
      <c r="F3552" s="325">
        <v>1</v>
      </c>
      <c r="G3552" s="312">
        <f>'LISTA DE INSUMOS'!E397</f>
        <v>121886.54851724998</v>
      </c>
      <c r="H3552" s="322">
        <v>1.05</v>
      </c>
      <c r="I3552" s="312">
        <f>ROUND((F3552*G3552*H3552),0)</f>
        <v>127981</v>
      </c>
      <c r="J3552" s="313"/>
      <c r="K3552" s="323"/>
    </row>
    <row r="3553" spans="2:11" s="317" customFormat="1" ht="24.9" hidden="1" customHeight="1" thickTop="1" thickBot="1" x14ac:dyDescent="0.25">
      <c r="B3553" s="347" t="s">
        <v>1310</v>
      </c>
      <c r="C3553" s="322" t="str">
        <f>+B574</f>
        <v>ITE96</v>
      </c>
      <c r="D3553" s="324" t="str">
        <f>+D574</f>
        <v>Mortero 1:3 (producción)</v>
      </c>
      <c r="E3553" s="322" t="str">
        <f>+E574</f>
        <v>M3</v>
      </c>
      <c r="F3553" s="325">
        <v>7.0000000000000001E-3</v>
      </c>
      <c r="G3553" s="312">
        <f>G574</f>
        <v>580906</v>
      </c>
      <c r="H3553" s="322">
        <v>1.05</v>
      </c>
      <c r="I3553" s="312">
        <f>ROUND((F3553*G3553*H3553),0)</f>
        <v>4270</v>
      </c>
      <c r="J3553" s="313"/>
      <c r="K3553" s="323"/>
    </row>
    <row r="3554" spans="2:11" s="317" customFormat="1" ht="24.9" hidden="1" customHeight="1" thickTop="1" thickBot="1" x14ac:dyDescent="0.25">
      <c r="B3554" s="372" t="s">
        <v>1034</v>
      </c>
      <c r="C3554" s="322" t="str">
        <f>'LISTA DE INSUMOS'!A20</f>
        <v>MOB017</v>
      </c>
      <c r="D3554" s="324" t="str">
        <f>'LISTA DE INSUMOS'!B20</f>
        <v>Cuadrilla G 1 Of + 2 Ay (jornal + prestaciones)</v>
      </c>
      <c r="E3554" s="322" t="str">
        <f>'LISTA DE INSUMOS'!C20</f>
        <v>Día</v>
      </c>
      <c r="F3554" s="325">
        <v>1</v>
      </c>
      <c r="G3554" s="312">
        <f>'LISTA DE INSUMOS'!E20</f>
        <v>327445</v>
      </c>
      <c r="H3554" s="322">
        <f>1/10</f>
        <v>0.1</v>
      </c>
      <c r="I3554" s="312">
        <f>ROUND((F3554*G3554*H3554),0)</f>
        <v>32745</v>
      </c>
      <c r="J3554" s="313"/>
      <c r="K3554" s="323"/>
    </row>
    <row r="3555" spans="2:11" s="317" customFormat="1" ht="24.9" hidden="1" customHeight="1" thickTop="1" x14ac:dyDescent="0.2">
      <c r="B3555" s="652" t="s">
        <v>1033</v>
      </c>
      <c r="C3555" s="322" t="str">
        <f>+'LISTA DE INSUMOS'!A758</f>
        <v>EQU002</v>
      </c>
      <c r="D3555" s="324" t="str">
        <f>+'LISTA DE INSUMOS'!B758</f>
        <v>Herramienta menor (% mano obra)</v>
      </c>
      <c r="E3555" s="322" t="str">
        <f>+'LISTA DE INSUMOS'!C758</f>
        <v>%MO</v>
      </c>
      <c r="F3555" s="325">
        <v>0.05</v>
      </c>
      <c r="G3555" s="312">
        <f>I3554</f>
        <v>32745</v>
      </c>
      <c r="H3555" s="322">
        <v>0</v>
      </c>
      <c r="I3555" s="312">
        <f>ROUND((F3555*G3555),0)</f>
        <v>1637</v>
      </c>
      <c r="J3555" s="313"/>
      <c r="K3555" s="323"/>
    </row>
    <row r="3556" spans="2:11" s="317" customFormat="1" ht="24.9" hidden="1" customHeight="1" thickBot="1" x14ac:dyDescent="0.25">
      <c r="B3556" s="653"/>
      <c r="C3556" s="329" t="str">
        <f>+'LISTA DE INSUMOS'!A786</f>
        <v>EQU029</v>
      </c>
      <c r="D3556" s="328" t="str">
        <f>+'LISTA DE INSUMOS'!B786</f>
        <v>Manejo de tubería</v>
      </c>
      <c r="E3556" s="329" t="str">
        <f>+'LISTA DE INSUMOS'!C786</f>
        <v>%MO</v>
      </c>
      <c r="F3556" s="330">
        <v>0.05</v>
      </c>
      <c r="G3556" s="331">
        <f>I3554</f>
        <v>32745</v>
      </c>
      <c r="H3556" s="329">
        <v>0</v>
      </c>
      <c r="I3556" s="331">
        <f>ROUND((F3556*G3556),0)</f>
        <v>1637</v>
      </c>
      <c r="J3556" s="313"/>
      <c r="K3556" s="323"/>
    </row>
    <row r="3557" spans="2:11" s="317" customFormat="1" ht="24.9" hidden="1" customHeight="1" x14ac:dyDescent="0.2">
      <c r="B3557" s="353" t="s">
        <v>2377</v>
      </c>
      <c r="C3557" s="319"/>
      <c r="D3557" s="320" t="s">
        <v>1992</v>
      </c>
      <c r="E3557" s="319" t="s">
        <v>1412</v>
      </c>
      <c r="F3557" s="321"/>
      <c r="G3557" s="312">
        <f>ROUND(SUM(I3558:I3562),0)</f>
        <v>215949</v>
      </c>
      <c r="H3557" s="322"/>
      <c r="I3557" s="312"/>
      <c r="J3557" s="313"/>
      <c r="K3557" s="323"/>
    </row>
    <row r="3558" spans="2:11" s="317" customFormat="1" ht="24.9" hidden="1" customHeight="1" thickBot="1" x14ac:dyDescent="0.25">
      <c r="B3558" s="347" t="s">
        <v>1325</v>
      </c>
      <c r="C3558" s="322" t="str">
        <f>+'LISTA DE INSUMOS'!A398</f>
        <v>MAT409</v>
      </c>
      <c r="D3558" s="324" t="str">
        <f>+'LISTA DE INSUMOS'!B398</f>
        <v>Tubería de concreto vibrada de 21" unión caucho C 2</v>
      </c>
      <c r="E3558" s="322" t="str">
        <f>+'LISTA DE INSUMOS'!C398</f>
        <v>M</v>
      </c>
      <c r="F3558" s="325">
        <v>1</v>
      </c>
      <c r="G3558" s="312">
        <f>'LISTA DE INSUMOS'!E398</f>
        <v>156769.12440790338</v>
      </c>
      <c r="H3558" s="322">
        <v>1.05</v>
      </c>
      <c r="I3558" s="312">
        <f>ROUND((F3558*G3558*H3558),0)</f>
        <v>164608</v>
      </c>
      <c r="J3558" s="313"/>
      <c r="K3558" s="323"/>
    </row>
    <row r="3559" spans="2:11" s="317" customFormat="1" ht="24.9" hidden="1" customHeight="1" thickTop="1" thickBot="1" x14ac:dyDescent="0.25">
      <c r="B3559" s="347" t="s">
        <v>1310</v>
      </c>
      <c r="C3559" s="322" t="str">
        <f>+B574</f>
        <v>ITE96</v>
      </c>
      <c r="D3559" s="324" t="str">
        <f>+D574</f>
        <v>Mortero 1:3 (producción)</v>
      </c>
      <c r="E3559" s="322" t="str">
        <f>+E574</f>
        <v>M3</v>
      </c>
      <c r="F3559" s="325">
        <v>7.0000000000000001E-3</v>
      </c>
      <c r="G3559" s="312">
        <f>G574</f>
        <v>580906</v>
      </c>
      <c r="H3559" s="322">
        <v>1.05</v>
      </c>
      <c r="I3559" s="312">
        <f>ROUND((F3559*G3559*H3559),0)</f>
        <v>4270</v>
      </c>
      <c r="J3559" s="313"/>
      <c r="K3559" s="323"/>
    </row>
    <row r="3560" spans="2:11" s="317" customFormat="1" ht="43.5" hidden="1" customHeight="1" thickTop="1" thickBot="1" x14ac:dyDescent="0.25">
      <c r="B3560" s="372" t="s">
        <v>1034</v>
      </c>
      <c r="C3560" s="322" t="str">
        <f>'LISTA DE INSUMOS'!A20</f>
        <v>MOB017</v>
      </c>
      <c r="D3560" s="324" t="str">
        <f>'LISTA DE INSUMOS'!B20</f>
        <v>Cuadrilla G 1 Of + 2 Ay (jornal + prestaciones)</v>
      </c>
      <c r="E3560" s="322" t="str">
        <f>'LISTA DE INSUMOS'!C20</f>
        <v>Día</v>
      </c>
      <c r="F3560" s="325">
        <v>1</v>
      </c>
      <c r="G3560" s="312">
        <f>'LISTA DE INSUMOS'!E20</f>
        <v>327445</v>
      </c>
      <c r="H3560" s="322">
        <f>1/8</f>
        <v>0.125</v>
      </c>
      <c r="I3560" s="312">
        <f>ROUND((F3560*G3560*H3560),0)</f>
        <v>40931</v>
      </c>
      <c r="J3560" s="313"/>
      <c r="K3560" s="323"/>
    </row>
    <row r="3561" spans="2:11" s="317" customFormat="1" ht="24.9" hidden="1" customHeight="1" thickTop="1" x14ac:dyDescent="0.2">
      <c r="B3561" s="652" t="s">
        <v>1033</v>
      </c>
      <c r="C3561" s="322" t="str">
        <f>+'LISTA DE INSUMOS'!A758</f>
        <v>EQU002</v>
      </c>
      <c r="D3561" s="324" t="str">
        <f>+'LISTA DE INSUMOS'!B758</f>
        <v>Herramienta menor (% mano obra)</v>
      </c>
      <c r="E3561" s="322" t="str">
        <f>+'LISTA DE INSUMOS'!C758</f>
        <v>%MO</v>
      </c>
      <c r="F3561" s="325">
        <v>0.05</v>
      </c>
      <c r="G3561" s="312">
        <f>I3560</f>
        <v>40931</v>
      </c>
      <c r="H3561" s="322">
        <v>0</v>
      </c>
      <c r="I3561" s="312">
        <f>ROUND((F3561*G3561),0)</f>
        <v>2047</v>
      </c>
      <c r="J3561" s="313"/>
      <c r="K3561" s="323"/>
    </row>
    <row r="3562" spans="2:11" s="317" customFormat="1" ht="24.9" hidden="1" customHeight="1" thickBot="1" x14ac:dyDescent="0.25">
      <c r="B3562" s="653"/>
      <c r="C3562" s="329" t="str">
        <f>+'LISTA DE INSUMOS'!A786</f>
        <v>EQU029</v>
      </c>
      <c r="D3562" s="328" t="str">
        <f>+'LISTA DE INSUMOS'!B786</f>
        <v>Manejo de tubería</v>
      </c>
      <c r="E3562" s="329" t="str">
        <f>+'LISTA DE INSUMOS'!C786</f>
        <v>%MO</v>
      </c>
      <c r="F3562" s="330">
        <v>0.1</v>
      </c>
      <c r="G3562" s="331">
        <f>I3560</f>
        <v>40931</v>
      </c>
      <c r="H3562" s="329">
        <v>0</v>
      </c>
      <c r="I3562" s="331">
        <f>ROUND((F3562*G3562),0)</f>
        <v>4093</v>
      </c>
      <c r="J3562" s="313"/>
      <c r="K3562" s="323"/>
    </row>
    <row r="3563" spans="2:11" s="317" customFormat="1" ht="24.9" hidden="1" customHeight="1" x14ac:dyDescent="0.2">
      <c r="B3563" s="353" t="s">
        <v>2378</v>
      </c>
      <c r="C3563" s="319"/>
      <c r="D3563" s="320" t="s">
        <v>1993</v>
      </c>
      <c r="E3563" s="319" t="s">
        <v>1412</v>
      </c>
      <c r="F3563" s="321"/>
      <c r="G3563" s="312">
        <f>ROUND(SUM(I3564:I3568),0)</f>
        <v>330970</v>
      </c>
      <c r="H3563" s="322"/>
      <c r="I3563" s="312"/>
      <c r="J3563" s="313"/>
      <c r="K3563" s="323"/>
    </row>
    <row r="3564" spans="2:11" s="317" customFormat="1" ht="24.9" hidden="1" customHeight="1" thickBot="1" x14ac:dyDescent="0.25">
      <c r="B3564" s="347" t="s">
        <v>1325</v>
      </c>
      <c r="C3564" s="322" t="str">
        <f>+'LISTA DE INSUMOS'!A399</f>
        <v>MAT410</v>
      </c>
      <c r="D3564" s="324" t="str">
        <f>+'LISTA DE INSUMOS'!B399</f>
        <v>Tubería de concreto vibrada de 24" unión caucho C 2</v>
      </c>
      <c r="E3564" s="322" t="str">
        <f>+'LISTA DE INSUMOS'!C399</f>
        <v>M</v>
      </c>
      <c r="F3564" s="325">
        <v>1</v>
      </c>
      <c r="G3564" s="312">
        <f>'LISTA DE INSUMOS'!E399</f>
        <v>237509.48273569686</v>
      </c>
      <c r="H3564" s="322">
        <v>1.05</v>
      </c>
      <c r="I3564" s="312">
        <f>ROUND((F3564*G3564*H3564),0)</f>
        <v>249385</v>
      </c>
      <c r="J3564" s="313"/>
      <c r="K3564" s="323"/>
    </row>
    <row r="3565" spans="2:11" s="317" customFormat="1" ht="24.9" hidden="1" customHeight="1" thickTop="1" thickBot="1" x14ac:dyDescent="0.25">
      <c r="B3565" s="347" t="s">
        <v>1310</v>
      </c>
      <c r="C3565" s="322" t="str">
        <f>+B574</f>
        <v>ITE96</v>
      </c>
      <c r="D3565" s="324" t="str">
        <f>+D574</f>
        <v>Mortero 1:3 (producción)</v>
      </c>
      <c r="E3565" s="322" t="str">
        <f>+E574</f>
        <v>M3</v>
      </c>
      <c r="F3565" s="325">
        <v>1.7999999999999999E-2</v>
      </c>
      <c r="G3565" s="312">
        <f>G574</f>
        <v>580906</v>
      </c>
      <c r="H3565" s="322">
        <v>1.05</v>
      </c>
      <c r="I3565" s="312">
        <f>ROUND((F3565*G3565*H3565),0)</f>
        <v>10979</v>
      </c>
      <c r="J3565" s="313"/>
      <c r="K3565" s="323"/>
    </row>
    <row r="3566" spans="2:11" s="317" customFormat="1" ht="24.9" hidden="1" customHeight="1" thickTop="1" thickBot="1" x14ac:dyDescent="0.25">
      <c r="B3566" s="372" t="s">
        <v>1034</v>
      </c>
      <c r="C3566" s="322" t="str">
        <f>'LISTA DE INSUMOS'!A9</f>
        <v>MOB006</v>
      </c>
      <c r="D3566" s="324" t="str">
        <f>'LISTA DE INSUMOS'!B9</f>
        <v>Cuadrilla A 1 Of + 4 Ay (jornal + prestaciones)</v>
      </c>
      <c r="E3566" s="322" t="str">
        <f>'LISTA DE INSUMOS'!C9</f>
        <v>Día</v>
      </c>
      <c r="F3566" s="325">
        <v>1</v>
      </c>
      <c r="G3566" s="312">
        <f>'LISTA DE INSUMOS'!E9</f>
        <v>491167</v>
      </c>
      <c r="H3566" s="322">
        <f>1/8</f>
        <v>0.125</v>
      </c>
      <c r="I3566" s="312">
        <f>ROUND((F3566*G3566*H3566),0)</f>
        <v>61396</v>
      </c>
      <c r="J3566" s="313"/>
      <c r="K3566" s="323"/>
    </row>
    <row r="3567" spans="2:11" s="317" customFormat="1" ht="24.9" hidden="1" customHeight="1" thickTop="1" x14ac:dyDescent="0.2">
      <c r="B3567" s="652" t="s">
        <v>1033</v>
      </c>
      <c r="C3567" s="322" t="str">
        <f>+'LISTA DE INSUMOS'!A758</f>
        <v>EQU002</v>
      </c>
      <c r="D3567" s="324" t="str">
        <f>+'LISTA DE INSUMOS'!B758</f>
        <v>Herramienta menor (% mano obra)</v>
      </c>
      <c r="E3567" s="322" t="str">
        <f>+'LISTA DE INSUMOS'!C758</f>
        <v>%MO</v>
      </c>
      <c r="F3567" s="325">
        <v>0.05</v>
      </c>
      <c r="G3567" s="312">
        <f>I3566</f>
        <v>61396</v>
      </c>
      <c r="H3567" s="322">
        <v>0</v>
      </c>
      <c r="I3567" s="312">
        <f>ROUND((F3567*G3567),0)</f>
        <v>3070</v>
      </c>
      <c r="J3567" s="313"/>
      <c r="K3567" s="323"/>
    </row>
    <row r="3568" spans="2:11" s="317" customFormat="1" ht="24.9" hidden="1" customHeight="1" thickBot="1" x14ac:dyDescent="0.25">
      <c r="B3568" s="653"/>
      <c r="C3568" s="329" t="str">
        <f>+'LISTA DE INSUMOS'!A786</f>
        <v>EQU029</v>
      </c>
      <c r="D3568" s="328" t="str">
        <f>+'LISTA DE INSUMOS'!B786</f>
        <v>Manejo de tubería</v>
      </c>
      <c r="E3568" s="329" t="str">
        <f>+'LISTA DE INSUMOS'!C786</f>
        <v>%MO</v>
      </c>
      <c r="F3568" s="330">
        <v>0.1</v>
      </c>
      <c r="G3568" s="331">
        <f>I3566</f>
        <v>61396</v>
      </c>
      <c r="H3568" s="329">
        <v>0</v>
      </c>
      <c r="I3568" s="331">
        <f>ROUND((F3568*G3568),0)</f>
        <v>6140</v>
      </c>
      <c r="J3568" s="313"/>
      <c r="K3568" s="323"/>
    </row>
    <row r="3569" spans="2:11" s="317" customFormat="1" ht="24.9" hidden="1" customHeight="1" x14ac:dyDescent="0.2">
      <c r="B3569" s="319" t="s">
        <v>2379</v>
      </c>
      <c r="C3569" s="319"/>
      <c r="D3569" s="320" t="s">
        <v>1981</v>
      </c>
      <c r="E3569" s="319" t="s">
        <v>1412</v>
      </c>
      <c r="F3569" s="332"/>
      <c r="G3569" s="312">
        <f>ROUND(SUM(I3570:I3574),0)</f>
        <v>387459</v>
      </c>
      <c r="H3569" s="322"/>
      <c r="I3569" s="312"/>
      <c r="J3569" s="313"/>
      <c r="K3569" s="323"/>
    </row>
    <row r="3570" spans="2:11" s="317" customFormat="1" ht="24.9" hidden="1" customHeight="1" thickBot="1" x14ac:dyDescent="0.25">
      <c r="B3570" s="347" t="s">
        <v>1325</v>
      </c>
      <c r="C3570" s="322" t="str">
        <f>+'LISTA DE INSUMOS'!A400</f>
        <v>MAT411</v>
      </c>
      <c r="D3570" s="324" t="str">
        <f>+'LISTA DE INSUMOS'!B400</f>
        <v>Tubería de concreto vibrada reforzada de 24" unión caucho C 2</v>
      </c>
      <c r="E3570" s="322" t="str">
        <f>+'LISTA DE INSUMOS'!C400</f>
        <v>M</v>
      </c>
      <c r="F3570" s="325">
        <v>1</v>
      </c>
      <c r="G3570" s="312">
        <f>'LISTA DE INSUMOS'!E400</f>
        <v>291308.85095622751</v>
      </c>
      <c r="H3570" s="322">
        <v>1.05</v>
      </c>
      <c r="I3570" s="312">
        <f>ROUND((F3570*G3570*H3570),0)</f>
        <v>305874</v>
      </c>
      <c r="J3570" s="313"/>
      <c r="K3570" s="323"/>
    </row>
    <row r="3571" spans="2:11" s="317" customFormat="1" ht="24.9" hidden="1" customHeight="1" thickTop="1" thickBot="1" x14ac:dyDescent="0.25">
      <c r="B3571" s="347" t="s">
        <v>1310</v>
      </c>
      <c r="C3571" s="322" t="str">
        <f>+B574</f>
        <v>ITE96</v>
      </c>
      <c r="D3571" s="324" t="str">
        <f>+D574</f>
        <v>Mortero 1:3 (producción)</v>
      </c>
      <c r="E3571" s="322" t="str">
        <f>+E574</f>
        <v>M3</v>
      </c>
      <c r="F3571" s="325">
        <v>1.7999999999999999E-2</v>
      </c>
      <c r="G3571" s="312">
        <f>G574</f>
        <v>580906</v>
      </c>
      <c r="H3571" s="322">
        <v>1.05</v>
      </c>
      <c r="I3571" s="312">
        <f>ROUND((F3571*G3571*H3571),0)</f>
        <v>10979</v>
      </c>
      <c r="J3571" s="313"/>
      <c r="K3571" s="323"/>
    </row>
    <row r="3572" spans="2:11" s="317" customFormat="1" ht="24.9" hidden="1" customHeight="1" thickTop="1" thickBot="1" x14ac:dyDescent="0.25">
      <c r="B3572" s="372" t="s">
        <v>1034</v>
      </c>
      <c r="C3572" s="322" t="str">
        <f>'LISTA DE INSUMOS'!A9</f>
        <v>MOB006</v>
      </c>
      <c r="D3572" s="324" t="str">
        <f>'LISTA DE INSUMOS'!B9</f>
        <v>Cuadrilla A 1 Of + 4 Ay (jornal + prestaciones)</v>
      </c>
      <c r="E3572" s="322" t="str">
        <f>'LISTA DE INSUMOS'!C9</f>
        <v>Día</v>
      </c>
      <c r="F3572" s="325">
        <v>1</v>
      </c>
      <c r="G3572" s="312">
        <f>'LISTA DE INSUMOS'!E9</f>
        <v>491167</v>
      </c>
      <c r="H3572" s="322">
        <f>1/8</f>
        <v>0.125</v>
      </c>
      <c r="I3572" s="312">
        <f>ROUND((F3572*G3572*H3572),0)</f>
        <v>61396</v>
      </c>
      <c r="J3572" s="313"/>
      <c r="K3572" s="323"/>
    </row>
    <row r="3573" spans="2:11" s="317" customFormat="1" ht="24.9" hidden="1" customHeight="1" thickTop="1" x14ac:dyDescent="0.2">
      <c r="B3573" s="652" t="s">
        <v>1033</v>
      </c>
      <c r="C3573" s="322" t="str">
        <f>+'LISTA DE INSUMOS'!A758</f>
        <v>EQU002</v>
      </c>
      <c r="D3573" s="324" t="str">
        <f>+'LISTA DE INSUMOS'!B758</f>
        <v>Herramienta menor (% mano obra)</v>
      </c>
      <c r="E3573" s="322" t="str">
        <f>+'LISTA DE INSUMOS'!C758</f>
        <v>%MO</v>
      </c>
      <c r="F3573" s="325">
        <v>0.05</v>
      </c>
      <c r="G3573" s="312">
        <f>I3572</f>
        <v>61396</v>
      </c>
      <c r="H3573" s="322">
        <v>0</v>
      </c>
      <c r="I3573" s="312">
        <f>ROUND((F3573*G3573),0)</f>
        <v>3070</v>
      </c>
      <c r="J3573" s="313"/>
      <c r="K3573" s="323"/>
    </row>
    <row r="3574" spans="2:11" s="317" customFormat="1" ht="24.9" hidden="1" customHeight="1" thickBot="1" x14ac:dyDescent="0.25">
      <c r="B3574" s="653"/>
      <c r="C3574" s="329" t="str">
        <f>+'LISTA DE INSUMOS'!A786</f>
        <v>EQU029</v>
      </c>
      <c r="D3574" s="328" t="str">
        <f>+'LISTA DE INSUMOS'!B786</f>
        <v>Manejo de tubería</v>
      </c>
      <c r="E3574" s="329" t="str">
        <f>+'LISTA DE INSUMOS'!C786</f>
        <v>%MO</v>
      </c>
      <c r="F3574" s="330">
        <v>0.1</v>
      </c>
      <c r="G3574" s="331">
        <f>I3572</f>
        <v>61396</v>
      </c>
      <c r="H3574" s="329">
        <v>0</v>
      </c>
      <c r="I3574" s="331">
        <f>ROUND((F3574*G3574),0)</f>
        <v>6140</v>
      </c>
      <c r="J3574" s="313"/>
      <c r="K3574" s="323"/>
    </row>
    <row r="3575" spans="2:11" s="317" customFormat="1" ht="24.9" hidden="1" customHeight="1" x14ac:dyDescent="0.2">
      <c r="B3575" s="353" t="s">
        <v>2380</v>
      </c>
      <c r="C3575" s="319"/>
      <c r="D3575" s="320" t="s">
        <v>1983</v>
      </c>
      <c r="E3575" s="319" t="s">
        <v>1412</v>
      </c>
      <c r="F3575" s="321"/>
      <c r="G3575" s="312">
        <f>ROUND(SUM(I3576:I3580),0)</f>
        <v>787890</v>
      </c>
      <c r="H3575" s="322"/>
      <c r="I3575" s="312"/>
      <c r="J3575" s="313"/>
      <c r="K3575" s="323"/>
    </row>
    <row r="3576" spans="2:11" s="317" customFormat="1" ht="24.9" hidden="1" customHeight="1" thickBot="1" x14ac:dyDescent="0.25">
      <c r="B3576" s="347" t="s">
        <v>1325</v>
      </c>
      <c r="C3576" s="322" t="str">
        <f>+'LISTA DE INSUMOS'!A402</f>
        <v>MAT413</v>
      </c>
      <c r="D3576" s="324" t="str">
        <f>+'LISTA DE INSUMOS'!B402</f>
        <v>Tubería de concreto vibrada reforzada de 30" unión caucho C 2</v>
      </c>
      <c r="E3576" s="322" t="str">
        <f>+'LISTA DE INSUMOS'!C402</f>
        <v>M</v>
      </c>
      <c r="F3576" s="325">
        <v>1</v>
      </c>
      <c r="G3576" s="312">
        <f>'LISTA DE INSUMOS'!E402</f>
        <v>613736.938279344</v>
      </c>
      <c r="H3576" s="322">
        <v>1.05</v>
      </c>
      <c r="I3576" s="312">
        <f>ROUND((F3576*G3576*H3576),0)</f>
        <v>644424</v>
      </c>
      <c r="J3576" s="313"/>
      <c r="K3576" s="323"/>
    </row>
    <row r="3577" spans="2:11" s="317" customFormat="1" ht="24.9" hidden="1" customHeight="1" thickTop="1" thickBot="1" x14ac:dyDescent="0.25">
      <c r="B3577" s="347" t="s">
        <v>1310</v>
      </c>
      <c r="C3577" s="322" t="str">
        <f>+B574</f>
        <v>ITE96</v>
      </c>
      <c r="D3577" s="324" t="str">
        <f>+D574</f>
        <v>Mortero 1:3 (producción)</v>
      </c>
      <c r="E3577" s="322" t="str">
        <f>+E574</f>
        <v>M3</v>
      </c>
      <c r="F3577" s="325">
        <v>0.05</v>
      </c>
      <c r="G3577" s="312">
        <f>G574</f>
        <v>580906</v>
      </c>
      <c r="H3577" s="322">
        <v>1.05</v>
      </c>
      <c r="I3577" s="312">
        <f>ROUND((F3577*G3577*H3577),0)</f>
        <v>30498</v>
      </c>
      <c r="J3577" s="313"/>
      <c r="K3577" s="323"/>
    </row>
    <row r="3578" spans="2:11" s="317" customFormat="1" ht="24.9" hidden="1" customHeight="1" thickTop="1" thickBot="1" x14ac:dyDescent="0.25">
      <c r="B3578" s="372" t="s">
        <v>1034</v>
      </c>
      <c r="C3578" s="322" t="str">
        <f>'LISTA DE INSUMOS'!A9</f>
        <v>MOB006</v>
      </c>
      <c r="D3578" s="324" t="str">
        <f>'LISTA DE INSUMOS'!B9</f>
        <v>Cuadrilla A 1 Of + 4 Ay (jornal + prestaciones)</v>
      </c>
      <c r="E3578" s="322" t="str">
        <f>'LISTA DE INSUMOS'!C9</f>
        <v>Día</v>
      </c>
      <c r="F3578" s="325">
        <v>1</v>
      </c>
      <c r="G3578" s="312">
        <f>'LISTA DE INSUMOS'!E9</f>
        <v>491167</v>
      </c>
      <c r="H3578" s="322">
        <f>1/5</f>
        <v>0.2</v>
      </c>
      <c r="I3578" s="312">
        <f>ROUND((F3578*G3578*H3578),0)</f>
        <v>98233</v>
      </c>
      <c r="J3578" s="313"/>
      <c r="K3578" s="323"/>
    </row>
    <row r="3579" spans="2:11" s="317" customFormat="1" ht="24.9" hidden="1" customHeight="1" thickTop="1" x14ac:dyDescent="0.2">
      <c r="B3579" s="652" t="s">
        <v>1033</v>
      </c>
      <c r="C3579" s="322" t="str">
        <f>+'LISTA DE INSUMOS'!A758</f>
        <v>EQU002</v>
      </c>
      <c r="D3579" s="324" t="str">
        <f>+'LISTA DE INSUMOS'!B758</f>
        <v>Herramienta menor (% mano obra)</v>
      </c>
      <c r="E3579" s="322" t="str">
        <f>+'LISTA DE INSUMOS'!C758</f>
        <v>%MO</v>
      </c>
      <c r="F3579" s="325">
        <v>0.05</v>
      </c>
      <c r="G3579" s="312">
        <f>I3578</f>
        <v>98233</v>
      </c>
      <c r="H3579" s="322">
        <v>0</v>
      </c>
      <c r="I3579" s="312">
        <f>ROUND((F3579*G3579),0)</f>
        <v>4912</v>
      </c>
      <c r="J3579" s="313"/>
      <c r="K3579" s="323"/>
    </row>
    <row r="3580" spans="2:11" s="317" customFormat="1" ht="24.9" hidden="1" customHeight="1" thickBot="1" x14ac:dyDescent="0.25">
      <c r="B3580" s="653"/>
      <c r="C3580" s="329" t="str">
        <f>+'LISTA DE INSUMOS'!A786</f>
        <v>EQU029</v>
      </c>
      <c r="D3580" s="328" t="str">
        <f>+'LISTA DE INSUMOS'!B786</f>
        <v>Manejo de tubería</v>
      </c>
      <c r="E3580" s="329" t="str">
        <f>+'LISTA DE INSUMOS'!C786</f>
        <v>%MO</v>
      </c>
      <c r="F3580" s="330">
        <v>0.1</v>
      </c>
      <c r="G3580" s="331">
        <f>I3578</f>
        <v>98233</v>
      </c>
      <c r="H3580" s="329">
        <v>0</v>
      </c>
      <c r="I3580" s="331">
        <f>ROUND((F3580*G3580),0)</f>
        <v>9823</v>
      </c>
      <c r="J3580" s="313"/>
      <c r="K3580" s="323"/>
    </row>
    <row r="3581" spans="2:11" s="317" customFormat="1" ht="24.9" hidden="1" customHeight="1" x14ac:dyDescent="0.2">
      <c r="B3581" s="353" t="s">
        <v>2381</v>
      </c>
      <c r="C3581" s="319"/>
      <c r="D3581" s="320" t="s">
        <v>1984</v>
      </c>
      <c r="E3581" s="319" t="s">
        <v>1412</v>
      </c>
      <c r="F3581" s="321"/>
      <c r="G3581" s="312">
        <f>ROUND(SUM(I3582:I3586),0)</f>
        <v>974696</v>
      </c>
      <c r="H3581" s="322"/>
      <c r="I3581" s="312"/>
      <c r="J3581" s="313"/>
      <c r="K3581" s="323"/>
    </row>
    <row r="3582" spans="2:11" s="317" customFormat="1" ht="24.9" hidden="1" customHeight="1" thickBot="1" x14ac:dyDescent="0.25">
      <c r="B3582" s="347" t="s">
        <v>1325</v>
      </c>
      <c r="C3582" s="322" t="str">
        <f>+'LISTA DE INSUMOS'!A403</f>
        <v>MAT414</v>
      </c>
      <c r="D3582" s="324" t="str">
        <f>+'LISTA DE INSUMOS'!B403</f>
        <v>Tubería de concreto vibrada reforzada de 36" unión caucho C 2</v>
      </c>
      <c r="E3582" s="322" t="str">
        <f>+'LISTA DE INSUMOS'!C403</f>
        <v>M</v>
      </c>
      <c r="F3582" s="325">
        <v>1</v>
      </c>
      <c r="G3582" s="312">
        <f>'LISTA DE INSUMOS'!E403</f>
        <v>780029.58812912088</v>
      </c>
      <c r="H3582" s="322">
        <v>1.05</v>
      </c>
      <c r="I3582" s="312">
        <f>ROUND((F3582*G3582*H3582),0)</f>
        <v>819031</v>
      </c>
      <c r="J3582" s="313"/>
      <c r="K3582" s="323"/>
    </row>
    <row r="3583" spans="2:11" s="317" customFormat="1" ht="24.9" hidden="1" customHeight="1" thickTop="1" thickBot="1" x14ac:dyDescent="0.25">
      <c r="B3583" s="347" t="s">
        <v>1310</v>
      </c>
      <c r="C3583" s="322" t="str">
        <f>+B574</f>
        <v>ITE96</v>
      </c>
      <c r="D3583" s="324" t="str">
        <f>+D574</f>
        <v>Mortero 1:3 (producción)</v>
      </c>
      <c r="E3583" s="322" t="str">
        <f>+E574</f>
        <v>M3</v>
      </c>
      <c r="F3583" s="325">
        <v>7.0000000000000007E-2</v>
      </c>
      <c r="G3583" s="312">
        <f>G574</f>
        <v>580906</v>
      </c>
      <c r="H3583" s="322">
        <v>1.05</v>
      </c>
      <c r="I3583" s="312">
        <f>ROUND((F3583*G3583*H3583),0)</f>
        <v>42697</v>
      </c>
      <c r="J3583" s="313"/>
      <c r="K3583" s="323"/>
    </row>
    <row r="3584" spans="2:11" s="317" customFormat="1" ht="24.9" hidden="1" customHeight="1" thickTop="1" thickBot="1" x14ac:dyDescent="0.25">
      <c r="B3584" s="372" t="s">
        <v>1034</v>
      </c>
      <c r="C3584" s="322" t="str">
        <f>'LISTA DE INSUMOS'!A9</f>
        <v>MOB006</v>
      </c>
      <c r="D3584" s="324" t="str">
        <f>'LISTA DE INSUMOS'!B9</f>
        <v>Cuadrilla A 1 Of + 4 Ay (jornal + prestaciones)</v>
      </c>
      <c r="E3584" s="322" t="str">
        <f>'LISTA DE INSUMOS'!C9</f>
        <v>Día</v>
      </c>
      <c r="F3584" s="325">
        <v>1</v>
      </c>
      <c r="G3584" s="312">
        <f>'LISTA DE INSUMOS'!E9</f>
        <v>491167</v>
      </c>
      <c r="H3584" s="322">
        <f>1/5</f>
        <v>0.2</v>
      </c>
      <c r="I3584" s="312">
        <f>ROUND((F3584*G3584*H3584),0)</f>
        <v>98233</v>
      </c>
      <c r="J3584" s="313"/>
      <c r="K3584" s="323"/>
    </row>
    <row r="3585" spans="2:11" s="317" customFormat="1" ht="24.9" hidden="1" customHeight="1" thickTop="1" x14ac:dyDescent="0.2">
      <c r="B3585" s="652" t="s">
        <v>1033</v>
      </c>
      <c r="C3585" s="322" t="str">
        <f>+'LISTA DE INSUMOS'!A758</f>
        <v>EQU002</v>
      </c>
      <c r="D3585" s="324" t="str">
        <f>+'LISTA DE INSUMOS'!B758</f>
        <v>Herramienta menor (% mano obra)</v>
      </c>
      <c r="E3585" s="322" t="str">
        <f>+'LISTA DE INSUMOS'!C758</f>
        <v>%MO</v>
      </c>
      <c r="F3585" s="325">
        <v>0.05</v>
      </c>
      <c r="G3585" s="312">
        <f>I3584</f>
        <v>98233</v>
      </c>
      <c r="H3585" s="322">
        <v>0</v>
      </c>
      <c r="I3585" s="312">
        <f>ROUND((F3585*G3585),0)</f>
        <v>4912</v>
      </c>
      <c r="J3585" s="313"/>
      <c r="K3585" s="323"/>
    </row>
    <row r="3586" spans="2:11" s="317" customFormat="1" ht="24.9" hidden="1" customHeight="1" thickBot="1" x14ac:dyDescent="0.25">
      <c r="B3586" s="653"/>
      <c r="C3586" s="329" t="str">
        <f>+'LISTA DE INSUMOS'!A786</f>
        <v>EQU029</v>
      </c>
      <c r="D3586" s="328" t="str">
        <f>+'LISTA DE INSUMOS'!B786</f>
        <v>Manejo de tubería</v>
      </c>
      <c r="E3586" s="329" t="str">
        <f>+'LISTA DE INSUMOS'!C786</f>
        <v>%MO</v>
      </c>
      <c r="F3586" s="330">
        <v>0.1</v>
      </c>
      <c r="G3586" s="331">
        <f>I3584</f>
        <v>98233</v>
      </c>
      <c r="H3586" s="329">
        <v>0</v>
      </c>
      <c r="I3586" s="331">
        <f>ROUND((F3586*G3586),0)</f>
        <v>9823</v>
      </c>
      <c r="J3586" s="313"/>
      <c r="K3586" s="323"/>
    </row>
    <row r="3587" spans="2:11" s="317" customFormat="1" ht="24.9" hidden="1" customHeight="1" x14ac:dyDescent="0.2">
      <c r="B3587" s="353" t="s">
        <v>2382</v>
      </c>
      <c r="C3587" s="319"/>
      <c r="D3587" s="320" t="s">
        <v>1985</v>
      </c>
      <c r="E3587" s="319" t="s">
        <v>1412</v>
      </c>
      <c r="F3587" s="321"/>
      <c r="G3587" s="312">
        <f>ROUND(SUM(I3588:I3592),0)</f>
        <v>845976</v>
      </c>
      <c r="H3587" s="322"/>
      <c r="I3587" s="312"/>
      <c r="J3587" s="313"/>
      <c r="K3587" s="323"/>
    </row>
    <row r="3588" spans="2:11" s="317" customFormat="1" ht="24.9" hidden="1" customHeight="1" thickBot="1" x14ac:dyDescent="0.25">
      <c r="B3588" s="347" t="s">
        <v>1325</v>
      </c>
      <c r="C3588" s="322" t="str">
        <f>+'LISTA DE INSUMOS'!A135</f>
        <v>MAT095</v>
      </c>
      <c r="D3588" s="324" t="str">
        <f>+'LISTA DE INSUMOS'!B135</f>
        <v>Tubería de concreto vibrada reforzada de 40" unión caucho C 2</v>
      </c>
      <c r="E3588" s="322" t="str">
        <f>+'LISTA DE INSUMOS'!C135</f>
        <v>M</v>
      </c>
      <c r="F3588" s="325">
        <v>1</v>
      </c>
      <c r="G3588" s="312">
        <f>'LISTA DE INSUMOS'!E135</f>
        <v>651630.91833947715</v>
      </c>
      <c r="H3588" s="322">
        <v>1.05</v>
      </c>
      <c r="I3588" s="312">
        <f>ROUND((F3588*G3588*H3588),0)</f>
        <v>684212</v>
      </c>
      <c r="J3588" s="313"/>
      <c r="K3588" s="323"/>
    </row>
    <row r="3589" spans="2:11" s="317" customFormat="1" ht="24.9" hidden="1" customHeight="1" thickTop="1" thickBot="1" x14ac:dyDescent="0.25">
      <c r="B3589" s="347" t="s">
        <v>1310</v>
      </c>
      <c r="C3589" s="322" t="str">
        <f>+B574</f>
        <v>ITE96</v>
      </c>
      <c r="D3589" s="324" t="str">
        <f>+D574</f>
        <v>Mortero 1:3 (producción)</v>
      </c>
      <c r="E3589" s="322" t="str">
        <f>+E574</f>
        <v>M3</v>
      </c>
      <c r="F3589" s="325">
        <v>0.08</v>
      </c>
      <c r="G3589" s="312">
        <f>G574</f>
        <v>580906</v>
      </c>
      <c r="H3589" s="322">
        <v>1.05</v>
      </c>
      <c r="I3589" s="312">
        <f>ROUND((F3589*G3589*H3589),0)</f>
        <v>48796</v>
      </c>
      <c r="J3589" s="313"/>
      <c r="K3589" s="323"/>
    </row>
    <row r="3590" spans="2:11" s="317" customFormat="1" ht="24.9" hidden="1" customHeight="1" thickTop="1" thickBot="1" x14ac:dyDescent="0.25">
      <c r="B3590" s="372" t="s">
        <v>1034</v>
      </c>
      <c r="C3590" s="322" t="str">
        <f>'LISTA DE INSUMOS'!A9</f>
        <v>MOB006</v>
      </c>
      <c r="D3590" s="324" t="str">
        <f>'LISTA DE INSUMOS'!B9</f>
        <v>Cuadrilla A 1 Of + 4 Ay (jornal + prestaciones)</v>
      </c>
      <c r="E3590" s="322" t="str">
        <f>'LISTA DE INSUMOS'!C9</f>
        <v>Día</v>
      </c>
      <c r="F3590" s="325">
        <v>1</v>
      </c>
      <c r="G3590" s="312">
        <f>'LISTA DE INSUMOS'!E9</f>
        <v>491167</v>
      </c>
      <c r="H3590" s="322">
        <f>1/5</f>
        <v>0.2</v>
      </c>
      <c r="I3590" s="312">
        <f>ROUND((F3590*G3590*H3590),0)</f>
        <v>98233</v>
      </c>
      <c r="J3590" s="313"/>
      <c r="K3590" s="323"/>
    </row>
    <row r="3591" spans="2:11" s="317" customFormat="1" ht="24.9" hidden="1" customHeight="1" thickTop="1" x14ac:dyDescent="0.2">
      <c r="B3591" s="652" t="s">
        <v>1033</v>
      </c>
      <c r="C3591" s="322" t="str">
        <f>+'LISTA DE INSUMOS'!A758</f>
        <v>EQU002</v>
      </c>
      <c r="D3591" s="324" t="str">
        <f>+'LISTA DE INSUMOS'!B758</f>
        <v>Herramienta menor (% mano obra)</v>
      </c>
      <c r="E3591" s="322" t="str">
        <f>+'LISTA DE INSUMOS'!C758</f>
        <v>%MO</v>
      </c>
      <c r="F3591" s="325">
        <v>0.05</v>
      </c>
      <c r="G3591" s="312">
        <f>I3590</f>
        <v>98233</v>
      </c>
      <c r="H3591" s="322">
        <v>0</v>
      </c>
      <c r="I3591" s="312">
        <f>ROUND((F3591*G3591),0)</f>
        <v>4912</v>
      </c>
      <c r="J3591" s="313"/>
      <c r="K3591" s="323"/>
    </row>
    <row r="3592" spans="2:11" s="317" customFormat="1" ht="24.9" hidden="1" customHeight="1" thickBot="1" x14ac:dyDescent="0.25">
      <c r="B3592" s="653"/>
      <c r="C3592" s="329" t="str">
        <f>+'LISTA DE INSUMOS'!A786</f>
        <v>EQU029</v>
      </c>
      <c r="D3592" s="328" t="str">
        <f>+'LISTA DE INSUMOS'!B786</f>
        <v>Manejo de tubería</v>
      </c>
      <c r="E3592" s="329" t="str">
        <f>+'LISTA DE INSUMOS'!C786</f>
        <v>%MO</v>
      </c>
      <c r="F3592" s="330">
        <v>0.1</v>
      </c>
      <c r="G3592" s="331">
        <f>I3590</f>
        <v>98233</v>
      </c>
      <c r="H3592" s="329">
        <v>0</v>
      </c>
      <c r="I3592" s="331">
        <f>ROUND((F3592*G3592),0)</f>
        <v>9823</v>
      </c>
      <c r="J3592" s="313"/>
      <c r="K3592" s="323"/>
    </row>
    <row r="3593" spans="2:11" s="317" customFormat="1" ht="24.9" hidden="1" customHeight="1" x14ac:dyDescent="0.2">
      <c r="B3593" s="353" t="s">
        <v>2383</v>
      </c>
      <c r="C3593" s="319"/>
      <c r="D3593" s="320" t="s">
        <v>1986</v>
      </c>
      <c r="E3593" s="319" t="s">
        <v>1412</v>
      </c>
      <c r="F3593" s="321"/>
      <c r="G3593" s="312">
        <f>ROUND(SUM(I3594:I3598),0)</f>
        <v>1127024</v>
      </c>
      <c r="H3593" s="322"/>
      <c r="I3593" s="312"/>
      <c r="J3593" s="313"/>
      <c r="K3593" s="323"/>
    </row>
    <row r="3594" spans="2:11" s="317" customFormat="1" ht="24.9" hidden="1" customHeight="1" thickBot="1" x14ac:dyDescent="0.25">
      <c r="B3594" s="347" t="s">
        <v>1325</v>
      </c>
      <c r="C3594" s="322" t="str">
        <f>+'LISTA DE INSUMOS'!A148</f>
        <v>MAT107</v>
      </c>
      <c r="D3594" s="324" t="str">
        <f>+'LISTA DE INSUMOS'!B148</f>
        <v>Tubería de concreto vibrada reforzada de 48" unión caucho C 2</v>
      </c>
      <c r="E3594" s="322" t="str">
        <f>+'LISTA DE INSUMOS'!C148</f>
        <v>M</v>
      </c>
      <c r="F3594" s="325">
        <v>1</v>
      </c>
      <c r="G3594" s="312">
        <f>'LISTA DE INSUMOS'!E148</f>
        <v>907677.07112025283</v>
      </c>
      <c r="H3594" s="322">
        <v>1.05</v>
      </c>
      <c r="I3594" s="312">
        <f>ROUND((F3594*G3594*H3594),0)</f>
        <v>953061</v>
      </c>
      <c r="J3594" s="313"/>
      <c r="K3594" s="323"/>
    </row>
    <row r="3595" spans="2:11" s="317" customFormat="1" ht="24.9" hidden="1" customHeight="1" thickTop="1" thickBot="1" x14ac:dyDescent="0.25">
      <c r="B3595" s="347" t="s">
        <v>1310</v>
      </c>
      <c r="C3595" s="322" t="str">
        <f>+B574</f>
        <v>ITE96</v>
      </c>
      <c r="D3595" s="324" t="str">
        <f>+D574</f>
        <v>Mortero 1:3 (producción)</v>
      </c>
      <c r="E3595" s="322" t="str">
        <f>+E574</f>
        <v>M3</v>
      </c>
      <c r="F3595" s="325">
        <v>0.1</v>
      </c>
      <c r="G3595" s="312">
        <f>G574</f>
        <v>580906</v>
      </c>
      <c r="H3595" s="322">
        <v>1.05</v>
      </c>
      <c r="I3595" s="312">
        <f>ROUND((F3595*G3595*H3595),0)</f>
        <v>60995</v>
      </c>
      <c r="J3595" s="313"/>
      <c r="K3595" s="323"/>
    </row>
    <row r="3596" spans="2:11" s="317" customFormat="1" ht="24.9" hidden="1" customHeight="1" thickTop="1" thickBot="1" x14ac:dyDescent="0.25">
      <c r="B3596" s="372" t="s">
        <v>1034</v>
      </c>
      <c r="C3596" s="322" t="str">
        <f>'LISTA DE INSUMOS'!A9</f>
        <v>MOB006</v>
      </c>
      <c r="D3596" s="324" t="str">
        <f>'LISTA DE INSUMOS'!B9</f>
        <v>Cuadrilla A 1 Of + 4 Ay (jornal + prestaciones)</v>
      </c>
      <c r="E3596" s="322" t="str">
        <f>'LISTA DE INSUMOS'!C9</f>
        <v>Día</v>
      </c>
      <c r="F3596" s="325">
        <v>1</v>
      </c>
      <c r="G3596" s="312">
        <f>'LISTA DE INSUMOS'!E9</f>
        <v>491167</v>
      </c>
      <c r="H3596" s="322">
        <f>1/5</f>
        <v>0.2</v>
      </c>
      <c r="I3596" s="312">
        <f>ROUND((F3596*G3596*H3596),0)</f>
        <v>98233</v>
      </c>
      <c r="J3596" s="313"/>
      <c r="K3596" s="323"/>
    </row>
    <row r="3597" spans="2:11" s="317" customFormat="1" ht="24.9" hidden="1" customHeight="1" thickTop="1" x14ac:dyDescent="0.2">
      <c r="B3597" s="652" t="s">
        <v>1033</v>
      </c>
      <c r="C3597" s="322" t="str">
        <f>+'LISTA DE INSUMOS'!A758</f>
        <v>EQU002</v>
      </c>
      <c r="D3597" s="324" t="str">
        <f>+'LISTA DE INSUMOS'!B758</f>
        <v>Herramienta menor (% mano obra)</v>
      </c>
      <c r="E3597" s="322" t="str">
        <f>+'LISTA DE INSUMOS'!C758</f>
        <v>%MO</v>
      </c>
      <c r="F3597" s="325">
        <v>0.05</v>
      </c>
      <c r="G3597" s="312">
        <f>I3596</f>
        <v>98233</v>
      </c>
      <c r="H3597" s="322">
        <v>0</v>
      </c>
      <c r="I3597" s="312">
        <f>ROUND((F3597*G3597),0)</f>
        <v>4912</v>
      </c>
      <c r="J3597" s="313"/>
      <c r="K3597" s="323"/>
    </row>
    <row r="3598" spans="2:11" s="317" customFormat="1" ht="27" hidden="1" customHeight="1" thickBot="1" x14ac:dyDescent="0.25">
      <c r="B3598" s="653"/>
      <c r="C3598" s="329" t="str">
        <f>+'LISTA DE INSUMOS'!A786</f>
        <v>EQU029</v>
      </c>
      <c r="D3598" s="328" t="str">
        <f>+'LISTA DE INSUMOS'!B786</f>
        <v>Manejo de tubería</v>
      </c>
      <c r="E3598" s="329" t="str">
        <f>+'LISTA DE INSUMOS'!C786</f>
        <v>%MO</v>
      </c>
      <c r="F3598" s="330">
        <v>0.1</v>
      </c>
      <c r="G3598" s="331">
        <f>I3596</f>
        <v>98233</v>
      </c>
      <c r="H3598" s="329">
        <v>0</v>
      </c>
      <c r="I3598" s="331">
        <f>ROUND((F3598*G3598),0)</f>
        <v>9823</v>
      </c>
      <c r="J3598" s="313"/>
      <c r="K3598" s="323"/>
    </row>
    <row r="3599" spans="2:11" s="317" customFormat="1" ht="32.25" hidden="1" customHeight="1" x14ac:dyDescent="0.2">
      <c r="B3599" s="319" t="s">
        <v>2384</v>
      </c>
      <c r="C3599" s="319"/>
      <c r="D3599" s="320" t="s">
        <v>1988</v>
      </c>
      <c r="E3599" s="319" t="s">
        <v>1412</v>
      </c>
      <c r="F3599" s="321"/>
      <c r="G3599" s="312">
        <f>ROUND(SUM(I3600:I3604),0)</f>
        <v>1349975</v>
      </c>
      <c r="H3599" s="322"/>
      <c r="I3599" s="312"/>
      <c r="J3599" s="313"/>
      <c r="K3599" s="323"/>
    </row>
    <row r="3600" spans="2:11" s="317" customFormat="1" ht="25.5" hidden="1" customHeight="1" thickBot="1" x14ac:dyDescent="0.25">
      <c r="B3600" s="347" t="s">
        <v>1325</v>
      </c>
      <c r="C3600" s="322" t="str">
        <f>+'LISTA DE INSUMOS'!A150</f>
        <v>MAT109</v>
      </c>
      <c r="D3600" s="324" t="str">
        <f>+'LISTA DE INSUMOS'!B150</f>
        <v>Tubería de concreto vibrada reforzada de 52" unión caucho C 2</v>
      </c>
      <c r="E3600" s="322" t="str">
        <f>+'LISTA DE INSUMOS'!C150</f>
        <v>M</v>
      </c>
      <c r="F3600" s="325">
        <v>1</v>
      </c>
      <c r="G3600" s="312">
        <f>'LISTA DE INSUMOS'!E150</f>
        <v>990194.818496197</v>
      </c>
      <c r="H3600" s="322">
        <v>1.05</v>
      </c>
      <c r="I3600" s="312">
        <f>ROUND((F3600*G3600*H3600),0)</f>
        <v>1039705</v>
      </c>
      <c r="J3600" s="313"/>
      <c r="K3600" s="323"/>
    </row>
    <row r="3601" spans="2:11" s="317" customFormat="1" ht="27" hidden="1" customHeight="1" thickTop="1" thickBot="1" x14ac:dyDescent="0.25">
      <c r="B3601" s="347" t="s">
        <v>1310</v>
      </c>
      <c r="C3601" s="322" t="str">
        <f>+B574</f>
        <v>ITE96</v>
      </c>
      <c r="D3601" s="324" t="str">
        <f>+D574</f>
        <v>Mortero 1:3 (producción)</v>
      </c>
      <c r="E3601" s="322" t="str">
        <f>+E574</f>
        <v>M3</v>
      </c>
      <c r="F3601" s="325">
        <v>0.2</v>
      </c>
      <c r="G3601" s="312">
        <f>G574</f>
        <v>580906</v>
      </c>
      <c r="H3601" s="322">
        <v>1.05</v>
      </c>
      <c r="I3601" s="312">
        <f>ROUND((F3601*G3601*H3601),0)</f>
        <v>121990</v>
      </c>
      <c r="J3601" s="313"/>
      <c r="K3601" s="323"/>
    </row>
    <row r="3602" spans="2:11" s="317" customFormat="1" ht="27" hidden="1" customHeight="1" thickTop="1" thickBot="1" x14ac:dyDescent="0.25">
      <c r="B3602" s="372" t="s">
        <v>1034</v>
      </c>
      <c r="C3602" s="322" t="str">
        <f>'LISTA DE INSUMOS'!A9</f>
        <v>MOB006</v>
      </c>
      <c r="D3602" s="324" t="str">
        <f>'LISTA DE INSUMOS'!B9</f>
        <v>Cuadrilla A 1 Of + 4 Ay (jornal + prestaciones)</v>
      </c>
      <c r="E3602" s="322" t="str">
        <f>'LISTA DE INSUMOS'!C9</f>
        <v>Día</v>
      </c>
      <c r="F3602" s="325">
        <v>1</v>
      </c>
      <c r="G3602" s="312">
        <f>'LISTA DE INSUMOS'!E9</f>
        <v>491167</v>
      </c>
      <c r="H3602" s="322">
        <f>1/3</f>
        <v>0.33333333333333331</v>
      </c>
      <c r="I3602" s="312">
        <f>ROUND((F3602*G3602*H3602),0)</f>
        <v>163722</v>
      </c>
      <c r="J3602" s="313"/>
      <c r="K3602" s="323"/>
    </row>
    <row r="3603" spans="2:11" s="317" customFormat="1" ht="21.75" hidden="1" customHeight="1" thickTop="1" x14ac:dyDescent="0.2">
      <c r="B3603" s="652" t="s">
        <v>1033</v>
      </c>
      <c r="C3603" s="322" t="str">
        <f>+'LISTA DE INSUMOS'!A758</f>
        <v>EQU002</v>
      </c>
      <c r="D3603" s="324" t="str">
        <f>+'LISTA DE INSUMOS'!B758</f>
        <v>Herramienta menor (% mano obra)</v>
      </c>
      <c r="E3603" s="322" t="str">
        <f>+'LISTA DE INSUMOS'!C758</f>
        <v>%MO</v>
      </c>
      <c r="F3603" s="325">
        <v>0.05</v>
      </c>
      <c r="G3603" s="312">
        <f>I3602</f>
        <v>163722</v>
      </c>
      <c r="H3603" s="322">
        <v>0</v>
      </c>
      <c r="I3603" s="312">
        <f>ROUND((F3603*G3603),0)</f>
        <v>8186</v>
      </c>
      <c r="J3603" s="313"/>
      <c r="K3603" s="323"/>
    </row>
    <row r="3604" spans="2:11" s="317" customFormat="1" ht="17.25" hidden="1" customHeight="1" thickBot="1" x14ac:dyDescent="0.25">
      <c r="B3604" s="653"/>
      <c r="C3604" s="329" t="str">
        <f>+'LISTA DE INSUMOS'!A786</f>
        <v>EQU029</v>
      </c>
      <c r="D3604" s="328" t="str">
        <f>+'LISTA DE INSUMOS'!B786</f>
        <v>Manejo de tubería</v>
      </c>
      <c r="E3604" s="329" t="str">
        <f>+'LISTA DE INSUMOS'!C786</f>
        <v>%MO</v>
      </c>
      <c r="F3604" s="330">
        <v>0.1</v>
      </c>
      <c r="G3604" s="331">
        <f>I3602</f>
        <v>163722</v>
      </c>
      <c r="H3604" s="329">
        <v>0</v>
      </c>
      <c r="I3604" s="331">
        <f>ROUND((F3604*G3604),0)</f>
        <v>16372</v>
      </c>
      <c r="J3604" s="313"/>
      <c r="K3604" s="323"/>
    </row>
    <row r="3605" spans="2:11" s="317" customFormat="1" ht="31.5" hidden="1" customHeight="1" x14ac:dyDescent="0.2">
      <c r="B3605" s="353" t="s">
        <v>2385</v>
      </c>
      <c r="C3605" s="319"/>
      <c r="D3605" s="320" t="s">
        <v>1989</v>
      </c>
      <c r="E3605" s="319" t="s">
        <v>1412</v>
      </c>
      <c r="F3605" s="321"/>
      <c r="G3605" s="312">
        <f>ROUND(SUM(I3606:I3610),0)</f>
        <v>1621939</v>
      </c>
      <c r="H3605" s="322"/>
      <c r="I3605" s="312"/>
      <c r="J3605" s="313"/>
      <c r="K3605" s="323"/>
    </row>
    <row r="3606" spans="2:11" s="317" customFormat="1" ht="29.25" hidden="1" customHeight="1" thickBot="1" x14ac:dyDescent="0.25">
      <c r="B3606" s="347" t="s">
        <v>1325</v>
      </c>
      <c r="C3606" s="322" t="str">
        <f>+'LISTA DE INSUMOS'!A162</f>
        <v>MAT117</v>
      </c>
      <c r="D3606" s="324" t="str">
        <f>+'LISTA DE INSUMOS'!B162</f>
        <v>Tubería de concreto vibrada reforzada de 60" unión caucho C 2</v>
      </c>
      <c r="E3606" s="322" t="str">
        <f>+'LISTA DE INSUMOS'!C162</f>
        <v>M</v>
      </c>
      <c r="F3606" s="325">
        <v>1</v>
      </c>
      <c r="G3606" s="312">
        <f>'LISTA DE INSUMOS'!E162</f>
        <v>1191118.4433145879</v>
      </c>
      <c r="H3606" s="322">
        <v>1.05</v>
      </c>
      <c r="I3606" s="312">
        <f>ROUND((F3606*G3606*H3606),0)</f>
        <v>1250674</v>
      </c>
      <c r="J3606" s="313"/>
      <c r="K3606" s="323"/>
    </row>
    <row r="3607" spans="2:11" s="317" customFormat="1" ht="21" hidden="1" customHeight="1" thickTop="1" thickBot="1" x14ac:dyDescent="0.25">
      <c r="B3607" s="347" t="s">
        <v>1310</v>
      </c>
      <c r="C3607" s="322" t="str">
        <f>+B574</f>
        <v>ITE96</v>
      </c>
      <c r="D3607" s="324" t="str">
        <f>+D574</f>
        <v>Mortero 1:3 (producción)</v>
      </c>
      <c r="E3607" s="322" t="str">
        <f>+E574</f>
        <v>M3</v>
      </c>
      <c r="F3607" s="325">
        <v>0.3</v>
      </c>
      <c r="G3607" s="312">
        <f>G574</f>
        <v>580906</v>
      </c>
      <c r="H3607" s="322">
        <v>1.05</v>
      </c>
      <c r="I3607" s="312">
        <f>ROUND((F3607*G3607*H3607),0)</f>
        <v>182985</v>
      </c>
      <c r="J3607" s="313"/>
      <c r="K3607" s="323"/>
    </row>
    <row r="3608" spans="2:11" s="317" customFormat="1" ht="21.75" hidden="1" customHeight="1" thickTop="1" thickBot="1" x14ac:dyDescent="0.25">
      <c r="B3608" s="372" t="s">
        <v>1034</v>
      </c>
      <c r="C3608" s="322" t="str">
        <f>'LISTA DE INSUMOS'!A9</f>
        <v>MOB006</v>
      </c>
      <c r="D3608" s="324" t="str">
        <f>'LISTA DE INSUMOS'!B9</f>
        <v>Cuadrilla A 1 Of + 4 Ay (jornal + prestaciones)</v>
      </c>
      <c r="E3608" s="322" t="str">
        <f>'LISTA DE INSUMOS'!C9</f>
        <v>Día</v>
      </c>
      <c r="F3608" s="325">
        <v>1</v>
      </c>
      <c r="G3608" s="312">
        <f>'LISTA DE INSUMOS'!E9</f>
        <v>491167</v>
      </c>
      <c r="H3608" s="322">
        <f>1/3</f>
        <v>0.33333333333333331</v>
      </c>
      <c r="I3608" s="312">
        <f>ROUND((F3608*G3608*H3608),0)</f>
        <v>163722</v>
      </c>
      <c r="J3608" s="313"/>
      <c r="K3608" s="323"/>
    </row>
    <row r="3609" spans="2:11" s="317" customFormat="1" ht="21" hidden="1" customHeight="1" thickTop="1" x14ac:dyDescent="0.2">
      <c r="B3609" s="652" t="s">
        <v>1033</v>
      </c>
      <c r="C3609" s="322" t="str">
        <f>+'LISTA DE INSUMOS'!A758</f>
        <v>EQU002</v>
      </c>
      <c r="D3609" s="324" t="str">
        <f>+'LISTA DE INSUMOS'!B758</f>
        <v>Herramienta menor (% mano obra)</v>
      </c>
      <c r="E3609" s="322" t="str">
        <f>+'LISTA DE INSUMOS'!C758</f>
        <v>%MO</v>
      </c>
      <c r="F3609" s="325">
        <v>0.05</v>
      </c>
      <c r="G3609" s="312">
        <f>I3608</f>
        <v>163722</v>
      </c>
      <c r="H3609" s="322">
        <v>0</v>
      </c>
      <c r="I3609" s="312">
        <f>ROUND((F3609*G3609),0)</f>
        <v>8186</v>
      </c>
      <c r="J3609" s="313"/>
      <c r="K3609" s="323"/>
    </row>
    <row r="3610" spans="2:11" s="317" customFormat="1" ht="33" hidden="1" customHeight="1" thickBot="1" x14ac:dyDescent="0.25">
      <c r="B3610" s="653"/>
      <c r="C3610" s="329" t="str">
        <f>+'LISTA DE INSUMOS'!A786</f>
        <v>EQU029</v>
      </c>
      <c r="D3610" s="328" t="str">
        <f>+'LISTA DE INSUMOS'!B786</f>
        <v>Manejo de tubería</v>
      </c>
      <c r="E3610" s="329" t="str">
        <f>+'LISTA DE INSUMOS'!C786</f>
        <v>%MO</v>
      </c>
      <c r="F3610" s="330">
        <v>0.1</v>
      </c>
      <c r="G3610" s="331">
        <f>I3608</f>
        <v>163722</v>
      </c>
      <c r="H3610" s="329">
        <v>0</v>
      </c>
      <c r="I3610" s="331">
        <f>ROUND((F3610*G3610),0)</f>
        <v>16372</v>
      </c>
      <c r="J3610" s="313"/>
      <c r="K3610" s="323"/>
    </row>
    <row r="3611" spans="2:11" ht="24.9" customHeight="1" x14ac:dyDescent="0.2">
      <c r="B3611" s="193" t="s">
        <v>1693</v>
      </c>
      <c r="C3611" s="117"/>
      <c r="D3611" s="112" t="s">
        <v>2439</v>
      </c>
      <c r="E3611" s="117" t="s">
        <v>1412</v>
      </c>
      <c r="F3611" s="149"/>
      <c r="G3611" s="119">
        <f>ROUND(SUM(I3612:I3615),0)</f>
        <v>37895</v>
      </c>
      <c r="H3611" s="120"/>
      <c r="I3611" s="119"/>
      <c r="J3611" s="47"/>
      <c r="K3611" s="143"/>
    </row>
    <row r="3612" spans="2:11" ht="24.9" customHeight="1" x14ac:dyDescent="0.2">
      <c r="B3612" s="657" t="s">
        <v>1325</v>
      </c>
      <c r="C3612" s="108" t="str">
        <f>+'LISTA DE INSUMOS'!A168</f>
        <v>MAT123</v>
      </c>
      <c r="D3612" s="225" t="str">
        <f>+'LISTA DE INSUMOS'!B168</f>
        <v>Tubería PVC de alcantarillado de pared estructural d =  4", exterior corrugado (Novafort)</v>
      </c>
      <c r="E3612" s="108" t="str">
        <f>+'LISTA DE INSUMOS'!C168</f>
        <v>M</v>
      </c>
      <c r="F3612" s="140">
        <v>1</v>
      </c>
      <c r="G3612" s="141">
        <f>'LISTA DE INSUMOS'!E168</f>
        <v>26781.841215304998</v>
      </c>
      <c r="H3612" s="108">
        <v>1.05</v>
      </c>
      <c r="I3612" s="141">
        <f>ROUND((F3612*G3612*H3612),0)</f>
        <v>28121</v>
      </c>
      <c r="J3612" s="47"/>
      <c r="K3612" s="143"/>
    </row>
    <row r="3613" spans="2:11" ht="24.9" customHeight="1" thickBot="1" x14ac:dyDescent="0.25">
      <c r="B3613" s="659"/>
      <c r="C3613" s="108" t="str">
        <f>+'LISTA DE INSUMOS'!A112</f>
        <v>MAT070</v>
      </c>
      <c r="D3613" s="139" t="str">
        <f>+'LISTA DE INSUMOS'!B112</f>
        <v>Vaselina</v>
      </c>
      <c r="E3613" s="108" t="str">
        <f>+'LISTA DE INSUMOS'!C112</f>
        <v>Kg</v>
      </c>
      <c r="F3613" s="140">
        <v>0.05</v>
      </c>
      <c r="G3613" s="141">
        <f>'LISTA DE INSUMOS'!E112</f>
        <v>14940.005999999998</v>
      </c>
      <c r="H3613" s="108">
        <v>1.03</v>
      </c>
      <c r="I3613" s="141">
        <f>ROUND((F3613*G3613*H3613),0)</f>
        <v>769</v>
      </c>
      <c r="J3613" s="47"/>
      <c r="K3613" s="143"/>
    </row>
    <row r="3614" spans="2:11" ht="24.9" customHeight="1" thickTop="1" thickBot="1" x14ac:dyDescent="0.25">
      <c r="B3614" s="250" t="s">
        <v>1034</v>
      </c>
      <c r="C3614" s="108" t="str">
        <f>'LISTA DE INSUMOS'!A18</f>
        <v>MOB015</v>
      </c>
      <c r="D3614" s="139" t="str">
        <f>'LISTA DE INSUMOS'!B18</f>
        <v>Cuadrilla E 1 Of + 1 Ay (jornal + prestaciones)</v>
      </c>
      <c r="E3614" s="108" t="str">
        <f>'LISTA DE INSUMOS'!C18</f>
        <v>Día</v>
      </c>
      <c r="F3614" s="140">
        <v>1</v>
      </c>
      <c r="G3614" s="141">
        <f>'LISTA DE INSUMOS'!E18</f>
        <v>245584</v>
      </c>
      <c r="H3614" s="108">
        <f>1/30</f>
        <v>3.3333333333333333E-2</v>
      </c>
      <c r="I3614" s="141">
        <f>ROUND((F3614*G3614*H3614),0)</f>
        <v>8186</v>
      </c>
      <c r="J3614" s="47"/>
      <c r="K3614" s="143"/>
    </row>
    <row r="3615" spans="2:11" ht="24.9" customHeight="1" thickTop="1" thickBot="1" x14ac:dyDescent="0.25">
      <c r="B3615" s="150" t="s">
        <v>1033</v>
      </c>
      <c r="C3615" s="151" t="s">
        <v>1017</v>
      </c>
      <c r="D3615" s="146" t="s">
        <v>1029</v>
      </c>
      <c r="E3615" s="145" t="s">
        <v>2066</v>
      </c>
      <c r="F3615" s="147">
        <v>0.1</v>
      </c>
      <c r="G3615" s="148">
        <f>I3614</f>
        <v>8186</v>
      </c>
      <c r="H3615" s="145">
        <v>0</v>
      </c>
      <c r="I3615" s="148">
        <f>ROUND((F3615*G3615),0)</f>
        <v>819</v>
      </c>
      <c r="J3615" s="47"/>
      <c r="K3615" s="143"/>
    </row>
    <row r="3616" spans="2:11" ht="24.9" customHeight="1" x14ac:dyDescent="0.2">
      <c r="B3616" s="117" t="s">
        <v>1710</v>
      </c>
      <c r="C3616" s="117"/>
      <c r="D3616" s="112" t="s">
        <v>2440</v>
      </c>
      <c r="E3616" s="117" t="s">
        <v>1412</v>
      </c>
      <c r="F3616" s="149"/>
      <c r="G3616" s="119">
        <f>ROUND(SUM(I3617:I3620),0)</f>
        <v>60459</v>
      </c>
      <c r="H3616" s="120"/>
      <c r="I3616" s="119"/>
      <c r="J3616" s="47"/>
      <c r="K3616" s="143"/>
    </row>
    <row r="3617" spans="2:11" ht="24.9" customHeight="1" x14ac:dyDescent="0.2">
      <c r="B3617" s="657" t="s">
        <v>1325</v>
      </c>
      <c r="C3617" s="108" t="str">
        <f>+'LISTA DE INSUMOS'!A169</f>
        <v>MAT124</v>
      </c>
      <c r="D3617" s="225" t="str">
        <f>+'LISTA DE INSUMOS'!B169</f>
        <v>Tubería PVC de alcantarillado de pared estructural d =  6", exterior corrugado (Novafort)</v>
      </c>
      <c r="E3617" s="108" t="str">
        <f>+'LISTA DE INSUMOS'!C169</f>
        <v>M</v>
      </c>
      <c r="F3617" s="140">
        <v>1</v>
      </c>
      <c r="G3617" s="141">
        <f>'LISTA DE INSUMOS'!E169</f>
        <v>47831.067845000005</v>
      </c>
      <c r="H3617" s="108">
        <v>1.05</v>
      </c>
      <c r="I3617" s="141">
        <f>ROUND((F3617*G3617*H3617),0)</f>
        <v>50223</v>
      </c>
      <c r="J3617" s="47"/>
      <c r="K3617" s="143"/>
    </row>
    <row r="3618" spans="2:11" ht="24.9" customHeight="1" thickBot="1" x14ac:dyDescent="0.25">
      <c r="B3618" s="659"/>
      <c r="C3618" s="108" t="str">
        <f>+'LISTA DE INSUMOS'!A112</f>
        <v>MAT070</v>
      </c>
      <c r="D3618" s="139" t="str">
        <f>+'LISTA DE INSUMOS'!B112</f>
        <v>Vaselina</v>
      </c>
      <c r="E3618" s="108" t="str">
        <f>+'LISTA DE INSUMOS'!C112</f>
        <v>Kg</v>
      </c>
      <c r="F3618" s="140">
        <v>0.08</v>
      </c>
      <c r="G3618" s="141">
        <f>'LISTA DE INSUMOS'!E112</f>
        <v>14940.005999999998</v>
      </c>
      <c r="H3618" s="108">
        <v>1.03</v>
      </c>
      <c r="I3618" s="141">
        <f>ROUND((F3618*G3618*H3618),0)</f>
        <v>1231</v>
      </c>
      <c r="J3618" s="47"/>
      <c r="K3618" s="143"/>
    </row>
    <row r="3619" spans="2:11" ht="24.9" customHeight="1" thickTop="1" thickBot="1" x14ac:dyDescent="0.25">
      <c r="B3619" s="250" t="s">
        <v>1034</v>
      </c>
      <c r="C3619" s="108" t="str">
        <f>'LISTA DE INSUMOS'!A18</f>
        <v>MOB015</v>
      </c>
      <c r="D3619" s="139" t="str">
        <f>'LISTA DE INSUMOS'!B18</f>
        <v>Cuadrilla E 1 Of + 1 Ay (jornal + prestaciones)</v>
      </c>
      <c r="E3619" s="108" t="str">
        <f>'LISTA DE INSUMOS'!C18</f>
        <v>Día</v>
      </c>
      <c r="F3619" s="140">
        <v>1</v>
      </c>
      <c r="G3619" s="141">
        <f>'LISTA DE INSUMOS'!E18</f>
        <v>245584</v>
      </c>
      <c r="H3619" s="108">
        <f>1/30</f>
        <v>3.3333333333333333E-2</v>
      </c>
      <c r="I3619" s="141">
        <f>ROUND((F3619*G3619*H3619),0)</f>
        <v>8186</v>
      </c>
      <c r="J3619" s="47"/>
      <c r="K3619" s="143"/>
    </row>
    <row r="3620" spans="2:11" ht="24.9" customHeight="1" thickTop="1" thickBot="1" x14ac:dyDescent="0.25">
      <c r="B3620" s="150" t="s">
        <v>1033</v>
      </c>
      <c r="C3620" s="151" t="str">
        <f>+'LISTA DE INSUMOS'!A758</f>
        <v>EQU002</v>
      </c>
      <c r="D3620" s="146" t="str">
        <f>+'LISTA DE INSUMOS'!B758</f>
        <v>Herramienta menor (% mano obra)</v>
      </c>
      <c r="E3620" s="145" t="str">
        <f>+'LISTA DE INSUMOS'!C758</f>
        <v>%MO</v>
      </c>
      <c r="F3620" s="147">
        <v>0.1</v>
      </c>
      <c r="G3620" s="148">
        <f>I3619</f>
        <v>8186</v>
      </c>
      <c r="H3620" s="145">
        <v>0</v>
      </c>
      <c r="I3620" s="148">
        <f>ROUND((F3620*G3620),0)</f>
        <v>819</v>
      </c>
      <c r="J3620" s="47"/>
      <c r="K3620" s="143"/>
    </row>
    <row r="3621" spans="2:11" ht="24.9" customHeight="1" x14ac:dyDescent="0.2">
      <c r="B3621" s="117" t="s">
        <v>1933</v>
      </c>
      <c r="C3621" s="117"/>
      <c r="D3621" s="112" t="s">
        <v>2441</v>
      </c>
      <c r="E3621" s="117" t="s">
        <v>1412</v>
      </c>
      <c r="F3621" s="149"/>
      <c r="G3621" s="119">
        <f>ROUND(SUM(I3622:I3625),0)</f>
        <v>89980</v>
      </c>
      <c r="H3621" s="120"/>
      <c r="I3621" s="119"/>
      <c r="J3621" s="47"/>
      <c r="K3621" s="143"/>
    </row>
    <row r="3622" spans="2:11" ht="24.9" customHeight="1" x14ac:dyDescent="0.2">
      <c r="B3622" s="657" t="s">
        <v>1325</v>
      </c>
      <c r="C3622" s="108" t="str">
        <f>+'LISTA DE INSUMOS'!A175</f>
        <v>MAT129</v>
      </c>
      <c r="D3622" s="225" t="str">
        <f>+'LISTA DE INSUMOS'!B175</f>
        <v>Tubería PVC de alcantarillado de pared estructural d =  8", exterior corrugado (Novafort)</v>
      </c>
      <c r="E3622" s="108" t="str">
        <f>+'LISTA DE INSUMOS'!C175</f>
        <v>M</v>
      </c>
      <c r="F3622" s="140">
        <v>1</v>
      </c>
      <c r="G3622" s="141">
        <f>'LISTA DE INSUMOS'!E175</f>
        <v>74083.984313267501</v>
      </c>
      <c r="H3622" s="108">
        <v>1.05</v>
      </c>
      <c r="I3622" s="141">
        <f>ROUND((F3622*G3622*H3622),0)</f>
        <v>77788</v>
      </c>
      <c r="J3622" s="47"/>
      <c r="K3622" s="143"/>
    </row>
    <row r="3623" spans="2:11" ht="24.9" customHeight="1" thickBot="1" x14ac:dyDescent="0.25">
      <c r="B3623" s="659"/>
      <c r="C3623" s="108" t="str">
        <f>+'LISTA DE INSUMOS'!A112</f>
        <v>MAT070</v>
      </c>
      <c r="D3623" s="139" t="str">
        <f>+'LISTA DE INSUMOS'!B112</f>
        <v>Vaselina</v>
      </c>
      <c r="E3623" s="108" t="str">
        <f>+'LISTA DE INSUMOS'!C112</f>
        <v>Kg</v>
      </c>
      <c r="F3623" s="152">
        <v>1.2E-2</v>
      </c>
      <c r="G3623" s="141">
        <f>'LISTA DE INSUMOS'!E112</f>
        <v>14940.005999999998</v>
      </c>
      <c r="H3623" s="108">
        <v>1.03</v>
      </c>
      <c r="I3623" s="141">
        <f>ROUND((F3623*G3623*H3623),0)</f>
        <v>185</v>
      </c>
      <c r="J3623" s="47"/>
      <c r="K3623" s="143"/>
    </row>
    <row r="3624" spans="2:11" ht="24.9" customHeight="1" thickTop="1" thickBot="1" x14ac:dyDescent="0.25">
      <c r="B3624" s="250" t="s">
        <v>1034</v>
      </c>
      <c r="C3624" s="108" t="str">
        <f>'LISTA DE INSUMOS'!A20</f>
        <v>MOB017</v>
      </c>
      <c r="D3624" s="139" t="str">
        <f>'LISTA DE INSUMOS'!B20</f>
        <v>Cuadrilla G 1 Of + 2 Ay (jornal + prestaciones)</v>
      </c>
      <c r="E3624" s="108" t="str">
        <f>'LISTA DE INSUMOS'!C20</f>
        <v>Día</v>
      </c>
      <c r="F3624" s="140">
        <v>1</v>
      </c>
      <c r="G3624" s="141">
        <f>'LISTA DE INSUMOS'!E20</f>
        <v>327445</v>
      </c>
      <c r="H3624" s="108">
        <f>1/30</f>
        <v>3.3333333333333333E-2</v>
      </c>
      <c r="I3624" s="141">
        <f>ROUND((F3624*G3624*H3624),0)</f>
        <v>10915</v>
      </c>
      <c r="J3624" s="47"/>
      <c r="K3624" s="143"/>
    </row>
    <row r="3625" spans="2:11" ht="24.9" customHeight="1" thickTop="1" thickBot="1" x14ac:dyDescent="0.25">
      <c r="B3625" s="150" t="s">
        <v>1033</v>
      </c>
      <c r="C3625" s="151" t="str">
        <f>+'LISTA DE INSUMOS'!A758</f>
        <v>EQU002</v>
      </c>
      <c r="D3625" s="146" t="str">
        <f>+'LISTA DE INSUMOS'!B758</f>
        <v>Herramienta menor (% mano obra)</v>
      </c>
      <c r="E3625" s="145" t="str">
        <f>+'LISTA DE INSUMOS'!C758</f>
        <v>%MO</v>
      </c>
      <c r="F3625" s="147">
        <v>0.1</v>
      </c>
      <c r="G3625" s="148">
        <f>I3624</f>
        <v>10915</v>
      </c>
      <c r="H3625" s="145">
        <v>0</v>
      </c>
      <c r="I3625" s="148">
        <f>ROUND((F3625*G3625),0)</f>
        <v>1092</v>
      </c>
      <c r="J3625" s="47"/>
      <c r="K3625" s="143"/>
    </row>
    <row r="3626" spans="2:11" ht="24.9" customHeight="1" x14ac:dyDescent="0.2">
      <c r="B3626" s="117" t="s">
        <v>2971</v>
      </c>
      <c r="C3626" s="117"/>
      <c r="D3626" s="112" t="s">
        <v>2442</v>
      </c>
      <c r="E3626" s="117" t="s">
        <v>1412</v>
      </c>
      <c r="F3626" s="149"/>
      <c r="G3626" s="119">
        <f>ROUND(SUM(I3627:I3630),0)</f>
        <v>124649</v>
      </c>
      <c r="H3626" s="120"/>
      <c r="I3626" s="119"/>
      <c r="J3626" s="47"/>
      <c r="K3626" s="143"/>
    </row>
    <row r="3627" spans="2:11" ht="24.9" customHeight="1" x14ac:dyDescent="0.2">
      <c r="B3627" s="657" t="s">
        <v>1325</v>
      </c>
      <c r="C3627" s="108" t="str">
        <f>+'LISTA DE INSUMOS'!A177</f>
        <v>MAT131</v>
      </c>
      <c r="D3627" s="225" t="str">
        <f>+'LISTA DE INSUMOS'!B177</f>
        <v>Tubería PVC de alcantarillado de pared estructural d =  10", exterior corrugado (Novafort)</v>
      </c>
      <c r="E3627" s="108" t="str">
        <f>+'LISTA DE INSUMOS'!C177</f>
        <v>M</v>
      </c>
      <c r="F3627" s="140">
        <v>1</v>
      </c>
      <c r="G3627" s="141">
        <f>'LISTA DE INSUMOS'!E177</f>
        <v>108203.10829058499</v>
      </c>
      <c r="H3627" s="108">
        <v>1.05</v>
      </c>
      <c r="I3627" s="141">
        <f>ROUND((F3627*G3627*H3627),0)</f>
        <v>113613</v>
      </c>
      <c r="J3627" s="47"/>
      <c r="K3627" s="143"/>
    </row>
    <row r="3628" spans="2:11" ht="24.9" customHeight="1" thickBot="1" x14ac:dyDescent="0.25">
      <c r="B3628" s="659"/>
      <c r="C3628" s="108" t="str">
        <f>+'LISTA DE INSUMOS'!A112</f>
        <v>MAT070</v>
      </c>
      <c r="D3628" s="139" t="str">
        <f>+'LISTA DE INSUMOS'!B112</f>
        <v>Vaselina</v>
      </c>
      <c r="E3628" s="108" t="str">
        <f>+'LISTA DE INSUMOS'!C112</f>
        <v>Kg</v>
      </c>
      <c r="F3628" s="152">
        <v>1.4999999999999999E-2</v>
      </c>
      <c r="G3628" s="141">
        <f>'LISTA DE INSUMOS'!E112</f>
        <v>14940.005999999998</v>
      </c>
      <c r="H3628" s="108">
        <v>1.03</v>
      </c>
      <c r="I3628" s="141">
        <f>ROUND((F3628*G3628*H3628),0)</f>
        <v>231</v>
      </c>
      <c r="J3628" s="47"/>
      <c r="K3628" s="143"/>
    </row>
    <row r="3629" spans="2:11" ht="24.9" customHeight="1" thickTop="1" thickBot="1" x14ac:dyDescent="0.25">
      <c r="B3629" s="250" t="s">
        <v>1034</v>
      </c>
      <c r="C3629" s="108" t="str">
        <f>'LISTA DE INSUMOS'!A20</f>
        <v>MOB017</v>
      </c>
      <c r="D3629" s="139" t="str">
        <f>'LISTA DE INSUMOS'!B20</f>
        <v>Cuadrilla G 1 Of + 2 Ay (jornal + prestaciones)</v>
      </c>
      <c r="E3629" s="108" t="str">
        <f>'LISTA DE INSUMOS'!C20</f>
        <v>Día</v>
      </c>
      <c r="F3629" s="140">
        <v>1</v>
      </c>
      <c r="G3629" s="141">
        <f>'LISTA DE INSUMOS'!E20</f>
        <v>327445</v>
      </c>
      <c r="H3629" s="108">
        <v>0.03</v>
      </c>
      <c r="I3629" s="141">
        <f>ROUND((F3629*G3629*H3629),0)</f>
        <v>9823</v>
      </c>
      <c r="J3629" s="47"/>
      <c r="K3629" s="143"/>
    </row>
    <row r="3630" spans="2:11" ht="24.9" customHeight="1" thickTop="1" thickBot="1" x14ac:dyDescent="0.25">
      <c r="B3630" s="150" t="s">
        <v>1033</v>
      </c>
      <c r="C3630" s="151" t="str">
        <f>+'LISTA DE INSUMOS'!A758</f>
        <v>EQU002</v>
      </c>
      <c r="D3630" s="146" t="str">
        <f>+'LISTA DE INSUMOS'!B758</f>
        <v>Herramienta menor (% mano obra)</v>
      </c>
      <c r="E3630" s="145" t="str">
        <f>+'LISTA DE INSUMOS'!C758</f>
        <v>%MO</v>
      </c>
      <c r="F3630" s="147">
        <v>0.1</v>
      </c>
      <c r="G3630" s="148">
        <f>I3629</f>
        <v>9823</v>
      </c>
      <c r="H3630" s="145">
        <v>0</v>
      </c>
      <c r="I3630" s="148">
        <f>ROUND((F3630*G3630),0)</f>
        <v>982</v>
      </c>
      <c r="J3630" s="47"/>
      <c r="K3630" s="143"/>
    </row>
    <row r="3631" spans="2:11" ht="24.9" customHeight="1" x14ac:dyDescent="0.2">
      <c r="B3631" s="117" t="s">
        <v>1934</v>
      </c>
      <c r="C3631" s="117"/>
      <c r="D3631" s="112" t="s">
        <v>2443</v>
      </c>
      <c r="E3631" s="117" t="s">
        <v>1412</v>
      </c>
      <c r="F3631" s="149"/>
      <c r="G3631" s="119">
        <f>ROUND(SUM(I3632:I3635),0)</f>
        <v>185372</v>
      </c>
      <c r="H3631" s="120"/>
      <c r="I3631" s="119"/>
      <c r="J3631" s="47"/>
      <c r="K3631" s="143"/>
    </row>
    <row r="3632" spans="2:11" ht="24.9" customHeight="1" x14ac:dyDescent="0.2">
      <c r="B3632" s="657" t="s">
        <v>1325</v>
      </c>
      <c r="C3632" s="108" t="str">
        <f>+'LISTA DE INSUMOS'!A182</f>
        <v>MAT136</v>
      </c>
      <c r="D3632" s="225" t="str">
        <f>+'LISTA DE INSUMOS'!B182</f>
        <v>Tubería PVC de alcantarillado de pared estructural d =  12", exterior corrugado (Novafort)</v>
      </c>
      <c r="E3632" s="108" t="str">
        <f>+'LISTA DE INSUMOS'!C182</f>
        <v>M</v>
      </c>
      <c r="F3632" s="140">
        <v>1</v>
      </c>
      <c r="G3632" s="141">
        <f>'LISTA DE INSUMOS'!E182</f>
        <v>155697.76776064499</v>
      </c>
      <c r="H3632" s="108">
        <v>1.05</v>
      </c>
      <c r="I3632" s="141">
        <f>ROUND((F3632*G3632*H3632),0)</f>
        <v>163483</v>
      </c>
      <c r="J3632" s="47"/>
      <c r="K3632" s="143"/>
    </row>
    <row r="3633" spans="2:11" ht="24.9" customHeight="1" thickBot="1" x14ac:dyDescent="0.25">
      <c r="B3633" s="659"/>
      <c r="C3633" s="108" t="str">
        <f>+'LISTA DE INSUMOS'!A112</f>
        <v>MAT070</v>
      </c>
      <c r="D3633" s="139" t="str">
        <f>+'LISTA DE INSUMOS'!B112</f>
        <v>Vaselina</v>
      </c>
      <c r="E3633" s="108" t="str">
        <f>+'LISTA DE INSUMOS'!C112</f>
        <v>Kg</v>
      </c>
      <c r="F3633" s="152">
        <v>1.7999999999999999E-2</v>
      </c>
      <c r="G3633" s="141">
        <f>'LISTA DE INSUMOS'!E112</f>
        <v>14940.005999999998</v>
      </c>
      <c r="H3633" s="108">
        <v>1.03</v>
      </c>
      <c r="I3633" s="141">
        <f>ROUND((F3633*G3633*H3633),0)</f>
        <v>277</v>
      </c>
      <c r="J3633" s="47"/>
      <c r="K3633" s="143"/>
    </row>
    <row r="3634" spans="2:11" ht="24.9" customHeight="1" thickTop="1" thickBot="1" x14ac:dyDescent="0.25">
      <c r="B3634" s="250" t="s">
        <v>1034</v>
      </c>
      <c r="C3634" s="108" t="str">
        <f>'LISTA DE INSUMOS'!A20</f>
        <v>MOB017</v>
      </c>
      <c r="D3634" s="139" t="str">
        <f>'LISTA DE INSUMOS'!B20</f>
        <v>Cuadrilla G 1 Of + 2 Ay (jornal + prestaciones)</v>
      </c>
      <c r="E3634" s="108" t="str">
        <f>'LISTA DE INSUMOS'!C20</f>
        <v>Día</v>
      </c>
      <c r="F3634" s="140">
        <v>1</v>
      </c>
      <c r="G3634" s="141">
        <f>'LISTA DE INSUMOS'!E20</f>
        <v>327445</v>
      </c>
      <c r="H3634" s="108">
        <v>0.06</v>
      </c>
      <c r="I3634" s="141">
        <f>ROUND((F3634*G3634*H3634),0)</f>
        <v>19647</v>
      </c>
      <c r="J3634" s="47"/>
      <c r="K3634" s="143"/>
    </row>
    <row r="3635" spans="2:11" ht="24.9" customHeight="1" thickTop="1" thickBot="1" x14ac:dyDescent="0.25">
      <c r="B3635" s="150" t="s">
        <v>1033</v>
      </c>
      <c r="C3635" s="151" t="str">
        <f>+'LISTA DE INSUMOS'!A758</f>
        <v>EQU002</v>
      </c>
      <c r="D3635" s="146" t="str">
        <f>+'LISTA DE INSUMOS'!B758</f>
        <v>Herramienta menor (% mano obra)</v>
      </c>
      <c r="E3635" s="145" t="str">
        <f>+'LISTA DE INSUMOS'!C758</f>
        <v>%MO</v>
      </c>
      <c r="F3635" s="147">
        <v>0.1</v>
      </c>
      <c r="G3635" s="148">
        <f>I3634</f>
        <v>19647</v>
      </c>
      <c r="H3635" s="145">
        <v>0</v>
      </c>
      <c r="I3635" s="148">
        <f>ROUND((F3635*G3635),0)</f>
        <v>1965</v>
      </c>
      <c r="J3635" s="47"/>
      <c r="K3635" s="143"/>
    </row>
    <row r="3636" spans="2:11" s="317" customFormat="1" ht="24.9" hidden="1" customHeight="1" x14ac:dyDescent="0.2">
      <c r="B3636" s="319" t="s">
        <v>1875</v>
      </c>
      <c r="C3636" s="319"/>
      <c r="D3636" s="320" t="s">
        <v>2444</v>
      </c>
      <c r="E3636" s="319" t="s">
        <v>1412</v>
      </c>
      <c r="F3636" s="332"/>
      <c r="G3636" s="312">
        <f>ROUND(SUM(I3637:I3640),0)</f>
        <v>273016</v>
      </c>
      <c r="H3636" s="322"/>
      <c r="I3636" s="312"/>
      <c r="J3636" s="313"/>
      <c r="K3636" s="323"/>
    </row>
    <row r="3637" spans="2:11" s="317" customFormat="1" ht="24.9" hidden="1" customHeight="1" x14ac:dyDescent="0.2">
      <c r="B3637" s="658" t="s">
        <v>1325</v>
      </c>
      <c r="C3637" s="322" t="str">
        <f>+'LISTA DE INSUMOS'!A183</f>
        <v>MAT137</v>
      </c>
      <c r="D3637" s="368" t="str">
        <f>+'LISTA DE INSUMOS'!B183</f>
        <v>Tubería PVC de alcantarillado de pared estructural d =  14", exterior corrugado (Novafort)</v>
      </c>
      <c r="E3637" s="322" t="str">
        <f>'LISTA DE INSUMOS'!C183</f>
        <v>M</v>
      </c>
      <c r="F3637" s="325">
        <v>1</v>
      </c>
      <c r="G3637" s="312">
        <f>+'LISTA DE INSUMOS'!E183</f>
        <v>233333.89169662003</v>
      </c>
      <c r="H3637" s="322">
        <v>1.05</v>
      </c>
      <c r="I3637" s="312">
        <f>ROUND((F3637*G3637*H3637),0)</f>
        <v>245001</v>
      </c>
      <c r="J3637" s="313"/>
      <c r="K3637" s="323"/>
    </row>
    <row r="3638" spans="2:11" s="317" customFormat="1" ht="24.9" hidden="1" customHeight="1" thickBot="1" x14ac:dyDescent="0.25">
      <c r="B3638" s="668"/>
      <c r="C3638" s="322" t="str">
        <f>'LISTA DE INSUMOS'!A112</f>
        <v>MAT070</v>
      </c>
      <c r="D3638" s="324" t="str">
        <f>'LISTA DE INSUMOS'!B112</f>
        <v>Vaselina</v>
      </c>
      <c r="E3638" s="322" t="str">
        <f>'LISTA DE INSUMOS'!C112</f>
        <v>Kg</v>
      </c>
      <c r="F3638" s="351">
        <v>0.02</v>
      </c>
      <c r="G3638" s="312">
        <f>+'LISTA DE INSUMOS'!E112</f>
        <v>14940.005999999998</v>
      </c>
      <c r="H3638" s="322">
        <v>1.03</v>
      </c>
      <c r="I3638" s="312">
        <f>ROUND((F3638*G3638*H3638),0)</f>
        <v>308</v>
      </c>
      <c r="J3638" s="313"/>
      <c r="K3638" s="323"/>
    </row>
    <row r="3639" spans="2:11" s="317" customFormat="1" ht="24.9" hidden="1" customHeight="1" thickTop="1" thickBot="1" x14ac:dyDescent="0.25">
      <c r="B3639" s="372" t="s">
        <v>1034</v>
      </c>
      <c r="C3639" s="322" t="str">
        <f>'LISTA DE INSUMOS'!A20</f>
        <v>MOB017</v>
      </c>
      <c r="D3639" s="324" t="str">
        <f>'LISTA DE INSUMOS'!B20</f>
        <v>Cuadrilla G 1 Of + 2 Ay (jornal + prestaciones)</v>
      </c>
      <c r="E3639" s="322" t="str">
        <f>'LISTA DE INSUMOS'!C20</f>
        <v>Día</v>
      </c>
      <c r="F3639" s="325">
        <v>1</v>
      </c>
      <c r="G3639" s="312">
        <f>+'LISTA DE INSUMOS'!E20</f>
        <v>327445</v>
      </c>
      <c r="H3639" s="322">
        <f>1/13</f>
        <v>7.6923076923076927E-2</v>
      </c>
      <c r="I3639" s="312">
        <f>ROUND((F3639*G3639*H3639),0)</f>
        <v>25188</v>
      </c>
      <c r="J3639" s="313"/>
      <c r="K3639" s="323"/>
    </row>
    <row r="3640" spans="2:11" s="317" customFormat="1" ht="24.9" hidden="1" customHeight="1" thickTop="1" thickBot="1" x14ac:dyDescent="0.25">
      <c r="B3640" s="255" t="s">
        <v>1033</v>
      </c>
      <c r="C3640" s="327" t="str">
        <f>+'LISTA DE INSUMOS'!A758</f>
        <v>EQU002</v>
      </c>
      <c r="D3640" s="328" t="str">
        <f>+'LISTA DE INSUMOS'!B758</f>
        <v>Herramienta menor (% mano obra)</v>
      </c>
      <c r="E3640" s="329" t="str">
        <f>+'LISTA DE INSUMOS'!C758</f>
        <v>%MO</v>
      </c>
      <c r="F3640" s="330">
        <v>0.1</v>
      </c>
      <c r="G3640" s="331">
        <f>I3639</f>
        <v>25188</v>
      </c>
      <c r="H3640" s="329">
        <v>0</v>
      </c>
      <c r="I3640" s="331">
        <f>ROUND((F3640*G3640),0)</f>
        <v>2519</v>
      </c>
      <c r="J3640" s="313"/>
      <c r="K3640" s="323"/>
    </row>
    <row r="3641" spans="2:11" s="317" customFormat="1" ht="24.9" customHeight="1" x14ac:dyDescent="0.2">
      <c r="B3641" s="117" t="s">
        <v>3238</v>
      </c>
      <c r="C3641" s="117"/>
      <c r="D3641" s="112" t="s">
        <v>2444</v>
      </c>
      <c r="E3641" s="117" t="s">
        <v>1412</v>
      </c>
      <c r="F3641" s="149"/>
      <c r="G3641" s="119">
        <f>ROUND(SUM(I3642:I3645),0)</f>
        <v>266921</v>
      </c>
      <c r="H3641" s="120"/>
      <c r="I3641" s="119"/>
      <c r="J3641" s="313"/>
      <c r="K3641" s="323"/>
    </row>
    <row r="3642" spans="2:11" s="317" customFormat="1" ht="24.9" customHeight="1" x14ac:dyDescent="0.2">
      <c r="B3642" s="657" t="s">
        <v>1325</v>
      </c>
      <c r="C3642" s="108" t="str">
        <f>+'[1]LISTA DE INSUMOS'!A160</f>
        <v>MAT141</v>
      </c>
      <c r="D3642" s="225" t="str">
        <f>'LISTA DE INSUMOS'!B170</f>
        <v>Tubería PVC de alcantarillado de pared estructural d =  14", exterior corrugado (Novafort)</v>
      </c>
      <c r="E3642" s="108" t="str">
        <f>'[1]LISTA DE INSUMOS'!C160</f>
        <v>M</v>
      </c>
      <c r="F3642" s="140">
        <v>1</v>
      </c>
      <c r="G3642" s="141">
        <f>'LISTA DE INSUMOS'!E170</f>
        <v>233333.89169662003</v>
      </c>
      <c r="H3642" s="108">
        <v>1.05</v>
      </c>
      <c r="I3642" s="141">
        <f>ROUND((F3642*G3642*H3642),0)</f>
        <v>245001</v>
      </c>
      <c r="J3642" s="313"/>
      <c r="K3642" s="323"/>
    </row>
    <row r="3643" spans="2:11" s="317" customFormat="1" ht="24.9" customHeight="1" thickBot="1" x14ac:dyDescent="0.25">
      <c r="B3643" s="659"/>
      <c r="C3643" s="108" t="str">
        <f>'[1]LISTA DE INSUMOS'!A97</f>
        <v>MAT073</v>
      </c>
      <c r="D3643" s="139" t="str">
        <f>D3633</f>
        <v>Vaselina</v>
      </c>
      <c r="E3643" s="108" t="str">
        <f>'[1]LISTA DE INSUMOS'!C97</f>
        <v>Un</v>
      </c>
      <c r="F3643" s="152">
        <v>0.02</v>
      </c>
      <c r="G3643" s="141">
        <f>G3633</f>
        <v>14940.005999999998</v>
      </c>
      <c r="H3643" s="108">
        <v>1.03</v>
      </c>
      <c r="I3643" s="141">
        <f>ROUND((F3643*G3643*H3643),0)</f>
        <v>308</v>
      </c>
      <c r="J3643" s="313"/>
      <c r="K3643" s="323"/>
    </row>
    <row r="3644" spans="2:11" s="317" customFormat="1" ht="24.9" customHeight="1" thickTop="1" thickBot="1" x14ac:dyDescent="0.25">
      <c r="B3644" s="250" t="s">
        <v>1034</v>
      </c>
      <c r="C3644" s="108" t="str">
        <f>'[1]LISTA DE INSUMOS'!A23</f>
        <v>MOB020</v>
      </c>
      <c r="D3644" s="139" t="str">
        <f>D3634</f>
        <v>Cuadrilla G 1 Of + 2 Ay (jornal + prestaciones)</v>
      </c>
      <c r="E3644" s="108" t="str">
        <f>'[1]LISTA DE INSUMOS'!C23</f>
        <v>Día</v>
      </c>
      <c r="F3644" s="140">
        <v>1</v>
      </c>
      <c r="G3644" s="141">
        <f>G3634</f>
        <v>327445</v>
      </c>
      <c r="H3644" s="108">
        <v>0.06</v>
      </c>
      <c r="I3644" s="141">
        <f>ROUND((F3644*G3644*H3644),0)</f>
        <v>19647</v>
      </c>
      <c r="J3644" s="313"/>
      <c r="K3644" s="323"/>
    </row>
    <row r="3645" spans="2:11" s="317" customFormat="1" ht="24.9" customHeight="1" thickTop="1" thickBot="1" x14ac:dyDescent="0.25">
      <c r="B3645" s="150" t="s">
        <v>1033</v>
      </c>
      <c r="C3645" s="151" t="str">
        <f>+'[1]LISTA DE INSUMOS'!A674</f>
        <v>EQU004</v>
      </c>
      <c r="D3645" s="146" t="str">
        <f>D3635</f>
        <v>Herramienta menor (% mano obra)</v>
      </c>
      <c r="E3645" s="145" t="str">
        <f>+'[1]LISTA DE INSUMOS'!C674</f>
        <v>Hr</v>
      </c>
      <c r="F3645" s="147">
        <v>0.1</v>
      </c>
      <c r="G3645" s="148">
        <f>I3644</f>
        <v>19647</v>
      </c>
      <c r="H3645" s="145">
        <v>0</v>
      </c>
      <c r="I3645" s="148">
        <f>ROUND((F3645*G3645),0)</f>
        <v>1965</v>
      </c>
      <c r="J3645" s="313"/>
      <c r="K3645" s="323"/>
    </row>
    <row r="3646" spans="2:11" ht="24.9" customHeight="1" x14ac:dyDescent="0.2">
      <c r="B3646" s="117" t="s">
        <v>2972</v>
      </c>
      <c r="C3646" s="117"/>
      <c r="D3646" s="112" t="s">
        <v>2445</v>
      </c>
      <c r="E3646" s="117" t="s">
        <v>1412</v>
      </c>
      <c r="F3646" s="149"/>
      <c r="G3646" s="119">
        <f>ROUND(SUM(I3647:I3650),0)</f>
        <v>321613</v>
      </c>
      <c r="H3646" s="120"/>
      <c r="I3646" s="119"/>
      <c r="J3646" s="47"/>
      <c r="K3646" s="143"/>
    </row>
    <row r="3647" spans="2:11" ht="24.9" customHeight="1" x14ac:dyDescent="0.2">
      <c r="B3647" s="657" t="s">
        <v>1325</v>
      </c>
      <c r="C3647" s="108" t="str">
        <f>'LISTA DE INSUMOS'!A185</f>
        <v>MAT139</v>
      </c>
      <c r="D3647" s="225" t="str">
        <f>'LISTA DE INSUMOS'!B185</f>
        <v>Tubería PVC de alcantarillado de pared estructural d =  16", exterior corrugado (Novafort)</v>
      </c>
      <c r="E3647" s="108" t="str">
        <f>'LISTA DE INSUMOS'!C185</f>
        <v>M</v>
      </c>
      <c r="F3647" s="140">
        <v>1</v>
      </c>
      <c r="G3647" s="141">
        <f>'LISTA DE INSUMOS'!E185</f>
        <v>285392.46453044243</v>
      </c>
      <c r="H3647" s="108">
        <v>1.05</v>
      </c>
      <c r="I3647" s="141">
        <f>ROUND((F3647*G3647*H3647),0)</f>
        <v>299662</v>
      </c>
      <c r="J3647" s="51"/>
      <c r="K3647" s="143"/>
    </row>
    <row r="3648" spans="2:11" ht="24.9" customHeight="1" thickBot="1" x14ac:dyDescent="0.25">
      <c r="B3648" s="659"/>
      <c r="C3648" s="108" t="str">
        <f>'LISTA DE INSUMOS'!A112</f>
        <v>MAT070</v>
      </c>
      <c r="D3648" s="139" t="str">
        <f>'LISTA DE INSUMOS'!B112</f>
        <v>Vaselina</v>
      </c>
      <c r="E3648" s="108" t="str">
        <f>'LISTA DE INSUMOS'!C112</f>
        <v>Kg</v>
      </c>
      <c r="F3648" s="152">
        <v>2.1999999999999999E-2</v>
      </c>
      <c r="G3648" s="141">
        <f>'LISTA DE INSUMOS'!E112</f>
        <v>14940.005999999998</v>
      </c>
      <c r="H3648" s="108">
        <v>1.03</v>
      </c>
      <c r="I3648" s="141">
        <f>ROUND((F3648*G3648*H3648),0)</f>
        <v>339</v>
      </c>
      <c r="J3648" s="47"/>
      <c r="K3648" s="143"/>
    </row>
    <row r="3649" spans="2:11" ht="24.9" customHeight="1" thickTop="1" thickBot="1" x14ac:dyDescent="0.25">
      <c r="B3649" s="250" t="s">
        <v>1034</v>
      </c>
      <c r="C3649" s="108" t="str">
        <f>'LISTA DE INSUMOS'!A20</f>
        <v>MOB017</v>
      </c>
      <c r="D3649" s="139" t="str">
        <f>'LISTA DE INSUMOS'!B20</f>
        <v>Cuadrilla G 1 Of + 2 Ay (jornal + prestaciones)</v>
      </c>
      <c r="E3649" s="108" t="str">
        <f>'LISTA DE INSUMOS'!C20</f>
        <v>Día</v>
      </c>
      <c r="F3649" s="140">
        <v>1</v>
      </c>
      <c r="G3649" s="141">
        <f>'LISTA DE INSUMOS'!E20</f>
        <v>327445</v>
      </c>
      <c r="H3649" s="108">
        <v>0.06</v>
      </c>
      <c r="I3649" s="141">
        <f>ROUND((F3649*G3649*H3649),0)</f>
        <v>19647</v>
      </c>
      <c r="J3649" s="47"/>
      <c r="K3649" s="143"/>
    </row>
    <row r="3650" spans="2:11" ht="24.9" customHeight="1" thickTop="1" thickBot="1" x14ac:dyDescent="0.25">
      <c r="B3650" s="150" t="s">
        <v>1033</v>
      </c>
      <c r="C3650" s="151" t="str">
        <f>+'LISTA DE INSUMOS'!A758</f>
        <v>EQU002</v>
      </c>
      <c r="D3650" s="146" t="str">
        <f>+'LISTA DE INSUMOS'!B758</f>
        <v>Herramienta menor (% mano obra)</v>
      </c>
      <c r="E3650" s="145" t="str">
        <f>+'LISTA DE INSUMOS'!C758</f>
        <v>%MO</v>
      </c>
      <c r="F3650" s="147">
        <v>0.1</v>
      </c>
      <c r="G3650" s="148">
        <f>I3649</f>
        <v>19647</v>
      </c>
      <c r="H3650" s="145">
        <v>0</v>
      </c>
      <c r="I3650" s="148">
        <f>ROUND((F3650*G3650),0)</f>
        <v>1965</v>
      </c>
      <c r="J3650" s="47"/>
      <c r="K3650" s="143"/>
    </row>
    <row r="3651" spans="2:11" ht="24.9" customHeight="1" x14ac:dyDescent="0.2">
      <c r="B3651" s="117" t="s">
        <v>2973</v>
      </c>
      <c r="C3651" s="117"/>
      <c r="D3651" s="112" t="s">
        <v>45</v>
      </c>
      <c r="E3651" s="117" t="s">
        <v>2585</v>
      </c>
      <c r="F3651" s="118"/>
      <c r="G3651" s="119">
        <f>ROUND(SUM(I3652:I3654),0)</f>
        <v>82775</v>
      </c>
      <c r="H3651" s="120"/>
      <c r="I3651" s="119"/>
      <c r="J3651" s="47"/>
      <c r="K3651" s="143"/>
    </row>
    <row r="3652" spans="2:11" ht="24.9" customHeight="1" thickBot="1" x14ac:dyDescent="0.25">
      <c r="B3652" s="175" t="s">
        <v>1325</v>
      </c>
      <c r="C3652" s="108" t="str">
        <f>'LISTA DE INSUMOS'!A425</f>
        <v>MAT440</v>
      </c>
      <c r="D3652" s="139" t="str">
        <f>'LISTA DE INSUMOS'!B425</f>
        <v>Geodren circular de 4" l = 1,00 m</v>
      </c>
      <c r="E3652" s="108" t="str">
        <f>'LISTA DE INSUMOS'!C425</f>
        <v>M2</v>
      </c>
      <c r="F3652" s="140">
        <v>1</v>
      </c>
      <c r="G3652" s="141">
        <f>'LISTA DE INSUMOS'!E425</f>
        <v>73770.087481958981</v>
      </c>
      <c r="H3652" s="108">
        <v>0</v>
      </c>
      <c r="I3652" s="141">
        <f>ROUND((F3652*G3652),0)</f>
        <v>73770</v>
      </c>
      <c r="J3652" s="47"/>
      <c r="K3652" s="143"/>
    </row>
    <row r="3653" spans="2:11" ht="24.9" customHeight="1" thickTop="1" thickBot="1" x14ac:dyDescent="0.25">
      <c r="B3653" s="250" t="s">
        <v>1034</v>
      </c>
      <c r="C3653" s="108" t="str">
        <f>'LISTA DE INSUMOS'!A20</f>
        <v>MOB017</v>
      </c>
      <c r="D3653" s="139" t="str">
        <f>'LISTA DE INSUMOS'!B20</f>
        <v>Cuadrilla G 1 Of + 2 Ay (jornal + prestaciones)</v>
      </c>
      <c r="E3653" s="108" t="str">
        <f>'LISTA DE INSUMOS'!C20</f>
        <v>Día</v>
      </c>
      <c r="F3653" s="140">
        <v>1</v>
      </c>
      <c r="G3653" s="141">
        <f>'LISTA DE INSUMOS'!E20</f>
        <v>327445</v>
      </c>
      <c r="H3653" s="142">
        <f>1/40</f>
        <v>2.5000000000000001E-2</v>
      </c>
      <c r="I3653" s="141">
        <f>ROUND((F3653*G3653*H3653),0)</f>
        <v>8186</v>
      </c>
      <c r="J3653" s="47"/>
      <c r="K3653" s="143"/>
    </row>
    <row r="3654" spans="2:11" ht="37.5" customHeight="1" thickTop="1" thickBot="1" x14ac:dyDescent="0.25">
      <c r="B3654" s="150" t="s">
        <v>1033</v>
      </c>
      <c r="C3654" s="151" t="str">
        <f>+'LISTA DE INSUMOS'!A758</f>
        <v>EQU002</v>
      </c>
      <c r="D3654" s="146" t="str">
        <f>+'LISTA DE INSUMOS'!B758</f>
        <v>Herramienta menor (% mano obra)</v>
      </c>
      <c r="E3654" s="145" t="str">
        <f>+'LISTA DE INSUMOS'!C758</f>
        <v>%MO</v>
      </c>
      <c r="F3654" s="147">
        <v>0.1</v>
      </c>
      <c r="G3654" s="148">
        <f>I3653</f>
        <v>8186</v>
      </c>
      <c r="H3654" s="145">
        <v>0</v>
      </c>
      <c r="I3654" s="148">
        <f>ROUND((F3654*G3654),0)</f>
        <v>819</v>
      </c>
      <c r="J3654" s="47"/>
      <c r="K3654" s="143"/>
    </row>
    <row r="3655" spans="2:11" ht="24.9" customHeight="1" x14ac:dyDescent="0.2">
      <c r="B3655" s="117" t="s">
        <v>1790</v>
      </c>
      <c r="C3655" s="117"/>
      <c r="D3655" s="112" t="s">
        <v>46</v>
      </c>
      <c r="E3655" s="117" t="s">
        <v>2585</v>
      </c>
      <c r="F3655" s="118"/>
      <c r="G3655" s="119">
        <f>ROUND(SUM(I3656:I3658),0)</f>
        <v>110348</v>
      </c>
      <c r="H3655" s="120"/>
      <c r="I3655" s="119"/>
      <c r="J3655" s="47"/>
      <c r="K3655" s="143"/>
    </row>
    <row r="3656" spans="2:11" ht="24.9" customHeight="1" thickBot="1" x14ac:dyDescent="0.25">
      <c r="B3656" s="175" t="s">
        <v>1325</v>
      </c>
      <c r="C3656" s="108" t="str">
        <f>'LISTA DE INSUMOS'!A427</f>
        <v>MAT442</v>
      </c>
      <c r="D3656" s="139" t="str">
        <f>'LISTA DE INSUMOS'!B427</f>
        <v>Geodren circular de 2 1/2" l = 1 m</v>
      </c>
      <c r="E3656" s="108" t="str">
        <f>'LISTA DE INSUMOS'!C427</f>
        <v>M2</v>
      </c>
      <c r="F3656" s="140">
        <v>1</v>
      </c>
      <c r="G3656" s="141">
        <f>'LISTA DE INSUMOS'!E427</f>
        <v>101342.68311649351</v>
      </c>
      <c r="H3656" s="108">
        <v>0</v>
      </c>
      <c r="I3656" s="141">
        <f>ROUND((F3656*G3656),0)</f>
        <v>101343</v>
      </c>
      <c r="J3656" s="47"/>
      <c r="K3656" s="143"/>
    </row>
    <row r="3657" spans="2:11" ht="24.9" customHeight="1" thickTop="1" thickBot="1" x14ac:dyDescent="0.25">
      <c r="B3657" s="250" t="s">
        <v>1034</v>
      </c>
      <c r="C3657" s="108" t="str">
        <f>'LISTA DE INSUMOS'!A20</f>
        <v>MOB017</v>
      </c>
      <c r="D3657" s="139" t="str">
        <f>'LISTA DE INSUMOS'!B20</f>
        <v>Cuadrilla G 1 Of + 2 Ay (jornal + prestaciones)</v>
      </c>
      <c r="E3657" s="108" t="str">
        <f>'LISTA DE INSUMOS'!C20</f>
        <v>Día</v>
      </c>
      <c r="F3657" s="140">
        <v>1</v>
      </c>
      <c r="G3657" s="141">
        <f>'LISTA DE INSUMOS'!E20</f>
        <v>327445</v>
      </c>
      <c r="H3657" s="142">
        <f>1/40</f>
        <v>2.5000000000000001E-2</v>
      </c>
      <c r="I3657" s="141">
        <f>ROUND((F3657*G3657*H3657),0)</f>
        <v>8186</v>
      </c>
      <c r="J3657" s="47"/>
      <c r="K3657" s="143"/>
    </row>
    <row r="3658" spans="2:11" ht="24.9" customHeight="1" thickTop="1" thickBot="1" x14ac:dyDescent="0.25">
      <c r="B3658" s="150" t="s">
        <v>1033</v>
      </c>
      <c r="C3658" s="151" t="str">
        <f>+'LISTA DE INSUMOS'!A758</f>
        <v>EQU002</v>
      </c>
      <c r="D3658" s="146" t="str">
        <f>+'LISTA DE INSUMOS'!B758</f>
        <v>Herramienta menor (% mano obra)</v>
      </c>
      <c r="E3658" s="145" t="str">
        <f>+'LISTA DE INSUMOS'!C758</f>
        <v>%MO</v>
      </c>
      <c r="F3658" s="147">
        <v>0.1</v>
      </c>
      <c r="G3658" s="148">
        <f>I3657</f>
        <v>8186</v>
      </c>
      <c r="H3658" s="145">
        <v>0</v>
      </c>
      <c r="I3658" s="148">
        <f>ROUND((F3658*G3658),0)</f>
        <v>819</v>
      </c>
      <c r="J3658" s="47"/>
      <c r="K3658" s="143"/>
    </row>
    <row r="3659" spans="2:11" ht="24.9" customHeight="1" x14ac:dyDescent="0.2">
      <c r="B3659" s="117" t="s">
        <v>2974</v>
      </c>
      <c r="C3659" s="117"/>
      <c r="D3659" s="112" t="s">
        <v>47</v>
      </c>
      <c r="E3659" s="117" t="s">
        <v>2585</v>
      </c>
      <c r="F3659" s="118"/>
      <c r="G3659" s="119">
        <f>ROUND(SUM(I3660:I3662),0)</f>
        <v>147035</v>
      </c>
      <c r="H3659" s="120"/>
      <c r="I3659" s="119"/>
      <c r="J3659" s="47"/>
      <c r="K3659" s="143"/>
    </row>
    <row r="3660" spans="2:11" ht="24.9" customHeight="1" thickBot="1" x14ac:dyDescent="0.25">
      <c r="B3660" s="175" t="s">
        <v>1325</v>
      </c>
      <c r="C3660" s="108" t="str">
        <f>'LISTA DE INSUMOS'!A428</f>
        <v>MAT443</v>
      </c>
      <c r="D3660" s="139" t="str">
        <f>'LISTA DE INSUMOS'!B428</f>
        <v>Geodren circular de 6" l = 1,00 m</v>
      </c>
      <c r="E3660" s="108" t="str">
        <f>'LISTA DE INSUMOS'!C428</f>
        <v>M2</v>
      </c>
      <c r="F3660" s="140">
        <v>1</v>
      </c>
      <c r="G3660" s="141">
        <f>'LISTA DE INSUMOS'!E428</f>
        <v>138029.98764373499</v>
      </c>
      <c r="H3660" s="108">
        <v>0</v>
      </c>
      <c r="I3660" s="141">
        <f>ROUND((F3660*G3660),0)</f>
        <v>138030</v>
      </c>
      <c r="J3660" s="47"/>
      <c r="K3660" s="143"/>
    </row>
    <row r="3661" spans="2:11" ht="24.9" customHeight="1" thickTop="1" thickBot="1" x14ac:dyDescent="0.25">
      <c r="B3661" s="250" t="s">
        <v>1034</v>
      </c>
      <c r="C3661" s="108" t="str">
        <f>'LISTA DE INSUMOS'!A20</f>
        <v>MOB017</v>
      </c>
      <c r="D3661" s="139" t="str">
        <f>'LISTA DE INSUMOS'!B20</f>
        <v>Cuadrilla G 1 Of + 2 Ay (jornal + prestaciones)</v>
      </c>
      <c r="E3661" s="108" t="str">
        <f>'LISTA DE INSUMOS'!C20</f>
        <v>Día</v>
      </c>
      <c r="F3661" s="140">
        <v>1</v>
      </c>
      <c r="G3661" s="141">
        <f>'LISTA DE INSUMOS'!E20</f>
        <v>327445</v>
      </c>
      <c r="H3661" s="142">
        <f>1/40</f>
        <v>2.5000000000000001E-2</v>
      </c>
      <c r="I3661" s="141">
        <f>ROUND((F3661*G3661*H3661),0)</f>
        <v>8186</v>
      </c>
      <c r="J3661" s="47"/>
      <c r="K3661" s="143"/>
    </row>
    <row r="3662" spans="2:11" ht="24.9" customHeight="1" thickTop="1" thickBot="1" x14ac:dyDescent="0.25">
      <c r="B3662" s="150" t="s">
        <v>1033</v>
      </c>
      <c r="C3662" s="151" t="str">
        <f>+'LISTA DE INSUMOS'!A758</f>
        <v>EQU002</v>
      </c>
      <c r="D3662" s="146" t="str">
        <f>+'LISTA DE INSUMOS'!B758</f>
        <v>Herramienta menor (% mano obra)</v>
      </c>
      <c r="E3662" s="145" t="str">
        <f>+'LISTA DE INSUMOS'!C758</f>
        <v>%MO</v>
      </c>
      <c r="F3662" s="147">
        <v>0.1</v>
      </c>
      <c r="G3662" s="148">
        <f>I3661</f>
        <v>8186</v>
      </c>
      <c r="H3662" s="145">
        <v>0</v>
      </c>
      <c r="I3662" s="148">
        <f>ROUND((F3662*G3662),0)</f>
        <v>819</v>
      </c>
      <c r="J3662" s="47"/>
      <c r="K3662" s="143"/>
    </row>
    <row r="3663" spans="2:11" ht="24.9" customHeight="1" x14ac:dyDescent="0.2">
      <c r="B3663" s="117" t="s">
        <v>2975</v>
      </c>
      <c r="C3663" s="117"/>
      <c r="D3663" s="112" t="s">
        <v>48</v>
      </c>
      <c r="E3663" s="117" t="s">
        <v>2585</v>
      </c>
      <c r="F3663" s="118"/>
      <c r="G3663" s="119">
        <f>ROUND(SUM(I3664:I3666),0)</f>
        <v>113782</v>
      </c>
      <c r="H3663" s="120"/>
      <c r="I3663" s="119"/>
      <c r="J3663" s="47"/>
      <c r="K3663" s="143"/>
    </row>
    <row r="3664" spans="2:11" ht="24.9" customHeight="1" thickBot="1" x14ac:dyDescent="0.25">
      <c r="B3664" s="175" t="s">
        <v>1325</v>
      </c>
      <c r="C3664" s="108" t="str">
        <f>'LISTA DE INSUMOS'!A448</f>
        <v>MAT465</v>
      </c>
      <c r="D3664" s="139" t="str">
        <f>'LISTA DE INSUMOS'!B448</f>
        <v>Geodren circular de 8" l = 1,00 m</v>
      </c>
      <c r="E3664" s="108" t="str">
        <f>'LISTA DE INSUMOS'!C448</f>
        <v>M2</v>
      </c>
      <c r="F3664" s="140">
        <v>1</v>
      </c>
      <c r="G3664" s="141">
        <f>'LISTA DE INSUMOS'!E448</f>
        <v>103489.75687647299</v>
      </c>
      <c r="H3664" s="108">
        <v>0</v>
      </c>
      <c r="I3664" s="141">
        <f>ROUND((F3664*G3664),0)</f>
        <v>103490</v>
      </c>
      <c r="J3664" s="47"/>
      <c r="K3664" s="143"/>
    </row>
    <row r="3665" spans="2:11" ht="24.9" customHeight="1" thickTop="1" thickBot="1" x14ac:dyDescent="0.25">
      <c r="B3665" s="250" t="s">
        <v>1034</v>
      </c>
      <c r="C3665" s="108" t="str">
        <f>'LISTA DE INSUMOS'!A20</f>
        <v>MOB017</v>
      </c>
      <c r="D3665" s="139" t="str">
        <f>'LISTA DE INSUMOS'!B20</f>
        <v>Cuadrilla G 1 Of + 2 Ay (jornal + prestaciones)</v>
      </c>
      <c r="E3665" s="108" t="str">
        <f>'LISTA DE INSUMOS'!C20</f>
        <v>Día</v>
      </c>
      <c r="F3665" s="140">
        <v>1</v>
      </c>
      <c r="G3665" s="141">
        <f>'LISTA DE INSUMOS'!E20</f>
        <v>327445</v>
      </c>
      <c r="H3665" s="142">
        <f>1/35</f>
        <v>2.8571428571428571E-2</v>
      </c>
      <c r="I3665" s="141">
        <f>ROUND((F3665*G3665*H3665),0)</f>
        <v>9356</v>
      </c>
      <c r="J3665" s="47"/>
      <c r="K3665" s="143"/>
    </row>
    <row r="3666" spans="2:11" ht="24.9" customHeight="1" thickTop="1" thickBot="1" x14ac:dyDescent="0.25">
      <c r="B3666" s="150" t="s">
        <v>1033</v>
      </c>
      <c r="C3666" s="151" t="str">
        <f>+'LISTA DE INSUMOS'!A758</f>
        <v>EQU002</v>
      </c>
      <c r="D3666" s="146" t="str">
        <f>+'LISTA DE INSUMOS'!B758</f>
        <v>Herramienta menor (% mano obra)</v>
      </c>
      <c r="E3666" s="145" t="str">
        <f>+'LISTA DE INSUMOS'!C758</f>
        <v>%MO</v>
      </c>
      <c r="F3666" s="147">
        <v>0.1</v>
      </c>
      <c r="G3666" s="148">
        <f>I3665</f>
        <v>9356</v>
      </c>
      <c r="H3666" s="145">
        <v>0</v>
      </c>
      <c r="I3666" s="148">
        <f>ROUND((F3666*G3666),0)</f>
        <v>936</v>
      </c>
      <c r="J3666" s="47"/>
      <c r="K3666" s="143"/>
    </row>
    <row r="3667" spans="2:11" ht="24.9" customHeight="1" x14ac:dyDescent="0.2">
      <c r="B3667" s="117" t="s">
        <v>2976</v>
      </c>
      <c r="C3667" s="117"/>
      <c r="D3667" s="112" t="s">
        <v>49</v>
      </c>
      <c r="E3667" s="117" t="s">
        <v>2585</v>
      </c>
      <c r="F3667" s="118"/>
      <c r="G3667" s="119">
        <f>ROUND(SUM(I3668:I3670),0)</f>
        <v>44641</v>
      </c>
      <c r="H3667" s="120"/>
      <c r="I3667" s="119"/>
      <c r="J3667" s="47"/>
      <c r="K3667" s="143"/>
    </row>
    <row r="3668" spans="2:11" ht="24.9" customHeight="1" thickBot="1" x14ac:dyDescent="0.25">
      <c r="B3668" s="175" t="s">
        <v>1325</v>
      </c>
      <c r="C3668" s="108" t="str">
        <f>'LISTA DE INSUMOS'!A426</f>
        <v>MAT441</v>
      </c>
      <c r="D3668" s="139" t="str">
        <f>'LISTA DE INSUMOS'!B426</f>
        <v>Geodren planar l = 1,00 m</v>
      </c>
      <c r="E3668" s="108" t="str">
        <f>'LISTA DE INSUMOS'!C426</f>
        <v>M2</v>
      </c>
      <c r="F3668" s="140">
        <v>1</v>
      </c>
      <c r="G3668" s="141">
        <f>'LISTA DE INSUMOS'!E426</f>
        <v>41040.2393810145</v>
      </c>
      <c r="H3668" s="108">
        <v>0</v>
      </c>
      <c r="I3668" s="141">
        <f>ROUND((F3668*G3668),0)</f>
        <v>41040</v>
      </c>
      <c r="J3668" s="47"/>
      <c r="K3668" s="143"/>
    </row>
    <row r="3669" spans="2:11" ht="24.9" customHeight="1" thickTop="1" thickBot="1" x14ac:dyDescent="0.25">
      <c r="B3669" s="250" t="s">
        <v>1034</v>
      </c>
      <c r="C3669" s="108" t="str">
        <f>'LISTA DE INSUMOS'!A20</f>
        <v>MOB017</v>
      </c>
      <c r="D3669" s="139" t="str">
        <f>'LISTA DE INSUMOS'!B20</f>
        <v>Cuadrilla G 1 Of + 2 Ay (jornal + prestaciones)</v>
      </c>
      <c r="E3669" s="108" t="str">
        <f>'LISTA DE INSUMOS'!C20</f>
        <v>Día</v>
      </c>
      <c r="F3669" s="140">
        <v>1</v>
      </c>
      <c r="G3669" s="141">
        <f>'LISTA DE INSUMOS'!E20</f>
        <v>327445</v>
      </c>
      <c r="H3669" s="108">
        <f>1/100</f>
        <v>0.01</v>
      </c>
      <c r="I3669" s="141">
        <f>ROUND((F3669*G3669*H3669),0)</f>
        <v>3274</v>
      </c>
      <c r="J3669" s="47"/>
      <c r="K3669" s="143"/>
    </row>
    <row r="3670" spans="2:11" ht="24.9" customHeight="1" thickTop="1" thickBot="1" x14ac:dyDescent="0.25">
      <c r="B3670" s="150" t="s">
        <v>1033</v>
      </c>
      <c r="C3670" s="151" t="str">
        <f>+'LISTA DE INSUMOS'!A758</f>
        <v>EQU002</v>
      </c>
      <c r="D3670" s="146" t="str">
        <f>+'LISTA DE INSUMOS'!B758</f>
        <v>Herramienta menor (% mano obra)</v>
      </c>
      <c r="E3670" s="145" t="str">
        <f>+'LISTA DE INSUMOS'!C758</f>
        <v>%MO</v>
      </c>
      <c r="F3670" s="147">
        <v>0.1</v>
      </c>
      <c r="G3670" s="148">
        <f>I3669</f>
        <v>3274</v>
      </c>
      <c r="H3670" s="145">
        <v>0</v>
      </c>
      <c r="I3670" s="148">
        <f>ROUND((F3670*G3670),0)</f>
        <v>327</v>
      </c>
      <c r="J3670" s="47"/>
      <c r="K3670" s="143"/>
    </row>
    <row r="3671" spans="2:11" ht="24.9" customHeight="1" x14ac:dyDescent="0.2">
      <c r="B3671" s="230" t="s">
        <v>2977</v>
      </c>
      <c r="C3671" s="120"/>
      <c r="D3671" s="251" t="s">
        <v>2261</v>
      </c>
      <c r="E3671" s="120" t="s">
        <v>1435</v>
      </c>
      <c r="F3671" s="149"/>
      <c r="G3671" s="119">
        <f>ROUND(SUM(I3672:I3675),0)</f>
        <v>30094</v>
      </c>
      <c r="H3671" s="120"/>
      <c r="I3671" s="119"/>
      <c r="J3671" s="47"/>
      <c r="K3671" s="143"/>
    </row>
    <row r="3672" spans="2:11" ht="24.9" customHeight="1" x14ac:dyDescent="0.2">
      <c r="B3672" s="672" t="s">
        <v>1035</v>
      </c>
      <c r="C3672" s="125" t="str">
        <f>'LISTA DE INSUMOS'!A61</f>
        <v>MAT029</v>
      </c>
      <c r="D3672" s="155" t="str">
        <f>'LISTA DE INSUMOS'!B61</f>
        <v>Unión a  bajante Canal Amazonas PVC</v>
      </c>
      <c r="E3672" s="108" t="str">
        <f>'LISTA DE INSUMOS'!C61</f>
        <v>Un</v>
      </c>
      <c r="F3672" s="160">
        <v>1</v>
      </c>
      <c r="G3672" s="141">
        <f>'LISTA DE INSUMOS'!E61</f>
        <v>27234.428399999997</v>
      </c>
      <c r="H3672" s="108">
        <v>0</v>
      </c>
      <c r="I3672" s="141">
        <f>ROUND((F3672*G3672),0)</f>
        <v>27234</v>
      </c>
      <c r="J3672" s="47"/>
      <c r="K3672" s="143"/>
    </row>
    <row r="3673" spans="2:11" ht="24.9" customHeight="1" x14ac:dyDescent="0.2">
      <c r="B3673" s="672"/>
      <c r="C3673" s="108" t="str">
        <f>'LISTA DE INSUMOS'!A651</f>
        <v>MAT667</v>
      </c>
      <c r="D3673" s="139" t="str">
        <f>'LISTA DE INSUMOS'!B651</f>
        <v>Limpiador removedor PVC 1/4</v>
      </c>
      <c r="E3673" s="108" t="str">
        <f>'LISTA DE INSUMOS'!C651</f>
        <v>Un</v>
      </c>
      <c r="F3673" s="152">
        <v>1.4999999999999999E-2</v>
      </c>
      <c r="G3673" s="141">
        <f>+'LISTA DE INSUMOS'!E651</f>
        <v>55927.469152499994</v>
      </c>
      <c r="H3673" s="108">
        <v>1.03</v>
      </c>
      <c r="I3673" s="141">
        <f>ROUND((F3673*G3673*H3673),0)</f>
        <v>864</v>
      </c>
      <c r="J3673" s="47"/>
      <c r="K3673" s="143"/>
    </row>
    <row r="3674" spans="2:11" ht="24.9" customHeight="1" thickBot="1" x14ac:dyDescent="0.25">
      <c r="B3674" s="673"/>
      <c r="C3674" s="108" t="str">
        <f>'LISTA DE INSUMOS'!A650</f>
        <v>MAT666</v>
      </c>
      <c r="D3674" s="139" t="str">
        <f>'LISTA DE INSUMOS'!B650</f>
        <v>Soldadura liquida para PVC 1/4 GL</v>
      </c>
      <c r="E3674" s="108" t="str">
        <f>'LISTA DE INSUMOS'!C650</f>
        <v>Un</v>
      </c>
      <c r="F3674" s="152">
        <v>3.0000000000000001E-3</v>
      </c>
      <c r="G3674" s="141">
        <f>'LISTA DE INSUMOS'!E650</f>
        <v>116100.56750324999</v>
      </c>
      <c r="H3674" s="108">
        <v>1.03</v>
      </c>
      <c r="I3674" s="141">
        <f>ROUND((F3674*G3674*H3674),0)</f>
        <v>359</v>
      </c>
      <c r="J3674" s="47"/>
      <c r="K3674" s="143"/>
    </row>
    <row r="3675" spans="2:11" ht="24.9" customHeight="1" thickTop="1" thickBot="1" x14ac:dyDescent="0.25">
      <c r="B3675" s="153" t="s">
        <v>1034</v>
      </c>
      <c r="C3675" s="194" t="str">
        <f>'LISTA DE INSUMOS'!A5</f>
        <v>MOB002</v>
      </c>
      <c r="D3675" s="198" t="str">
        <f>'LISTA DE INSUMOS'!B5</f>
        <v>Oficial (jornal + prestaciones)</v>
      </c>
      <c r="E3675" s="145" t="str">
        <f>'LISTA DE INSUMOS'!C5</f>
        <v>Día</v>
      </c>
      <c r="F3675" s="147">
        <v>1</v>
      </c>
      <c r="G3675" s="148">
        <f>'LISTA DE INSUMOS'!E5</f>
        <v>163723</v>
      </c>
      <c r="H3675" s="145">
        <v>0.01</v>
      </c>
      <c r="I3675" s="148">
        <f>ROUND((F3675*G3675*H3675),0)</f>
        <v>1637</v>
      </c>
      <c r="J3675" s="47"/>
      <c r="K3675" s="143"/>
    </row>
    <row r="3676" spans="2:11" ht="24.9" customHeight="1" x14ac:dyDescent="0.2">
      <c r="B3676" s="117" t="s">
        <v>2978</v>
      </c>
      <c r="C3676" s="117"/>
      <c r="D3676" s="112" t="s">
        <v>2446</v>
      </c>
      <c r="E3676" s="117" t="s">
        <v>1412</v>
      </c>
      <c r="F3676" s="149"/>
      <c r="G3676" s="119">
        <f>SUM(I3676:I3680)</f>
        <v>785514</v>
      </c>
      <c r="H3676" s="120"/>
      <c r="I3676" s="119"/>
      <c r="J3676" s="47"/>
      <c r="K3676" s="143"/>
    </row>
    <row r="3677" spans="2:11" ht="24.9" customHeight="1" x14ac:dyDescent="0.2">
      <c r="B3677" s="657" t="s">
        <v>1325</v>
      </c>
      <c r="C3677" s="238" t="str">
        <f>'LISTA DE INSUMOS'!A681</f>
        <v>MAT695</v>
      </c>
      <c r="D3677" s="258" t="str">
        <f>'LISTA DE INSUMOS'!B681</f>
        <v>Tubería PVC de alcantarillado de pared estructural d = 24", exterior corrugado (Novafort)</v>
      </c>
      <c r="E3677" s="161" t="str">
        <f>'LISTA DE INSUMOS'!C681</f>
        <v>m</v>
      </c>
      <c r="F3677" s="182">
        <v>1</v>
      </c>
      <c r="G3677" s="164">
        <f>'LISTA DE INSUMOS'!E681</f>
        <v>713335.26958154992</v>
      </c>
      <c r="H3677" s="161">
        <v>1.05</v>
      </c>
      <c r="I3677" s="164">
        <f>ROUND((F3677*G3677*H3677),0)</f>
        <v>749002</v>
      </c>
      <c r="J3677" s="47"/>
      <c r="K3677" s="143"/>
    </row>
    <row r="3678" spans="2:11" ht="24.9" customHeight="1" thickBot="1" x14ac:dyDescent="0.25">
      <c r="B3678" s="659"/>
      <c r="C3678" s="161" t="str">
        <f>'LISTA DE INSUMOS'!A112</f>
        <v>MAT070</v>
      </c>
      <c r="D3678" s="162" t="str">
        <f>'LISTA DE INSUMOS'!B112</f>
        <v>Vaselina</v>
      </c>
      <c r="E3678" s="161" t="str">
        <f>'LISTA DE INSUMOS'!C112</f>
        <v>Kg</v>
      </c>
      <c r="F3678" s="259">
        <v>3.2000000000000001E-2</v>
      </c>
      <c r="G3678" s="164">
        <f>'LISTA DE INSUMOS'!E112</f>
        <v>14940.005999999998</v>
      </c>
      <c r="H3678" s="161">
        <v>1.03</v>
      </c>
      <c r="I3678" s="164">
        <f>ROUND((F3678*G3678*H3678),0)</f>
        <v>492</v>
      </c>
      <c r="J3678" s="47"/>
      <c r="K3678" s="143"/>
    </row>
    <row r="3679" spans="2:11" ht="24.9" customHeight="1" thickTop="1" thickBot="1" x14ac:dyDescent="0.25">
      <c r="B3679" s="250" t="s">
        <v>1034</v>
      </c>
      <c r="C3679" s="161" t="str">
        <f>'LISTA DE INSUMOS'!A20</f>
        <v>MOB017</v>
      </c>
      <c r="D3679" s="162" t="str">
        <f>'LISTA DE INSUMOS'!B20</f>
        <v>Cuadrilla G 1 Of + 2 Ay (jornal + prestaciones)</v>
      </c>
      <c r="E3679" s="161" t="str">
        <f>'LISTA DE INSUMOS'!C20</f>
        <v>Día</v>
      </c>
      <c r="F3679" s="182">
        <v>1</v>
      </c>
      <c r="G3679" s="164">
        <f>'LISTA DE INSUMOS'!E20</f>
        <v>327445</v>
      </c>
      <c r="H3679" s="161">
        <f>1/10</f>
        <v>0.1</v>
      </c>
      <c r="I3679" s="164">
        <f>ROUND((F3679*G3679*H3679),0)</f>
        <v>32745</v>
      </c>
      <c r="J3679" s="47"/>
      <c r="K3679" s="143"/>
    </row>
    <row r="3680" spans="2:11" ht="24.9" customHeight="1" thickTop="1" thickBot="1" x14ac:dyDescent="0.25">
      <c r="B3680" s="150" t="s">
        <v>1033</v>
      </c>
      <c r="C3680" s="184" t="str">
        <f>+'LISTA DE INSUMOS'!A758</f>
        <v>EQU002</v>
      </c>
      <c r="D3680" s="185" t="str">
        <f>+'LISTA DE INSUMOS'!B758</f>
        <v>Herramienta menor (% mano obra)</v>
      </c>
      <c r="E3680" s="186" t="str">
        <f>+'LISTA DE INSUMOS'!C758</f>
        <v>%MO</v>
      </c>
      <c r="F3680" s="187">
        <v>0.1</v>
      </c>
      <c r="G3680" s="188">
        <f>I3679</f>
        <v>32745</v>
      </c>
      <c r="H3680" s="186">
        <v>0</v>
      </c>
      <c r="I3680" s="188">
        <f>ROUND((F3680*G3680),0)</f>
        <v>3275</v>
      </c>
      <c r="J3680" s="47"/>
      <c r="K3680" s="143"/>
    </row>
    <row r="3681" spans="2:11" ht="24.9" customHeight="1" x14ac:dyDescent="0.2">
      <c r="B3681" s="117" t="s">
        <v>1887</v>
      </c>
      <c r="C3681" s="117"/>
      <c r="D3681" s="257" t="s">
        <v>2447</v>
      </c>
      <c r="E3681" s="117" t="s">
        <v>1412</v>
      </c>
      <c r="F3681" s="149"/>
      <c r="G3681" s="119">
        <f>SUM(I3681:I3685)</f>
        <v>933411</v>
      </c>
      <c r="H3681" s="120"/>
      <c r="I3681" s="119"/>
      <c r="J3681" s="47"/>
      <c r="K3681" s="143"/>
    </row>
    <row r="3682" spans="2:11" ht="24.9" customHeight="1" x14ac:dyDescent="0.2">
      <c r="B3682" s="657" t="s">
        <v>1325</v>
      </c>
      <c r="C3682" s="238" t="str">
        <f>'LISTA DE INSUMOS'!A682</f>
        <v>MAT696</v>
      </c>
      <c r="D3682" s="258" t="str">
        <f>'LISTA DE INSUMOS'!B682</f>
        <v>Tubería PVC de alcantarillado de pared estructural d = 27", exterior corrugado (Novafort)</v>
      </c>
      <c r="E3682" s="161" t="str">
        <f>'LISTA DE INSUMOS'!C682</f>
        <v>m</v>
      </c>
      <c r="F3682" s="182">
        <v>1</v>
      </c>
      <c r="G3682" s="164">
        <f>'LISTA DE INSUMOS'!E682</f>
        <v>854130.05071019998</v>
      </c>
      <c r="H3682" s="161">
        <v>1.05</v>
      </c>
      <c r="I3682" s="164">
        <f>ROUND((F3682*G3682*H3682),0)</f>
        <v>896837</v>
      </c>
      <c r="J3682" s="47"/>
      <c r="K3682" s="143"/>
    </row>
    <row r="3683" spans="2:11" ht="24.9" customHeight="1" thickBot="1" x14ac:dyDescent="0.25">
      <c r="B3683" s="659"/>
      <c r="C3683" s="161" t="str">
        <f>'LISTA DE INSUMOS'!A112</f>
        <v>MAT070</v>
      </c>
      <c r="D3683" s="162" t="str">
        <f>'LISTA DE INSUMOS'!B112</f>
        <v>Vaselina</v>
      </c>
      <c r="E3683" s="161" t="str">
        <f>'LISTA DE INSUMOS'!C112</f>
        <v>Kg</v>
      </c>
      <c r="F3683" s="259">
        <v>3.5999999999999997E-2</v>
      </c>
      <c r="G3683" s="164">
        <f>'LISTA DE INSUMOS'!E112</f>
        <v>14940.005999999998</v>
      </c>
      <c r="H3683" s="161">
        <v>1.03</v>
      </c>
      <c r="I3683" s="164">
        <f>ROUND((F3683*G3683*H3683),0)</f>
        <v>554</v>
      </c>
      <c r="J3683" s="47"/>
      <c r="K3683" s="143"/>
    </row>
    <row r="3684" spans="2:11" ht="27.75" customHeight="1" thickTop="1" thickBot="1" x14ac:dyDescent="0.25">
      <c r="B3684" s="250" t="s">
        <v>1034</v>
      </c>
      <c r="C3684" s="161" t="str">
        <f>'LISTA DE INSUMOS'!A20</f>
        <v>MOB017</v>
      </c>
      <c r="D3684" s="162" t="str">
        <f>'LISTA DE INSUMOS'!B20</f>
        <v>Cuadrilla G 1 Of + 2 Ay (jornal + prestaciones)</v>
      </c>
      <c r="E3684" s="161" t="str">
        <f>'LISTA DE INSUMOS'!C20</f>
        <v>Día</v>
      </c>
      <c r="F3684" s="182">
        <v>1</v>
      </c>
      <c r="G3684" s="164">
        <f>'LISTA DE INSUMOS'!E20</f>
        <v>327445</v>
      </c>
      <c r="H3684" s="161">
        <f>1/10</f>
        <v>0.1</v>
      </c>
      <c r="I3684" s="164">
        <f>ROUND((F3684*G3684*H3684),0)</f>
        <v>32745</v>
      </c>
      <c r="J3684" s="47"/>
      <c r="K3684" s="143"/>
    </row>
    <row r="3685" spans="2:11" ht="24.9" customHeight="1" thickTop="1" thickBot="1" x14ac:dyDescent="0.25">
      <c r="B3685" s="150" t="s">
        <v>1033</v>
      </c>
      <c r="C3685" s="184" t="str">
        <f>+'LISTA DE INSUMOS'!A758</f>
        <v>EQU002</v>
      </c>
      <c r="D3685" s="185" t="str">
        <f>+'LISTA DE INSUMOS'!B758</f>
        <v>Herramienta menor (% mano obra)</v>
      </c>
      <c r="E3685" s="186" t="str">
        <f>+'LISTA DE INSUMOS'!C758</f>
        <v>%MO</v>
      </c>
      <c r="F3685" s="187">
        <v>0.1</v>
      </c>
      <c r="G3685" s="188">
        <f>I3684</f>
        <v>32745</v>
      </c>
      <c r="H3685" s="186">
        <v>0</v>
      </c>
      <c r="I3685" s="188">
        <f>ROUND((F3685*G3685),0)</f>
        <v>3275</v>
      </c>
      <c r="J3685" s="47"/>
      <c r="K3685" s="143"/>
    </row>
    <row r="3686" spans="2:11" ht="24.9" customHeight="1" x14ac:dyDescent="0.2">
      <c r="B3686" s="117" t="s">
        <v>2979</v>
      </c>
      <c r="C3686" s="117"/>
      <c r="D3686" s="257" t="s">
        <v>2448</v>
      </c>
      <c r="E3686" s="117" t="s">
        <v>1412</v>
      </c>
      <c r="F3686" s="149"/>
      <c r="G3686" s="119">
        <f>SUM(I3686:I3690)</f>
        <v>1155802</v>
      </c>
      <c r="H3686" s="120"/>
      <c r="I3686" s="119"/>
      <c r="J3686" s="47"/>
      <c r="K3686" s="143"/>
    </row>
    <row r="3687" spans="2:11" ht="24.9" customHeight="1" x14ac:dyDescent="0.2">
      <c r="B3687" s="657" t="s">
        <v>1325</v>
      </c>
      <c r="C3687" s="238" t="str">
        <f>'LISTA DE INSUMOS'!A683</f>
        <v>MAT697</v>
      </c>
      <c r="D3687" s="258" t="str">
        <f>'LISTA DE INSUMOS'!B683</f>
        <v>Tubería PVC de alcantarillado de pared estructural d = 30", exterior corrugado (Novafort)</v>
      </c>
      <c r="E3687" s="161" t="str">
        <f>'LISTA DE INSUMOS'!C683</f>
        <v>m</v>
      </c>
      <c r="F3687" s="182">
        <v>1</v>
      </c>
      <c r="G3687" s="164">
        <f>'LISTA DE INSUMOS'!E683</f>
        <v>1065872.6635358999</v>
      </c>
      <c r="H3687" s="161">
        <v>1.05</v>
      </c>
      <c r="I3687" s="164">
        <f>ROUND((F3687*G3687*H3687),0)</f>
        <v>1119166</v>
      </c>
      <c r="J3687" s="47"/>
      <c r="K3687" s="143"/>
    </row>
    <row r="3688" spans="2:11" ht="24.9" customHeight="1" thickBot="1" x14ac:dyDescent="0.25">
      <c r="B3688" s="659"/>
      <c r="C3688" s="161" t="str">
        <f>'LISTA DE INSUMOS'!A112</f>
        <v>MAT070</v>
      </c>
      <c r="D3688" s="162" t="str">
        <f>'LISTA DE INSUMOS'!B112</f>
        <v>Vaselina</v>
      </c>
      <c r="E3688" s="161" t="str">
        <f>'LISTA DE INSUMOS'!C112</f>
        <v>Kg</v>
      </c>
      <c r="F3688" s="182">
        <v>0.04</v>
      </c>
      <c r="G3688" s="164">
        <f>'LISTA DE INSUMOS'!E112</f>
        <v>14940.005999999998</v>
      </c>
      <c r="H3688" s="161">
        <v>1.03</v>
      </c>
      <c r="I3688" s="164">
        <f>ROUND((F3688*G3688*H3688),0)</f>
        <v>616</v>
      </c>
      <c r="J3688" s="47"/>
      <c r="K3688" s="143"/>
    </row>
    <row r="3689" spans="2:11" ht="24.9" customHeight="1" thickTop="1" thickBot="1" x14ac:dyDescent="0.25">
      <c r="B3689" s="250" t="s">
        <v>1034</v>
      </c>
      <c r="C3689" s="161" t="str">
        <f>'LISTA DE INSUMOS'!A20</f>
        <v>MOB017</v>
      </c>
      <c r="D3689" s="162" t="str">
        <f>'LISTA DE INSUMOS'!B20</f>
        <v>Cuadrilla G 1 Of + 2 Ay (jornal + prestaciones)</v>
      </c>
      <c r="E3689" s="161" t="str">
        <f>'LISTA DE INSUMOS'!C20</f>
        <v>Día</v>
      </c>
      <c r="F3689" s="182">
        <v>1</v>
      </c>
      <c r="G3689" s="164">
        <f>'LISTA DE INSUMOS'!E20</f>
        <v>327445</v>
      </c>
      <c r="H3689" s="161">
        <v>0.1</v>
      </c>
      <c r="I3689" s="164">
        <f>ROUND((F3689*G3689*H3689),0)</f>
        <v>32745</v>
      </c>
      <c r="J3689" s="47"/>
      <c r="K3689" s="143"/>
    </row>
    <row r="3690" spans="2:11" ht="24.9" customHeight="1" thickTop="1" thickBot="1" x14ac:dyDescent="0.25">
      <c r="B3690" s="150" t="s">
        <v>1033</v>
      </c>
      <c r="C3690" s="184" t="str">
        <f>+'LISTA DE INSUMOS'!A758</f>
        <v>EQU002</v>
      </c>
      <c r="D3690" s="185" t="str">
        <f>+'LISTA DE INSUMOS'!B758</f>
        <v>Herramienta menor (% mano obra)</v>
      </c>
      <c r="E3690" s="186" t="str">
        <f>+'LISTA DE INSUMOS'!C758</f>
        <v>%MO</v>
      </c>
      <c r="F3690" s="187">
        <v>0.1</v>
      </c>
      <c r="G3690" s="188">
        <f>I3689</f>
        <v>32745</v>
      </c>
      <c r="H3690" s="186">
        <v>0</v>
      </c>
      <c r="I3690" s="188">
        <f>ROUND((F3690*G3690),0)</f>
        <v>3275</v>
      </c>
      <c r="J3690" s="47"/>
      <c r="K3690" s="143"/>
    </row>
    <row r="3691" spans="2:11" ht="24.9" customHeight="1" x14ac:dyDescent="0.2">
      <c r="B3691" s="117" t="s">
        <v>1692</v>
      </c>
      <c r="C3691" s="117"/>
      <c r="D3691" s="257" t="s">
        <v>2929</v>
      </c>
      <c r="E3691" s="117" t="s">
        <v>1412</v>
      </c>
      <c r="F3691" s="149"/>
      <c r="G3691" s="119">
        <f>SUM(I3691:I3695)</f>
        <v>1534947</v>
      </c>
      <c r="H3691" s="120"/>
      <c r="I3691" s="119"/>
      <c r="J3691" s="47"/>
      <c r="K3691" s="143"/>
    </row>
    <row r="3692" spans="2:11" ht="24.9" customHeight="1" x14ac:dyDescent="0.2">
      <c r="B3692" s="657" t="s">
        <v>1325</v>
      </c>
      <c r="C3692" s="238" t="str">
        <f>'LISTA DE INSUMOS'!A684</f>
        <v>MAT698</v>
      </c>
      <c r="D3692" s="258" t="str">
        <f>'LISTA DE INSUMOS'!B684</f>
        <v>Tubería PVC de alcantarillado de pared estructural d = 33", exterior corrugado (Novafort)</v>
      </c>
      <c r="E3692" s="161" t="str">
        <f>'LISTA DE INSUMOS'!C684</f>
        <v>m</v>
      </c>
      <c r="F3692" s="182">
        <v>1</v>
      </c>
      <c r="G3692" s="164">
        <f>'LISTA DE INSUMOS'!E684</f>
        <v>1418242.2014698025</v>
      </c>
      <c r="H3692" s="161">
        <v>1.05</v>
      </c>
      <c r="I3692" s="164">
        <f>ROUND((F3692*G3692*H3692),0)</f>
        <v>1489154</v>
      </c>
      <c r="J3692" s="47"/>
      <c r="K3692" s="143"/>
    </row>
    <row r="3693" spans="2:11" ht="24.9" customHeight="1" thickBot="1" x14ac:dyDescent="0.25">
      <c r="B3693" s="659"/>
      <c r="C3693" s="161" t="str">
        <f>'LISTA DE INSUMOS'!A112</f>
        <v>MAT070</v>
      </c>
      <c r="D3693" s="162" t="str">
        <f>'LISTA DE INSUMOS'!B112</f>
        <v>Vaselina</v>
      </c>
      <c r="E3693" s="161" t="str">
        <f>'LISTA DE INSUMOS'!C112</f>
        <v>Kg</v>
      </c>
      <c r="F3693" s="182">
        <v>0.05</v>
      </c>
      <c r="G3693" s="164">
        <f>'LISTA DE INSUMOS'!E112</f>
        <v>14940.005999999998</v>
      </c>
      <c r="H3693" s="161">
        <v>1.03</v>
      </c>
      <c r="I3693" s="164">
        <f>ROUND((F3693*G3693*H3693),0)</f>
        <v>769</v>
      </c>
      <c r="J3693" s="47"/>
      <c r="K3693" s="143"/>
    </row>
    <row r="3694" spans="2:11" ht="33" customHeight="1" thickTop="1" thickBot="1" x14ac:dyDescent="0.25">
      <c r="B3694" s="250" t="s">
        <v>1034</v>
      </c>
      <c r="C3694" s="161" t="str">
        <f>'LISTA DE INSUMOS'!A20</f>
        <v>MOB017</v>
      </c>
      <c r="D3694" s="162" t="str">
        <f>'LISTA DE INSUMOS'!B20</f>
        <v>Cuadrilla G 1 Of + 2 Ay (jornal + prestaciones)</v>
      </c>
      <c r="E3694" s="161" t="str">
        <f>'LISTA DE INSUMOS'!C20</f>
        <v>Día</v>
      </c>
      <c r="F3694" s="182">
        <v>1</v>
      </c>
      <c r="G3694" s="164">
        <f>'LISTA DE INSUMOS'!E20</f>
        <v>327445</v>
      </c>
      <c r="H3694" s="161">
        <f>1/8</f>
        <v>0.125</v>
      </c>
      <c r="I3694" s="164">
        <f>ROUND((F3694*G3694*H3694),0)</f>
        <v>40931</v>
      </c>
      <c r="J3694" s="47"/>
      <c r="K3694" s="143"/>
    </row>
    <row r="3695" spans="2:11" ht="24.9" customHeight="1" thickTop="1" thickBot="1" x14ac:dyDescent="0.25">
      <c r="B3695" s="150" t="s">
        <v>1033</v>
      </c>
      <c r="C3695" s="184" t="str">
        <f>+'LISTA DE INSUMOS'!A758</f>
        <v>EQU002</v>
      </c>
      <c r="D3695" s="185" t="str">
        <f>+'LISTA DE INSUMOS'!B758</f>
        <v>Herramienta menor (% mano obra)</v>
      </c>
      <c r="E3695" s="186" t="str">
        <f>+'LISTA DE INSUMOS'!C758</f>
        <v>%MO</v>
      </c>
      <c r="F3695" s="187">
        <v>0.1</v>
      </c>
      <c r="G3695" s="188">
        <f>I3694</f>
        <v>40931</v>
      </c>
      <c r="H3695" s="186">
        <v>0</v>
      </c>
      <c r="I3695" s="188">
        <f>ROUND((F3695*G3695),0)</f>
        <v>4093</v>
      </c>
      <c r="J3695" s="47"/>
      <c r="K3695" s="143"/>
    </row>
    <row r="3696" spans="2:11" ht="24.9" customHeight="1" x14ac:dyDescent="0.2">
      <c r="B3696" s="117" t="s">
        <v>2329</v>
      </c>
      <c r="C3696" s="117"/>
      <c r="D3696" s="257" t="s">
        <v>2449</v>
      </c>
      <c r="E3696" s="117" t="s">
        <v>1412</v>
      </c>
      <c r="F3696" s="149"/>
      <c r="G3696" s="119">
        <f>SUM(I3696:I3700)</f>
        <v>2129690</v>
      </c>
      <c r="H3696" s="120"/>
      <c r="I3696" s="119"/>
      <c r="J3696" s="47"/>
      <c r="K3696" s="143"/>
    </row>
    <row r="3697" spans="2:11" ht="24.9" customHeight="1" x14ac:dyDescent="0.2">
      <c r="B3697" s="657" t="s">
        <v>1325</v>
      </c>
      <c r="C3697" s="238" t="str">
        <f>'LISTA DE INSUMOS'!A685</f>
        <v>MAT699</v>
      </c>
      <c r="D3697" s="258" t="str">
        <f>'LISTA DE INSUMOS'!B685</f>
        <v>Tubería PVC de alcantarillado de pared estructural d = 36", exterior corrugado (Novafort)</v>
      </c>
      <c r="E3697" s="161" t="str">
        <f>'LISTA DE INSUMOS'!C685</f>
        <v>m</v>
      </c>
      <c r="F3697" s="182">
        <v>1</v>
      </c>
      <c r="G3697" s="164">
        <f>'LISTA DE INSUMOS'!E685</f>
        <v>1978391.4337192497</v>
      </c>
      <c r="H3697" s="161">
        <v>1.05</v>
      </c>
      <c r="I3697" s="164">
        <f>ROUND((F3697*G3697*H3697),0)</f>
        <v>2077311</v>
      </c>
      <c r="J3697" s="47"/>
      <c r="K3697" s="143"/>
    </row>
    <row r="3698" spans="2:11" ht="24.9" customHeight="1" thickBot="1" x14ac:dyDescent="0.25">
      <c r="B3698" s="659"/>
      <c r="C3698" s="161" t="str">
        <f>'LISTA DE INSUMOS'!A112</f>
        <v>MAT070</v>
      </c>
      <c r="D3698" s="162" t="str">
        <f>'LISTA DE INSUMOS'!B112</f>
        <v>Vaselina</v>
      </c>
      <c r="E3698" s="161" t="str">
        <f>'LISTA DE INSUMOS'!C112</f>
        <v>Kg</v>
      </c>
      <c r="F3698" s="182">
        <v>0.06</v>
      </c>
      <c r="G3698" s="164">
        <f>'LISTA DE INSUMOS'!E112</f>
        <v>14940.005999999998</v>
      </c>
      <c r="H3698" s="161">
        <v>1.03</v>
      </c>
      <c r="I3698" s="164">
        <f>ROUND((F3698*G3698*H3698),0)</f>
        <v>923</v>
      </c>
      <c r="J3698" s="47"/>
      <c r="K3698" s="143"/>
    </row>
    <row r="3699" spans="2:11" ht="24.9" customHeight="1" thickTop="1" thickBot="1" x14ac:dyDescent="0.25">
      <c r="B3699" s="250" t="s">
        <v>1034</v>
      </c>
      <c r="C3699" s="161" t="str">
        <f>'LISTA DE INSUMOS'!A20</f>
        <v>MOB017</v>
      </c>
      <c r="D3699" s="162" t="str">
        <f>'LISTA DE INSUMOS'!B20</f>
        <v>Cuadrilla G 1 Of + 2 Ay (jornal + prestaciones)</v>
      </c>
      <c r="E3699" s="161" t="str">
        <f>'LISTA DE INSUMOS'!C20</f>
        <v>Día</v>
      </c>
      <c r="F3699" s="182">
        <v>1</v>
      </c>
      <c r="G3699" s="164">
        <f>'LISTA DE INSUMOS'!E20</f>
        <v>327445</v>
      </c>
      <c r="H3699" s="161">
        <f>1/7</f>
        <v>0.14285714285714285</v>
      </c>
      <c r="I3699" s="164">
        <f>ROUND((F3699*G3699*H3699),0)</f>
        <v>46778</v>
      </c>
      <c r="J3699" s="47"/>
      <c r="K3699" s="143"/>
    </row>
    <row r="3700" spans="2:11" ht="24.9" customHeight="1" thickTop="1" thickBot="1" x14ac:dyDescent="0.25">
      <c r="B3700" s="255" t="s">
        <v>1033</v>
      </c>
      <c r="C3700" s="184" t="str">
        <f>+'LISTA DE INSUMOS'!A758</f>
        <v>EQU002</v>
      </c>
      <c r="D3700" s="185" t="str">
        <f>+'LISTA DE INSUMOS'!B758</f>
        <v>Herramienta menor (% mano obra)</v>
      </c>
      <c r="E3700" s="186" t="str">
        <f>+'LISTA DE INSUMOS'!C758</f>
        <v>%MO</v>
      </c>
      <c r="F3700" s="187">
        <v>0.1</v>
      </c>
      <c r="G3700" s="188">
        <f>I3699</f>
        <v>46778</v>
      </c>
      <c r="H3700" s="186">
        <v>0</v>
      </c>
      <c r="I3700" s="188">
        <f>ROUND((F3700*G3700),0)</f>
        <v>4678</v>
      </c>
      <c r="J3700" s="47"/>
      <c r="K3700" s="143"/>
    </row>
    <row r="3701" spans="2:11" ht="24.9" customHeight="1" x14ac:dyDescent="0.2">
      <c r="B3701" s="117" t="s">
        <v>3258</v>
      </c>
      <c r="C3701" s="117"/>
      <c r="D3701" s="257" t="s">
        <v>3257</v>
      </c>
      <c r="E3701" s="117" t="s">
        <v>1412</v>
      </c>
      <c r="F3701" s="149"/>
      <c r="G3701" s="119">
        <f>SUM(I3702:I3705)</f>
        <v>2831733</v>
      </c>
      <c r="H3701" s="120"/>
      <c r="I3701" s="119"/>
      <c r="J3701" s="47"/>
      <c r="K3701" s="143"/>
    </row>
    <row r="3702" spans="2:11" ht="24.9" customHeight="1" x14ac:dyDescent="0.2">
      <c r="B3702" s="657" t="s">
        <v>1325</v>
      </c>
      <c r="C3702" s="238" t="str">
        <f>'LISTA DE INSUMOS'!A686</f>
        <v>MAT700</v>
      </c>
      <c r="D3702" s="258" t="str">
        <f>'LISTA DE INSUMOS'!B686</f>
        <v>Tubería PVC de alcantarillado de pared estructural d = 39", exterior corrugado (Novafort)</v>
      </c>
      <c r="E3702" s="161" t="str">
        <f>'LISTA DE INSUMOS'!C690</f>
        <v>m2</v>
      </c>
      <c r="F3702" s="182">
        <v>1</v>
      </c>
      <c r="G3702" s="164">
        <f>'LISTA DE INSUMOS'!E686</f>
        <v>2647003.49929125</v>
      </c>
      <c r="H3702" s="161">
        <v>1.05</v>
      </c>
      <c r="I3702" s="164">
        <f>ROUND((F3702*G3702*H3702),0)</f>
        <v>2779354</v>
      </c>
      <c r="J3702" s="47"/>
      <c r="K3702" s="143"/>
    </row>
    <row r="3703" spans="2:11" ht="24.9" customHeight="1" thickBot="1" x14ac:dyDescent="0.25">
      <c r="B3703" s="659"/>
      <c r="C3703" s="161" t="str">
        <f>'LISTA DE INSUMOS'!A112</f>
        <v>MAT070</v>
      </c>
      <c r="D3703" s="162" t="str">
        <f>'LISTA DE INSUMOS'!B112</f>
        <v>Vaselina</v>
      </c>
      <c r="E3703" s="161" t="str">
        <f>'LISTA DE INSUMOS'!C117</f>
        <v>M</v>
      </c>
      <c r="F3703" s="182">
        <v>0.06</v>
      </c>
      <c r="G3703" s="164">
        <f>'LISTA DE INSUMOS'!E112</f>
        <v>14940.005999999998</v>
      </c>
      <c r="H3703" s="161">
        <v>1.03</v>
      </c>
      <c r="I3703" s="164">
        <f>ROUND((F3703*G3703*H3703),0)</f>
        <v>923</v>
      </c>
      <c r="J3703" s="47"/>
      <c r="K3703" s="143"/>
    </row>
    <row r="3704" spans="2:11" ht="24.9" customHeight="1" thickTop="1" thickBot="1" x14ac:dyDescent="0.25">
      <c r="B3704" s="250" t="s">
        <v>1034</v>
      </c>
      <c r="C3704" s="161" t="str">
        <f>'LISTA DE INSUMOS'!A20</f>
        <v>MOB017</v>
      </c>
      <c r="D3704" s="162" t="str">
        <f>'LISTA DE INSUMOS'!B20</f>
        <v>Cuadrilla G 1 Of + 2 Ay (jornal + prestaciones)</v>
      </c>
      <c r="E3704" s="161" t="str">
        <f>'LISTA DE INSUMOS'!C25</f>
        <v>Día</v>
      </c>
      <c r="F3704" s="182">
        <v>1</v>
      </c>
      <c r="G3704" s="164">
        <f>'LISTA DE INSUMOS'!E20</f>
        <v>327445</v>
      </c>
      <c r="H3704" s="161">
        <f>1/7</f>
        <v>0.14285714285714285</v>
      </c>
      <c r="I3704" s="164">
        <f>ROUND((F3704*G3704*H3704),0)</f>
        <v>46778</v>
      </c>
      <c r="J3704" s="47"/>
      <c r="K3704" s="143"/>
    </row>
    <row r="3705" spans="2:11" ht="24.9" customHeight="1" thickTop="1" thickBot="1" x14ac:dyDescent="0.25">
      <c r="B3705" s="255" t="s">
        <v>1033</v>
      </c>
      <c r="C3705" s="184" t="str">
        <f>+'LISTA DE INSUMOS'!A758</f>
        <v>EQU002</v>
      </c>
      <c r="D3705" s="185" t="str">
        <f>+'LISTA DE INSUMOS'!B758</f>
        <v>Herramienta menor (% mano obra)</v>
      </c>
      <c r="E3705" s="186" t="str">
        <f>+'LISTA DE INSUMOS'!C763</f>
        <v>Día</v>
      </c>
      <c r="F3705" s="187">
        <v>0.1</v>
      </c>
      <c r="G3705" s="188">
        <f>I3704</f>
        <v>46778</v>
      </c>
      <c r="H3705" s="186">
        <v>0.2</v>
      </c>
      <c r="I3705" s="188">
        <f>ROUND((F3705*G3705),0)</f>
        <v>4678</v>
      </c>
      <c r="J3705" s="47"/>
      <c r="K3705" s="143"/>
    </row>
    <row r="3706" spans="2:11" ht="24.9" customHeight="1" x14ac:dyDescent="0.2">
      <c r="B3706" s="230" t="s">
        <v>2330</v>
      </c>
      <c r="C3706" s="120"/>
      <c r="D3706" s="231" t="s">
        <v>2450</v>
      </c>
      <c r="E3706" s="120" t="s">
        <v>1412</v>
      </c>
      <c r="F3706" s="149"/>
      <c r="G3706" s="119">
        <f>SUM(I3706:I3710)</f>
        <v>411396</v>
      </c>
      <c r="H3706" s="120"/>
      <c r="I3706" s="119"/>
      <c r="J3706" s="47"/>
      <c r="K3706" s="143"/>
    </row>
    <row r="3707" spans="2:11" ht="24.9" customHeight="1" x14ac:dyDescent="0.2">
      <c r="B3707" s="657" t="s">
        <v>1325</v>
      </c>
      <c r="C3707" s="161" t="str">
        <f>'LISTA DE INSUMOS'!A688</f>
        <v>MAT701</v>
      </c>
      <c r="D3707" s="162" t="str">
        <f>'LISTA DE INSUMOS'!B688</f>
        <v>Tubería PVC de alcantarillado de pared estructural d = 18", exterior corrugado (Novafort)</v>
      </c>
      <c r="E3707" s="161" t="str">
        <f>'LISTA DE INSUMOS'!C688</f>
        <v>m</v>
      </c>
      <c r="F3707" s="163">
        <v>1</v>
      </c>
      <c r="G3707" s="164">
        <f>+'LISTA DE INSUMOS'!E688</f>
        <v>368584.43687043001</v>
      </c>
      <c r="H3707" s="161">
        <v>1.05</v>
      </c>
      <c r="I3707" s="164">
        <f>ROUND((F3707*G3707*H3707),0)</f>
        <v>387014</v>
      </c>
      <c r="J3707" s="47"/>
      <c r="K3707" s="143"/>
    </row>
    <row r="3708" spans="2:11" ht="24.9" customHeight="1" thickBot="1" x14ac:dyDescent="0.25">
      <c r="B3708" s="659"/>
      <c r="C3708" s="161" t="str">
        <f>'LISTA DE INSUMOS'!A112</f>
        <v>MAT070</v>
      </c>
      <c r="D3708" s="162" t="str">
        <f>'LISTA DE INSUMOS'!B112</f>
        <v>Vaselina</v>
      </c>
      <c r="E3708" s="161" t="str">
        <f>'LISTA DE INSUMOS'!C112</f>
        <v>Kg</v>
      </c>
      <c r="F3708" s="163">
        <v>2.4E-2</v>
      </c>
      <c r="G3708" s="164">
        <f>'LISTA DE INSUMOS'!E112</f>
        <v>14940.005999999998</v>
      </c>
      <c r="H3708" s="161">
        <v>1.03</v>
      </c>
      <c r="I3708" s="164">
        <f>ROUND((F3708*G3708*H3708),0)</f>
        <v>369</v>
      </c>
      <c r="J3708" s="47"/>
      <c r="K3708" s="143"/>
    </row>
    <row r="3709" spans="2:11" ht="24.9" customHeight="1" thickTop="1" x14ac:dyDescent="0.2">
      <c r="B3709" s="250" t="s">
        <v>1034</v>
      </c>
      <c r="C3709" s="161" t="str">
        <f>'LISTA DE INSUMOS'!A20</f>
        <v>MOB017</v>
      </c>
      <c r="D3709" s="162" t="str">
        <f>'LISTA DE INSUMOS'!B20</f>
        <v>Cuadrilla G 1 Of + 2 Ay (jornal + prestaciones)</v>
      </c>
      <c r="E3709" s="161" t="str">
        <f>'LISTA DE INSUMOS'!C20</f>
        <v>Día</v>
      </c>
      <c r="F3709" s="163">
        <v>1</v>
      </c>
      <c r="G3709" s="164">
        <f>'LISTA DE INSUMOS'!E20</f>
        <v>327445</v>
      </c>
      <c r="H3709" s="161">
        <f>1/15</f>
        <v>6.6666666666666666E-2</v>
      </c>
      <c r="I3709" s="164">
        <f>ROUND((F3709*G3709*H3709),0)</f>
        <v>21830</v>
      </c>
      <c r="J3709" s="47"/>
      <c r="K3709" s="143"/>
    </row>
    <row r="3710" spans="2:11" ht="24.9" customHeight="1" thickBot="1" x14ac:dyDescent="0.25">
      <c r="B3710" s="260" t="s">
        <v>1033</v>
      </c>
      <c r="C3710" s="186" t="str">
        <f>+'LISTA DE INSUMOS'!A758</f>
        <v>EQU002</v>
      </c>
      <c r="D3710" s="185" t="str">
        <f>+'LISTA DE INSUMOS'!B758</f>
        <v>Herramienta menor (% mano obra)</v>
      </c>
      <c r="E3710" s="186" t="str">
        <f>+'LISTA DE INSUMOS'!C758</f>
        <v>%MO</v>
      </c>
      <c r="F3710" s="187">
        <v>0.1</v>
      </c>
      <c r="G3710" s="188">
        <f>I3709</f>
        <v>21830</v>
      </c>
      <c r="H3710" s="186">
        <v>0</v>
      </c>
      <c r="I3710" s="188">
        <f>ROUND((F3710*G3710),0)</f>
        <v>2183</v>
      </c>
      <c r="J3710" s="47"/>
      <c r="K3710" s="143"/>
    </row>
    <row r="3711" spans="2:11" ht="24.9" customHeight="1" x14ac:dyDescent="0.2">
      <c r="B3711" s="230" t="s">
        <v>2980</v>
      </c>
      <c r="C3711" s="120"/>
      <c r="D3711" s="231" t="s">
        <v>2451</v>
      </c>
      <c r="E3711" s="120" t="s">
        <v>1412</v>
      </c>
      <c r="F3711" s="149"/>
      <c r="G3711" s="119">
        <f>SUM(I3711:I3715)</f>
        <v>528964</v>
      </c>
      <c r="H3711" s="120"/>
      <c r="I3711" s="119"/>
      <c r="J3711" s="47"/>
      <c r="K3711" s="143"/>
    </row>
    <row r="3712" spans="2:11" ht="24.9" customHeight="1" x14ac:dyDescent="0.2">
      <c r="B3712" s="657" t="s">
        <v>1325</v>
      </c>
      <c r="C3712" s="161" t="str">
        <f>'LISTA DE INSUMOS'!A689</f>
        <v>MAT702</v>
      </c>
      <c r="D3712" s="162" t="str">
        <f>'LISTA DE INSUMOS'!B689</f>
        <v>Tubería PVC de alcantarillado de pared estructural d = 20", exterior corrugado (Novafort)</v>
      </c>
      <c r="E3712" s="161" t="str">
        <f>'LISTA DE INSUMOS'!C689</f>
        <v>m</v>
      </c>
      <c r="F3712" s="163">
        <v>1</v>
      </c>
      <c r="G3712" s="164">
        <f>+'LISTA DE INSUMOS'!E689</f>
        <v>480525.11590553244</v>
      </c>
      <c r="H3712" s="161">
        <v>1.05</v>
      </c>
      <c r="I3712" s="164">
        <f>ROUND((F3712*G3712*H3712),0)</f>
        <v>504551</v>
      </c>
      <c r="J3712" s="47"/>
      <c r="K3712" s="143"/>
    </row>
    <row r="3713" spans="2:11" ht="24.9" customHeight="1" thickBot="1" x14ac:dyDescent="0.25">
      <c r="B3713" s="659"/>
      <c r="C3713" s="161" t="str">
        <f>'LISTA DE INSUMOS'!A112</f>
        <v>MAT070</v>
      </c>
      <c r="D3713" s="162" t="str">
        <f>'LISTA DE INSUMOS'!B112</f>
        <v>Vaselina</v>
      </c>
      <c r="E3713" s="161" t="str">
        <f>'LISTA DE INSUMOS'!C112</f>
        <v>Kg</v>
      </c>
      <c r="F3713" s="163">
        <v>2.5999999999999999E-2</v>
      </c>
      <c r="G3713" s="164">
        <f>'LISTA DE INSUMOS'!E112</f>
        <v>14940.005999999998</v>
      </c>
      <c r="H3713" s="161">
        <v>1.03</v>
      </c>
      <c r="I3713" s="164">
        <f>ROUND((F3713*G3713*H3713),0)</f>
        <v>400</v>
      </c>
      <c r="J3713" s="47"/>
      <c r="K3713" s="143"/>
    </row>
    <row r="3714" spans="2:11" ht="24.9" customHeight="1" thickTop="1" x14ac:dyDescent="0.2">
      <c r="B3714" s="250" t="s">
        <v>1034</v>
      </c>
      <c r="C3714" s="161" t="str">
        <f>'LISTA DE INSUMOS'!A20</f>
        <v>MOB017</v>
      </c>
      <c r="D3714" s="162" t="str">
        <f>'LISTA DE INSUMOS'!B20</f>
        <v>Cuadrilla G 1 Of + 2 Ay (jornal + prestaciones)</v>
      </c>
      <c r="E3714" s="161" t="str">
        <f>'LISTA DE INSUMOS'!C20</f>
        <v>Día</v>
      </c>
      <c r="F3714" s="163">
        <v>1</v>
      </c>
      <c r="G3714" s="164">
        <f>'LISTA DE INSUMOS'!E20</f>
        <v>327445</v>
      </c>
      <c r="H3714" s="161">
        <f>1/15</f>
        <v>6.6666666666666666E-2</v>
      </c>
      <c r="I3714" s="164">
        <f>ROUND((F3714*G3714*H3714),0)</f>
        <v>21830</v>
      </c>
      <c r="J3714" s="47"/>
      <c r="K3714" s="143"/>
    </row>
    <row r="3715" spans="2:11" ht="24.9" customHeight="1" thickBot="1" x14ac:dyDescent="0.25">
      <c r="B3715" s="260" t="s">
        <v>1033</v>
      </c>
      <c r="C3715" s="186" t="str">
        <f>+'LISTA DE INSUMOS'!A758</f>
        <v>EQU002</v>
      </c>
      <c r="D3715" s="185" t="str">
        <f>+'LISTA DE INSUMOS'!B758</f>
        <v>Herramienta menor (% mano obra)</v>
      </c>
      <c r="E3715" s="186" t="str">
        <f>+'LISTA DE INSUMOS'!C758</f>
        <v>%MO</v>
      </c>
      <c r="F3715" s="187">
        <v>0.1</v>
      </c>
      <c r="G3715" s="188">
        <f>I3714</f>
        <v>21830</v>
      </c>
      <c r="H3715" s="186">
        <v>0</v>
      </c>
      <c r="I3715" s="188">
        <f>ROUND((F3715*G3715),0)</f>
        <v>2183</v>
      </c>
      <c r="J3715" s="47"/>
      <c r="K3715" s="143"/>
    </row>
    <row r="3716" spans="2:11" ht="24.9" customHeight="1" x14ac:dyDescent="0.2">
      <c r="B3716" s="230" t="s">
        <v>2981</v>
      </c>
      <c r="C3716" s="117"/>
      <c r="D3716" s="112" t="s">
        <v>1416</v>
      </c>
      <c r="E3716" s="117" t="s">
        <v>1412</v>
      </c>
      <c r="F3716" s="149"/>
      <c r="G3716" s="119">
        <f>ROUND(SUM(I3717:I3721),0)</f>
        <v>53226</v>
      </c>
      <c r="H3716" s="120"/>
      <c r="I3716" s="119"/>
      <c r="J3716" s="47"/>
      <c r="K3716" s="143"/>
    </row>
    <row r="3717" spans="2:11" ht="24.9" customHeight="1" x14ac:dyDescent="0.2">
      <c r="B3717" s="672" t="s">
        <v>1035</v>
      </c>
      <c r="C3717" s="108" t="str">
        <f>'LISTA DE INSUMOS'!A351</f>
        <v>MAT344</v>
      </c>
      <c r="D3717" s="139" t="str">
        <f>'LISTA DE INSUMOS'!B351</f>
        <v>Alambre cobre #   8 AWG</v>
      </c>
      <c r="E3717" s="108" t="str">
        <f>'LISTA DE INSUMOS'!C351</f>
        <v>M</v>
      </c>
      <c r="F3717" s="140">
        <v>3</v>
      </c>
      <c r="G3717" s="141">
        <f>'LISTA DE INSUMOS'!E351</f>
        <v>5719.3914393758996</v>
      </c>
      <c r="H3717" s="108">
        <v>1.03</v>
      </c>
      <c r="I3717" s="141">
        <f>ROUND((F3717*G3717*H3717),0)</f>
        <v>17673</v>
      </c>
      <c r="J3717" s="47"/>
      <c r="K3717" s="143"/>
    </row>
    <row r="3718" spans="2:11" ht="24.9" customHeight="1" x14ac:dyDescent="0.2">
      <c r="B3718" s="672"/>
      <c r="C3718" s="125" t="str">
        <f>'LISTA DE INSUMOS'!A571</f>
        <v>MAT588</v>
      </c>
      <c r="D3718" s="155" t="str">
        <f>'LISTA DE INSUMOS'!B571</f>
        <v>Tub Conduit PVC 2"</v>
      </c>
      <c r="E3718" s="125" t="str">
        <f>'LISTA DE INSUMOS'!C571</f>
        <v>M</v>
      </c>
      <c r="F3718" s="140">
        <v>1</v>
      </c>
      <c r="G3718" s="141">
        <f>'LISTA DE INSUMOS'!E571</f>
        <v>22543.242057599997</v>
      </c>
      <c r="H3718" s="108">
        <v>1.03</v>
      </c>
      <c r="I3718" s="141">
        <f>ROUND((F3718*G3718*H3718),0)</f>
        <v>23220</v>
      </c>
      <c r="J3718" s="47"/>
      <c r="K3718" s="143"/>
    </row>
    <row r="3719" spans="2:11" ht="24.9" customHeight="1" x14ac:dyDescent="0.2">
      <c r="B3719" s="672"/>
      <c r="C3719" s="108" t="str">
        <f>'LISTA DE INSUMOS'!A651</f>
        <v>MAT667</v>
      </c>
      <c r="D3719" s="139" t="str">
        <f>'LISTA DE INSUMOS'!B651</f>
        <v>Limpiador removedor PVC 1/4</v>
      </c>
      <c r="E3719" s="108" t="str">
        <f>'LISTA DE INSUMOS'!C651</f>
        <v>Un</v>
      </c>
      <c r="F3719" s="152">
        <v>8.0000000000000002E-3</v>
      </c>
      <c r="G3719" s="141">
        <f>'LISTA DE INSUMOS'!E651</f>
        <v>55927.469152499994</v>
      </c>
      <c r="H3719" s="108">
        <v>1.03</v>
      </c>
      <c r="I3719" s="141">
        <f>ROUND((F3719*G3719*H3719),0)</f>
        <v>461</v>
      </c>
      <c r="J3719" s="47"/>
      <c r="K3719" s="143"/>
    </row>
    <row r="3720" spans="2:11" ht="24.9" customHeight="1" thickBot="1" x14ac:dyDescent="0.25">
      <c r="B3720" s="673"/>
      <c r="C3720" s="108" t="str">
        <f>'LISTA DE INSUMOS'!A650</f>
        <v>MAT666</v>
      </c>
      <c r="D3720" s="139" t="str">
        <f>'LISTA DE INSUMOS'!B650</f>
        <v>Soldadura liquida para PVC 1/4 GL</v>
      </c>
      <c r="E3720" s="108" t="str">
        <f>'LISTA DE INSUMOS'!C650</f>
        <v>Un</v>
      </c>
      <c r="F3720" s="152">
        <v>8.0000000000000002E-3</v>
      </c>
      <c r="G3720" s="141">
        <f>'LISTA DE INSUMOS'!E650</f>
        <v>116100.56750324999</v>
      </c>
      <c r="H3720" s="108">
        <v>1.03</v>
      </c>
      <c r="I3720" s="141">
        <f>ROUND((F3720*G3720*H3720),0)</f>
        <v>957</v>
      </c>
      <c r="J3720" s="47"/>
      <c r="K3720" s="143"/>
    </row>
    <row r="3721" spans="2:11" ht="24.9" customHeight="1" thickTop="1" thickBot="1" x14ac:dyDescent="0.25">
      <c r="B3721" s="153" t="s">
        <v>1034</v>
      </c>
      <c r="C3721" s="194" t="str">
        <f>'LISTA DE INSUMOS'!A11</f>
        <v>MOB008</v>
      </c>
      <c r="D3721" s="198" t="str">
        <f>'LISTA DE INSUMOS'!B11</f>
        <v>Oficial eléctrico (jornal + prestaciones)</v>
      </c>
      <c r="E3721" s="194" t="str">
        <f>'LISTA DE INSUMOS'!C11</f>
        <v>Día</v>
      </c>
      <c r="F3721" s="147">
        <v>1</v>
      </c>
      <c r="G3721" s="148">
        <f>'LISTA DE INSUMOS'!E11</f>
        <v>163723</v>
      </c>
      <c r="H3721" s="154">
        <f>1/15</f>
        <v>6.6666666666666666E-2</v>
      </c>
      <c r="I3721" s="148">
        <f>ROUND((F3721*G3721*H3721),0)</f>
        <v>10915</v>
      </c>
      <c r="J3721" s="47"/>
      <c r="K3721" s="143"/>
    </row>
    <row r="3722" spans="2:11" ht="36" customHeight="1" x14ac:dyDescent="0.2">
      <c r="B3722" s="230" t="s">
        <v>2982</v>
      </c>
      <c r="C3722" s="117"/>
      <c r="D3722" s="112" t="s">
        <v>1350</v>
      </c>
      <c r="E3722" s="117" t="s">
        <v>1435</v>
      </c>
      <c r="F3722" s="149"/>
      <c r="G3722" s="119">
        <f>ROUND(SUM(I3723:I3732),0)</f>
        <v>104397</v>
      </c>
      <c r="H3722" s="120"/>
      <c r="I3722" s="119"/>
      <c r="J3722" s="47"/>
      <c r="K3722" s="143"/>
    </row>
    <row r="3723" spans="2:11" ht="24.9" customHeight="1" x14ac:dyDescent="0.2">
      <c r="B3723" s="672" t="s">
        <v>1035</v>
      </c>
      <c r="C3723" s="108" t="str">
        <f>+'LISTA DE INSUMOS'!A86</f>
        <v>MAT047</v>
      </c>
      <c r="D3723" s="139" t="str">
        <f>+'LISTA DE INSUMOS'!B86</f>
        <v>Cinta aislante 3/4 15m 18mm</v>
      </c>
      <c r="E3723" s="108" t="str">
        <f>+'LISTA DE INSUMOS'!C86</f>
        <v>un</v>
      </c>
      <c r="F3723" s="176">
        <v>2</v>
      </c>
      <c r="G3723" s="141">
        <f>'LISTA DE INSUMOS'!E86</f>
        <v>4433.0849999999991</v>
      </c>
      <c r="H3723" s="108">
        <v>0</v>
      </c>
      <c r="I3723" s="141">
        <f>ROUND((F3723*G3723),0)</f>
        <v>8866</v>
      </c>
      <c r="J3723" s="47"/>
      <c r="K3723" s="143"/>
    </row>
    <row r="3724" spans="2:11" ht="24.9" customHeight="1" x14ac:dyDescent="0.2">
      <c r="B3724" s="672"/>
      <c r="C3724" s="108" t="str">
        <f>+'LISTA DE INSUMOS'!A283</f>
        <v>MAT255</v>
      </c>
      <c r="D3724" s="139" t="str">
        <f>+'LISTA DE INSUMOS'!B283</f>
        <v>Tubería PVC conduit de 1/2"</v>
      </c>
      <c r="E3724" s="108" t="str">
        <f>+'LISTA DE INSUMOS'!C283</f>
        <v>M</v>
      </c>
      <c r="F3724" s="176">
        <v>6</v>
      </c>
      <c r="G3724" s="141">
        <f>'LISTA DE INSUMOS'!E283</f>
        <v>1172.98353908736</v>
      </c>
      <c r="H3724" s="108">
        <v>1.03</v>
      </c>
      <c r="I3724" s="141">
        <f>ROUND((F3724*G3724*H3724),0)</f>
        <v>7249</v>
      </c>
      <c r="J3724" s="47"/>
      <c r="K3724" s="143"/>
    </row>
    <row r="3725" spans="2:11" ht="20.25" customHeight="1" x14ac:dyDescent="0.2">
      <c r="B3725" s="672"/>
      <c r="C3725" s="108" t="str">
        <f>+'LISTA DE INSUMOS'!A341</f>
        <v>MAT328</v>
      </c>
      <c r="D3725" s="139" t="str">
        <f>+'LISTA DE INSUMOS'!B341</f>
        <v>Adaptador PVC terminal de 1/2" conduit</v>
      </c>
      <c r="E3725" s="108" t="str">
        <f>+'LISTA DE INSUMOS'!C341</f>
        <v>Un</v>
      </c>
      <c r="F3725" s="176">
        <v>2</v>
      </c>
      <c r="G3725" s="141">
        <f>'LISTA DE INSUMOS'!E341</f>
        <v>4195.9404299999997</v>
      </c>
      <c r="H3725" s="108">
        <v>0</v>
      </c>
      <c r="I3725" s="141">
        <f>ROUND((F3725*G3725),0)</f>
        <v>8392</v>
      </c>
      <c r="J3725" s="47"/>
      <c r="K3725" s="143"/>
    </row>
    <row r="3726" spans="2:11" ht="24.9" customHeight="1" x14ac:dyDescent="0.2">
      <c r="B3726" s="672"/>
      <c r="C3726" s="108" t="str">
        <f>+'LISTA DE INSUMOS'!A284</f>
        <v>MAT256</v>
      </c>
      <c r="D3726" s="139" t="str">
        <f>+'LISTA DE INSUMOS'!B284</f>
        <v>Alambre cobre # 12 AWG</v>
      </c>
      <c r="E3726" s="108" t="str">
        <f>+'LISTA DE INSUMOS'!C284</f>
        <v>M</v>
      </c>
      <c r="F3726" s="176">
        <v>18</v>
      </c>
      <c r="G3726" s="141">
        <f>'LISTA DE INSUMOS'!E284</f>
        <v>2176.4055919748998</v>
      </c>
      <c r="H3726" s="108">
        <v>1.03</v>
      </c>
      <c r="I3726" s="141">
        <f>ROUND((F3726*G3726*H3726),0)</f>
        <v>40351</v>
      </c>
      <c r="J3726" s="47"/>
      <c r="K3726" s="143"/>
    </row>
    <row r="3727" spans="2:11" ht="24.9" customHeight="1" x14ac:dyDescent="0.2">
      <c r="B3727" s="672"/>
      <c r="C3727" s="108" t="str">
        <f>+'LISTA DE INSUMOS'!A651</f>
        <v>MAT667</v>
      </c>
      <c r="D3727" s="139" t="str">
        <f>+'LISTA DE INSUMOS'!B651</f>
        <v>Limpiador removedor PVC 1/4</v>
      </c>
      <c r="E3727" s="108" t="str">
        <f>+'LISTA DE INSUMOS'!C651</f>
        <v>Un</v>
      </c>
      <c r="F3727" s="152">
        <v>3.5999999999999997E-2</v>
      </c>
      <c r="G3727" s="141">
        <f>+'LISTA DE INSUMOS'!E651</f>
        <v>55927.469152499994</v>
      </c>
      <c r="H3727" s="108">
        <v>1.03</v>
      </c>
      <c r="I3727" s="141">
        <f>ROUND((F3727*G3727*H3727),0)</f>
        <v>2074</v>
      </c>
      <c r="J3727" s="47"/>
      <c r="K3727" s="143"/>
    </row>
    <row r="3728" spans="2:11" ht="24.9" customHeight="1" x14ac:dyDescent="0.2">
      <c r="B3728" s="672"/>
      <c r="C3728" s="108" t="str">
        <f>+'LISTA DE INSUMOS'!A650</f>
        <v>MAT666</v>
      </c>
      <c r="D3728" s="139" t="str">
        <f>+'LISTA DE INSUMOS'!B650</f>
        <v>Soldadura liquida para PVC 1/4 GL</v>
      </c>
      <c r="E3728" s="108" t="str">
        <f>+'LISTA DE INSUMOS'!C650</f>
        <v>Un</v>
      </c>
      <c r="F3728" s="152">
        <v>3.5999999999999997E-2</v>
      </c>
      <c r="G3728" s="141">
        <f>+'LISTA DE INSUMOS'!E650</f>
        <v>116100.56750324999</v>
      </c>
      <c r="H3728" s="108">
        <v>1.03</v>
      </c>
      <c r="I3728" s="141">
        <f>ROUND((F3728*G3728*H3728),0)</f>
        <v>4305</v>
      </c>
      <c r="J3728" s="47"/>
      <c r="K3728" s="143"/>
    </row>
    <row r="3729" spans="2:11" ht="20.25" customHeight="1" thickBot="1" x14ac:dyDescent="0.25">
      <c r="B3729" s="673"/>
      <c r="C3729" s="108" t="str">
        <f>+'LISTA DE INSUMOS'!A348</f>
        <v>MAT340</v>
      </c>
      <c r="D3729" s="139" t="str">
        <f>+'LISTA DE INSUMOS'!B348</f>
        <v>Caja plástica conduit sencilla cumple norma Retie</v>
      </c>
      <c r="E3729" s="108" t="str">
        <f>+'LISTA DE INSUMOS'!C348</f>
        <v>Un</v>
      </c>
      <c r="F3729" s="176">
        <v>1</v>
      </c>
      <c r="G3729" s="141">
        <f>'LISTA DE INSUMOS'!E348</f>
        <v>2069.2920663557998</v>
      </c>
      <c r="H3729" s="108">
        <v>0</v>
      </c>
      <c r="I3729" s="141">
        <f>ROUND((F3729*G3729),0)</f>
        <v>2069</v>
      </c>
      <c r="J3729" s="47"/>
      <c r="K3729" s="143"/>
    </row>
    <row r="3730" spans="2:11" ht="24.9" customHeight="1" thickTop="1" thickBot="1" x14ac:dyDescent="0.25">
      <c r="B3730" s="191" t="s">
        <v>1310</v>
      </c>
      <c r="C3730" s="108" t="str">
        <f>+B574</f>
        <v>ITE96</v>
      </c>
      <c r="D3730" s="139" t="str">
        <f>+D574</f>
        <v>Mortero 1:3 (producción)</v>
      </c>
      <c r="E3730" s="108" t="str">
        <f>+E574</f>
        <v>M3</v>
      </c>
      <c r="F3730" s="228">
        <v>4.0000000000000001E-3</v>
      </c>
      <c r="G3730" s="141">
        <f>G574</f>
        <v>580906</v>
      </c>
      <c r="H3730" s="108">
        <v>1.05</v>
      </c>
      <c r="I3730" s="141">
        <f>ROUND((F3730*G3730*H3730),0)</f>
        <v>2440</v>
      </c>
      <c r="J3730" s="47"/>
      <c r="K3730" s="143"/>
    </row>
    <row r="3731" spans="2:11" ht="24.9" customHeight="1" thickTop="1" thickBot="1" x14ac:dyDescent="0.25">
      <c r="B3731" s="250" t="s">
        <v>1034</v>
      </c>
      <c r="C3731" s="125" t="str">
        <f>+'LISTA DE INSUMOS'!A11</f>
        <v>MOB008</v>
      </c>
      <c r="D3731" s="155" t="str">
        <f>+'LISTA DE INSUMOS'!B11</f>
        <v>Oficial eléctrico (jornal + prestaciones)</v>
      </c>
      <c r="E3731" s="125" t="str">
        <f>+'LISTA DE INSUMOS'!C11</f>
        <v>Día</v>
      </c>
      <c r="F3731" s="140">
        <v>1</v>
      </c>
      <c r="G3731" s="141">
        <f>'LISTA DE INSUMOS'!E11</f>
        <v>163723</v>
      </c>
      <c r="H3731" s="108">
        <f>1/6</f>
        <v>0.16666666666666666</v>
      </c>
      <c r="I3731" s="141">
        <f>ROUND((F3731*G3731*H3731),0)</f>
        <v>27287</v>
      </c>
      <c r="J3731" s="47"/>
      <c r="K3731" s="143"/>
    </row>
    <row r="3732" spans="2:11" ht="24.9" customHeight="1" thickTop="1" thickBot="1" x14ac:dyDescent="0.25">
      <c r="B3732" s="150" t="s">
        <v>1033</v>
      </c>
      <c r="C3732" s="151" t="str">
        <f>+'LISTA DE INSUMOS'!A758</f>
        <v>EQU002</v>
      </c>
      <c r="D3732" s="146" t="str">
        <f>+'LISTA DE INSUMOS'!B758</f>
        <v>Herramienta menor (% mano obra)</v>
      </c>
      <c r="E3732" s="145" t="str">
        <f>+'LISTA DE INSUMOS'!C758</f>
        <v>%MO</v>
      </c>
      <c r="F3732" s="229">
        <v>0.05</v>
      </c>
      <c r="G3732" s="148">
        <f>I3731</f>
        <v>27287</v>
      </c>
      <c r="H3732" s="145">
        <v>0</v>
      </c>
      <c r="I3732" s="148">
        <f>ROUND((F3732*G3732),0)</f>
        <v>1364</v>
      </c>
      <c r="J3732" s="47"/>
      <c r="K3732" s="143"/>
    </row>
    <row r="3733" spans="2:11" ht="34.5" customHeight="1" x14ac:dyDescent="0.2">
      <c r="B3733" s="230" t="s">
        <v>1456</v>
      </c>
      <c r="C3733" s="117"/>
      <c r="D3733" s="112" t="s">
        <v>1351</v>
      </c>
      <c r="E3733" s="117" t="s">
        <v>1435</v>
      </c>
      <c r="F3733" s="149"/>
      <c r="G3733" s="119">
        <f>ROUND(SUM(I3734:I3744),0)</f>
        <v>117227</v>
      </c>
      <c r="H3733" s="120"/>
      <c r="I3733" s="119"/>
      <c r="J3733" s="47"/>
      <c r="K3733" s="143"/>
    </row>
    <row r="3734" spans="2:11" ht="24.9" customHeight="1" x14ac:dyDescent="0.2">
      <c r="B3734" s="672" t="s">
        <v>1035</v>
      </c>
      <c r="C3734" s="108" t="str">
        <f>+'LISTA DE INSUMOS'!A86</f>
        <v>MAT047</v>
      </c>
      <c r="D3734" s="139" t="str">
        <f>+'LISTA DE INSUMOS'!B86</f>
        <v>Cinta aislante 3/4 15m 18mm</v>
      </c>
      <c r="E3734" s="108" t="str">
        <f>+'LISTA DE INSUMOS'!C86</f>
        <v>un</v>
      </c>
      <c r="F3734" s="176">
        <v>2</v>
      </c>
      <c r="G3734" s="141">
        <f>'LISTA DE INSUMOS'!E86</f>
        <v>4433.0849999999991</v>
      </c>
      <c r="H3734" s="205">
        <v>0</v>
      </c>
      <c r="I3734" s="141">
        <f t="shared" ref="I3734:I3741" si="28">ROUND((F3734*G3734),0)</f>
        <v>8866</v>
      </c>
      <c r="J3734" s="47"/>
      <c r="K3734" s="143"/>
    </row>
    <row r="3735" spans="2:11" ht="24.9" customHeight="1" x14ac:dyDescent="0.2">
      <c r="B3735" s="672"/>
      <c r="C3735" s="108" t="str">
        <f>+'LISTA DE INSUMOS'!A283</f>
        <v>MAT255</v>
      </c>
      <c r="D3735" s="139" t="str">
        <f>+'LISTA DE INSUMOS'!B283</f>
        <v>Tubería PVC conduit de 1/2"</v>
      </c>
      <c r="E3735" s="108" t="str">
        <f>+'LISTA DE INSUMOS'!C283</f>
        <v>M</v>
      </c>
      <c r="F3735" s="176">
        <v>6</v>
      </c>
      <c r="G3735" s="141">
        <f>'LISTA DE INSUMOS'!E283</f>
        <v>1172.98353908736</v>
      </c>
      <c r="H3735" s="205">
        <v>1.03</v>
      </c>
      <c r="I3735" s="141">
        <f>ROUND((F3735*G3735*H3735),0)</f>
        <v>7249</v>
      </c>
      <c r="J3735" s="47"/>
      <c r="K3735" s="143"/>
    </row>
    <row r="3736" spans="2:11" ht="24.9" customHeight="1" x14ac:dyDescent="0.2">
      <c r="B3736" s="672"/>
      <c r="C3736" s="108" t="str">
        <f>+'LISTA DE INSUMOS'!A341</f>
        <v>MAT328</v>
      </c>
      <c r="D3736" s="139" t="str">
        <f>+'LISTA DE INSUMOS'!B341</f>
        <v>Adaptador PVC terminal de 1/2" conduit</v>
      </c>
      <c r="E3736" s="108" t="str">
        <f>+'LISTA DE INSUMOS'!C341</f>
        <v>Un</v>
      </c>
      <c r="F3736" s="176">
        <v>2</v>
      </c>
      <c r="G3736" s="141">
        <f>'LISTA DE INSUMOS'!E341</f>
        <v>4195.9404299999997</v>
      </c>
      <c r="H3736" s="205">
        <v>0</v>
      </c>
      <c r="I3736" s="141">
        <f t="shared" si="28"/>
        <v>8392</v>
      </c>
      <c r="J3736" s="47"/>
      <c r="K3736" s="143"/>
    </row>
    <row r="3737" spans="2:11" ht="20.25" customHeight="1" x14ac:dyDescent="0.2">
      <c r="B3737" s="672"/>
      <c r="C3737" s="108" t="str">
        <f>+'LISTA DE INSUMOS'!A284</f>
        <v>MAT256</v>
      </c>
      <c r="D3737" s="139" t="str">
        <f>+'LISTA DE INSUMOS'!B284</f>
        <v>Alambre cobre # 12 AWG</v>
      </c>
      <c r="E3737" s="108" t="str">
        <f>+'LISTA DE INSUMOS'!C284</f>
        <v>M</v>
      </c>
      <c r="F3737" s="176">
        <v>18</v>
      </c>
      <c r="G3737" s="141">
        <f>'LISTA DE INSUMOS'!E284</f>
        <v>2176.4055919748998</v>
      </c>
      <c r="H3737" s="205">
        <v>1.03</v>
      </c>
      <c r="I3737" s="141">
        <f>ROUND((F3737*G3737*H3737),0)</f>
        <v>40351</v>
      </c>
      <c r="J3737" s="47"/>
      <c r="K3737" s="143"/>
    </row>
    <row r="3738" spans="2:11" ht="24.9" customHeight="1" x14ac:dyDescent="0.2">
      <c r="B3738" s="672"/>
      <c r="C3738" s="108" t="str">
        <f>+'LISTA DE INSUMOS'!A293</f>
        <v>MAT263</v>
      </c>
      <c r="D3738" s="139" t="str">
        <f>+'LISTA DE INSUMOS'!B293</f>
        <v>Plafon E27 Con Socket Pbt Accesorios Veto</v>
      </c>
      <c r="E3738" s="108" t="str">
        <f>+'LISTA DE INSUMOS'!C293</f>
        <v>Un</v>
      </c>
      <c r="F3738" s="176">
        <v>1</v>
      </c>
      <c r="G3738" s="141">
        <f>'LISTA DE INSUMOS'!E293</f>
        <v>12830.08164009</v>
      </c>
      <c r="H3738" s="205">
        <v>0</v>
      </c>
      <c r="I3738" s="141">
        <f t="shared" si="28"/>
        <v>12830</v>
      </c>
      <c r="J3738" s="47"/>
      <c r="K3738" s="143"/>
    </row>
    <row r="3739" spans="2:11" ht="24.9" customHeight="1" x14ac:dyDescent="0.2">
      <c r="B3739" s="672"/>
      <c r="C3739" s="108" t="str">
        <f>+'LISTA DE INSUMOS'!A651</f>
        <v>MAT667</v>
      </c>
      <c r="D3739" s="139" t="str">
        <f>+'LISTA DE INSUMOS'!B651</f>
        <v>Limpiador removedor PVC 1/4</v>
      </c>
      <c r="E3739" s="108" t="str">
        <f>+'LISTA DE INSUMOS'!C651</f>
        <v>Un</v>
      </c>
      <c r="F3739" s="152">
        <v>3.5999999999999997E-2</v>
      </c>
      <c r="G3739" s="141">
        <f>+'LISTA DE INSUMOS'!E651</f>
        <v>55927.469152499994</v>
      </c>
      <c r="H3739" s="108">
        <v>1.03</v>
      </c>
      <c r="I3739" s="141">
        <f>ROUND((F3739*G3739*H3739),0)</f>
        <v>2074</v>
      </c>
      <c r="J3739" s="47"/>
      <c r="K3739" s="143"/>
    </row>
    <row r="3740" spans="2:11" ht="24.9" customHeight="1" x14ac:dyDescent="0.2">
      <c r="B3740" s="672"/>
      <c r="C3740" s="108" t="str">
        <f>+'LISTA DE INSUMOS'!A650</f>
        <v>MAT666</v>
      </c>
      <c r="D3740" s="139" t="str">
        <f>+'LISTA DE INSUMOS'!B650</f>
        <v>Soldadura liquida para PVC 1/4 GL</v>
      </c>
      <c r="E3740" s="108" t="str">
        <f>+'LISTA DE INSUMOS'!C650</f>
        <v>Un</v>
      </c>
      <c r="F3740" s="152">
        <v>3.5999999999999997E-2</v>
      </c>
      <c r="G3740" s="141">
        <f>+'LISTA DE INSUMOS'!E650</f>
        <v>116100.56750324999</v>
      </c>
      <c r="H3740" s="108">
        <v>1.03</v>
      </c>
      <c r="I3740" s="141">
        <f>ROUND((F3740*G3740*H3740),0)</f>
        <v>4305</v>
      </c>
      <c r="J3740" s="47"/>
      <c r="K3740" s="143"/>
    </row>
    <row r="3741" spans="2:11" ht="20.25" customHeight="1" thickBot="1" x14ac:dyDescent="0.25">
      <c r="B3741" s="673"/>
      <c r="C3741" s="108" t="str">
        <f>+'LISTA DE INSUMOS'!A348</f>
        <v>MAT340</v>
      </c>
      <c r="D3741" s="139" t="str">
        <f>+'LISTA DE INSUMOS'!B348</f>
        <v>Caja plástica conduit sencilla cumple norma Retie</v>
      </c>
      <c r="E3741" s="108" t="str">
        <f>+'LISTA DE INSUMOS'!C348</f>
        <v>Un</v>
      </c>
      <c r="F3741" s="176">
        <v>1</v>
      </c>
      <c r="G3741" s="141">
        <f>'LISTA DE INSUMOS'!E348</f>
        <v>2069.2920663557998</v>
      </c>
      <c r="H3741" s="205">
        <v>0</v>
      </c>
      <c r="I3741" s="141">
        <f t="shared" si="28"/>
        <v>2069</v>
      </c>
      <c r="J3741" s="47"/>
      <c r="K3741" s="143"/>
    </row>
    <row r="3742" spans="2:11" ht="24.9" customHeight="1" thickTop="1" thickBot="1" x14ac:dyDescent="0.25">
      <c r="B3742" s="191" t="s">
        <v>1310</v>
      </c>
      <c r="C3742" s="108" t="str">
        <f>+B574</f>
        <v>ITE96</v>
      </c>
      <c r="D3742" s="139" t="str">
        <f>+D574</f>
        <v>Mortero 1:3 (producción)</v>
      </c>
      <c r="E3742" s="108" t="str">
        <f>+E574</f>
        <v>M3</v>
      </c>
      <c r="F3742" s="228">
        <v>4.0000000000000001E-3</v>
      </c>
      <c r="G3742" s="141">
        <f>G574</f>
        <v>580906</v>
      </c>
      <c r="H3742" s="205">
        <v>1.05</v>
      </c>
      <c r="I3742" s="141">
        <f>ROUND((F3742*G3742*H3742),0)</f>
        <v>2440</v>
      </c>
      <c r="J3742" s="47"/>
      <c r="K3742" s="143"/>
    </row>
    <row r="3743" spans="2:11" ht="24.9" customHeight="1" thickTop="1" thickBot="1" x14ac:dyDescent="0.25">
      <c r="B3743" s="250" t="s">
        <v>1034</v>
      </c>
      <c r="C3743" s="125" t="str">
        <f>+'LISTA DE INSUMOS'!A11</f>
        <v>MOB008</v>
      </c>
      <c r="D3743" s="155" t="str">
        <f>+'LISTA DE INSUMOS'!B11</f>
        <v>Oficial eléctrico (jornal + prestaciones)</v>
      </c>
      <c r="E3743" s="125" t="str">
        <f>+'LISTA DE INSUMOS'!C11</f>
        <v>Día</v>
      </c>
      <c r="F3743" s="140">
        <v>1</v>
      </c>
      <c r="G3743" s="141">
        <f>'LISTA DE INSUMOS'!E11</f>
        <v>163723</v>
      </c>
      <c r="H3743" s="205">
        <f>1/6</f>
        <v>0.16666666666666666</v>
      </c>
      <c r="I3743" s="141">
        <f>ROUND((F3743*G3743*H3743),0)</f>
        <v>27287</v>
      </c>
      <c r="J3743" s="47"/>
      <c r="K3743" s="143"/>
    </row>
    <row r="3744" spans="2:11" ht="24.9" customHeight="1" thickTop="1" thickBot="1" x14ac:dyDescent="0.25">
      <c r="B3744" s="150" t="s">
        <v>1033</v>
      </c>
      <c r="C3744" s="151" t="str">
        <f>+'LISTA DE INSUMOS'!A758</f>
        <v>EQU002</v>
      </c>
      <c r="D3744" s="146" t="str">
        <f>+'LISTA DE INSUMOS'!B758</f>
        <v>Herramienta menor (% mano obra)</v>
      </c>
      <c r="E3744" s="145" t="str">
        <f>+'LISTA DE INSUMOS'!C758</f>
        <v>%MO</v>
      </c>
      <c r="F3744" s="229">
        <v>0.05</v>
      </c>
      <c r="G3744" s="148">
        <f>I3743</f>
        <v>27287</v>
      </c>
      <c r="H3744" s="206">
        <v>0</v>
      </c>
      <c r="I3744" s="148">
        <f>ROUND((F3744*G3744),0)</f>
        <v>1364</v>
      </c>
      <c r="J3744" s="47"/>
      <c r="K3744" s="143"/>
    </row>
    <row r="3745" spans="2:11" s="317" customFormat="1" ht="24.9" hidden="1" customHeight="1" x14ac:dyDescent="0.2">
      <c r="B3745" s="319" t="s">
        <v>2030</v>
      </c>
      <c r="C3745" s="319"/>
      <c r="D3745" s="320" t="s">
        <v>1352</v>
      </c>
      <c r="E3745" s="319" t="s">
        <v>1435</v>
      </c>
      <c r="F3745" s="332"/>
      <c r="G3745" s="312">
        <f>ROUND(SUM(I3746:I3757),0)</f>
        <v>119202</v>
      </c>
      <c r="H3745" s="322"/>
      <c r="I3745" s="312"/>
      <c r="J3745" s="313"/>
      <c r="K3745" s="323"/>
    </row>
    <row r="3746" spans="2:11" s="317" customFormat="1" ht="30" hidden="1" customHeight="1" x14ac:dyDescent="0.2">
      <c r="B3746" s="691" t="s">
        <v>1035</v>
      </c>
      <c r="C3746" s="322" t="str">
        <f>+'LISTA DE INSUMOS'!A86</f>
        <v>MAT047</v>
      </c>
      <c r="D3746" s="324" t="str">
        <f>+'LISTA DE INSUMOS'!B86</f>
        <v>Cinta aislante 3/4 15m 18mm</v>
      </c>
      <c r="E3746" s="322" t="str">
        <f>+'LISTA DE INSUMOS'!C86</f>
        <v>un</v>
      </c>
      <c r="F3746" s="321">
        <v>3</v>
      </c>
      <c r="G3746" s="312">
        <f>'LISTA DE INSUMOS'!E86</f>
        <v>4433.0849999999991</v>
      </c>
      <c r="H3746" s="349">
        <v>0</v>
      </c>
      <c r="I3746" s="312">
        <f t="shared" ref="I3746:I3754" si="29">ROUND((F3746*G3746),0)</f>
        <v>13299</v>
      </c>
      <c r="J3746" s="313"/>
      <c r="K3746" s="323"/>
    </row>
    <row r="3747" spans="2:11" s="317" customFormat="1" ht="30" hidden="1" customHeight="1" x14ac:dyDescent="0.2">
      <c r="B3747" s="691"/>
      <c r="C3747" s="322" t="str">
        <f>+'LISTA DE INSUMOS'!A283</f>
        <v>MAT255</v>
      </c>
      <c r="D3747" s="324" t="str">
        <f>+'LISTA DE INSUMOS'!B283</f>
        <v>Tubería PVC conduit de 1/2"</v>
      </c>
      <c r="E3747" s="322" t="str">
        <f>+'LISTA DE INSUMOS'!C283</f>
        <v>M</v>
      </c>
      <c r="F3747" s="321">
        <v>6</v>
      </c>
      <c r="G3747" s="312">
        <f>'LISTA DE INSUMOS'!E283</f>
        <v>1172.98353908736</v>
      </c>
      <c r="H3747" s="349">
        <v>1.03</v>
      </c>
      <c r="I3747" s="312">
        <f>ROUND((F3747*G3747*H3747),0)</f>
        <v>7249</v>
      </c>
      <c r="J3747" s="313"/>
      <c r="K3747" s="323"/>
    </row>
    <row r="3748" spans="2:11" s="317" customFormat="1" ht="30" hidden="1" customHeight="1" x14ac:dyDescent="0.2">
      <c r="B3748" s="691"/>
      <c r="C3748" s="322" t="str">
        <f>+'LISTA DE INSUMOS'!A341</f>
        <v>MAT328</v>
      </c>
      <c r="D3748" s="324" t="str">
        <f>+'LISTA DE INSUMOS'!B341</f>
        <v>Adaptador PVC terminal de 1/2" conduit</v>
      </c>
      <c r="E3748" s="322" t="str">
        <f>+'LISTA DE INSUMOS'!C341</f>
        <v>Un</v>
      </c>
      <c r="F3748" s="321">
        <v>2</v>
      </c>
      <c r="G3748" s="312">
        <f>'LISTA DE INSUMOS'!E341</f>
        <v>4195.9404299999997</v>
      </c>
      <c r="H3748" s="349">
        <v>0</v>
      </c>
      <c r="I3748" s="312">
        <f t="shared" si="29"/>
        <v>8392</v>
      </c>
      <c r="J3748" s="313"/>
      <c r="K3748" s="323"/>
    </row>
    <row r="3749" spans="2:11" s="317" customFormat="1" ht="24.9" hidden="1" customHeight="1" x14ac:dyDescent="0.2">
      <c r="B3749" s="691"/>
      <c r="C3749" s="322" t="str">
        <f>+'LISTA DE INSUMOS'!A474</f>
        <v>MAT492</v>
      </c>
      <c r="D3749" s="324" t="str">
        <f>+'LISTA DE INSUMOS'!B474</f>
        <v>Cable duplex transparente 2 x 20</v>
      </c>
      <c r="E3749" s="322" t="str">
        <f>+'LISTA DE INSUMOS'!C474</f>
        <v>M</v>
      </c>
      <c r="F3749" s="321">
        <v>6</v>
      </c>
      <c r="G3749" s="312">
        <f>'LISTA DE INSUMOS'!E474</f>
        <v>2110.4895762093001</v>
      </c>
      <c r="H3749" s="349">
        <v>1.03</v>
      </c>
      <c r="I3749" s="312">
        <f>ROUND((F3749*G3749*H3749),0)</f>
        <v>13043</v>
      </c>
      <c r="J3749" s="313"/>
      <c r="K3749" s="323"/>
    </row>
    <row r="3750" spans="2:11" s="317" customFormat="1" ht="24.9" hidden="1" customHeight="1" x14ac:dyDescent="0.2">
      <c r="B3750" s="691"/>
      <c r="C3750" s="322" t="str">
        <f>+'LISTA DE INSUMOS'!A473</f>
        <v>MAT491</v>
      </c>
      <c r="D3750" s="324" t="str">
        <f>+'LISTA DE INSUMOS'!B473</f>
        <v>Pulsador timbre con luz piloto</v>
      </c>
      <c r="E3750" s="322" t="str">
        <f>+'LISTA DE INSUMOS'!C473</f>
        <v>Un</v>
      </c>
      <c r="F3750" s="321">
        <v>1</v>
      </c>
      <c r="G3750" s="312">
        <f>'LISTA DE INSUMOS'!E473</f>
        <v>29650.436377418999</v>
      </c>
      <c r="H3750" s="349">
        <v>0</v>
      </c>
      <c r="I3750" s="312">
        <f t="shared" si="29"/>
        <v>29650</v>
      </c>
      <c r="J3750" s="313"/>
      <c r="K3750" s="323"/>
    </row>
    <row r="3751" spans="2:11" s="317" customFormat="1" ht="24.9" hidden="1" customHeight="1" x14ac:dyDescent="0.2">
      <c r="B3751" s="691"/>
      <c r="C3751" s="322" t="str">
        <f>+'LISTA DE INSUMOS'!A291</f>
        <v>MAT260</v>
      </c>
      <c r="D3751" s="324" t="str">
        <f>+'LISTA DE INSUMOS'!B291</f>
        <v xml:space="preserve">Timbre ding dong </v>
      </c>
      <c r="E3751" s="322" t="str">
        <f>+'LISTA DE INSUMOS'!C291</f>
        <v>Un</v>
      </c>
      <c r="F3751" s="321">
        <v>1</v>
      </c>
      <c r="G3751" s="312">
        <f>'LISTA DE INSUMOS'!E291</f>
        <v>9192.9300558809991</v>
      </c>
      <c r="H3751" s="349">
        <v>0</v>
      </c>
      <c r="I3751" s="312">
        <f t="shared" si="29"/>
        <v>9193</v>
      </c>
      <c r="J3751" s="313"/>
      <c r="K3751" s="323"/>
    </row>
    <row r="3752" spans="2:11" s="317" customFormat="1" ht="24.9" hidden="1" customHeight="1" x14ac:dyDescent="0.2">
      <c r="B3752" s="691"/>
      <c r="C3752" s="322" t="str">
        <f>+'LISTA DE INSUMOS'!A651</f>
        <v>MAT667</v>
      </c>
      <c r="D3752" s="324" t="str">
        <f>+'LISTA DE INSUMOS'!B651</f>
        <v>Limpiador removedor PVC 1/4</v>
      </c>
      <c r="E3752" s="322" t="str">
        <f>+'LISTA DE INSUMOS'!C651</f>
        <v>Un</v>
      </c>
      <c r="F3752" s="351">
        <v>3.5999999999999997E-2</v>
      </c>
      <c r="G3752" s="312">
        <f>+'LISTA DE INSUMOS'!E651</f>
        <v>55927.469152499994</v>
      </c>
      <c r="H3752" s="322">
        <v>1.03</v>
      </c>
      <c r="I3752" s="312">
        <f>ROUND((F3752*G3752*H3752),0)</f>
        <v>2074</v>
      </c>
      <c r="J3752" s="313"/>
      <c r="K3752" s="323"/>
    </row>
    <row r="3753" spans="2:11" s="317" customFormat="1" ht="24.9" hidden="1" customHeight="1" x14ac:dyDescent="0.2">
      <c r="B3753" s="691"/>
      <c r="C3753" s="322" t="str">
        <f>+'LISTA DE INSUMOS'!A650</f>
        <v>MAT666</v>
      </c>
      <c r="D3753" s="324" t="str">
        <f>+'LISTA DE INSUMOS'!B650</f>
        <v>Soldadura liquida para PVC 1/4 GL</v>
      </c>
      <c r="E3753" s="322" t="str">
        <f>+'LISTA DE INSUMOS'!C650</f>
        <v>Un</v>
      </c>
      <c r="F3753" s="351">
        <v>3.5999999999999997E-2</v>
      </c>
      <c r="G3753" s="312">
        <f>+'LISTA DE INSUMOS'!E650</f>
        <v>116100.56750324999</v>
      </c>
      <c r="H3753" s="322">
        <v>1.03</v>
      </c>
      <c r="I3753" s="312">
        <f>ROUND((F3753*G3753*H3753),0)</f>
        <v>4305</v>
      </c>
      <c r="J3753" s="313"/>
      <c r="K3753" s="323"/>
    </row>
    <row r="3754" spans="2:11" s="317" customFormat="1" ht="24.9" hidden="1" customHeight="1" thickBot="1" x14ac:dyDescent="0.25">
      <c r="B3754" s="692"/>
      <c r="C3754" s="322" t="str">
        <f>+'LISTA DE INSUMOS'!A290</f>
        <v>MAT259</v>
      </c>
      <c r="D3754" s="324" t="str">
        <f>+'LISTA DE INSUMOS'!B290</f>
        <v>Caja plástica conduit doble cumple norma Retie</v>
      </c>
      <c r="E3754" s="322" t="str">
        <f>+'LISTA DE INSUMOS'!C290</f>
        <v>Un</v>
      </c>
      <c r="F3754" s="321">
        <v>1</v>
      </c>
      <c r="G3754" s="312">
        <f>'LISTA DE INSUMOS'!E290</f>
        <v>1997.2676446799999</v>
      </c>
      <c r="H3754" s="349">
        <v>0</v>
      </c>
      <c r="I3754" s="312">
        <f t="shared" si="29"/>
        <v>1997</v>
      </c>
      <c r="J3754" s="313"/>
      <c r="K3754" s="323"/>
    </row>
    <row r="3755" spans="2:11" s="317" customFormat="1" ht="24.9" hidden="1" customHeight="1" thickTop="1" thickBot="1" x14ac:dyDescent="0.25">
      <c r="B3755" s="347" t="s">
        <v>1310</v>
      </c>
      <c r="C3755" s="322" t="str">
        <f>+B574</f>
        <v>ITE96</v>
      </c>
      <c r="D3755" s="324" t="str">
        <f>+D574</f>
        <v>Mortero 1:3 (producción)</v>
      </c>
      <c r="E3755" s="322" t="str">
        <f>+E574</f>
        <v>M3</v>
      </c>
      <c r="F3755" s="361">
        <v>4.0000000000000001E-3</v>
      </c>
      <c r="G3755" s="312">
        <f>G574</f>
        <v>580906</v>
      </c>
      <c r="H3755" s="349">
        <v>1.05</v>
      </c>
      <c r="I3755" s="312">
        <f>ROUND((F3755*G3755*H3755),0)</f>
        <v>2440</v>
      </c>
      <c r="J3755" s="313"/>
      <c r="K3755" s="323"/>
    </row>
    <row r="3756" spans="2:11" s="317" customFormat="1" ht="24.9" hidden="1" customHeight="1" thickTop="1" thickBot="1" x14ac:dyDescent="0.25">
      <c r="B3756" s="372" t="s">
        <v>1034</v>
      </c>
      <c r="C3756" s="338" t="str">
        <f>+'LISTA DE INSUMOS'!A11</f>
        <v>MOB008</v>
      </c>
      <c r="D3756" s="339" t="str">
        <f>+'LISTA DE INSUMOS'!B11</f>
        <v>Oficial eléctrico (jornal + prestaciones)</v>
      </c>
      <c r="E3756" s="338" t="str">
        <f>+'LISTA DE INSUMOS'!C11</f>
        <v>Día</v>
      </c>
      <c r="F3756" s="325">
        <v>1</v>
      </c>
      <c r="G3756" s="312">
        <f>'LISTA DE INSUMOS'!E11</f>
        <v>163723</v>
      </c>
      <c r="H3756" s="349">
        <f>1/6</f>
        <v>0.16666666666666666</v>
      </c>
      <c r="I3756" s="312">
        <f>ROUND((F3756*G3756*H3756),0)</f>
        <v>27287</v>
      </c>
      <c r="J3756" s="313"/>
      <c r="K3756" s="323"/>
    </row>
    <row r="3757" spans="2:11" s="317" customFormat="1" ht="24.9" hidden="1" customHeight="1" thickTop="1" thickBot="1" x14ac:dyDescent="0.25">
      <c r="B3757" s="255" t="s">
        <v>1033</v>
      </c>
      <c r="C3757" s="327" t="str">
        <f>+'LISTA DE INSUMOS'!A758</f>
        <v>EQU002</v>
      </c>
      <c r="D3757" s="328" t="str">
        <f>+'LISTA DE INSUMOS'!B758</f>
        <v>Herramienta menor (% mano obra)</v>
      </c>
      <c r="E3757" s="329" t="str">
        <f>+'LISTA DE INSUMOS'!C758</f>
        <v>%MO</v>
      </c>
      <c r="F3757" s="362">
        <v>0.01</v>
      </c>
      <c r="G3757" s="331">
        <f>I3756</f>
        <v>27287</v>
      </c>
      <c r="H3757" s="350">
        <v>0</v>
      </c>
      <c r="I3757" s="331">
        <f>ROUND((F3757*G3757),0)</f>
        <v>273</v>
      </c>
      <c r="J3757" s="313"/>
      <c r="K3757" s="323"/>
    </row>
    <row r="3758" spans="2:11" ht="24.9" customHeight="1" x14ac:dyDescent="0.2">
      <c r="B3758" s="230" t="s">
        <v>1457</v>
      </c>
      <c r="C3758" s="120"/>
      <c r="D3758" s="231" t="s">
        <v>1353</v>
      </c>
      <c r="E3758" s="120" t="s">
        <v>1435</v>
      </c>
      <c r="F3758" s="118"/>
      <c r="G3758" s="119">
        <f>ROUND(SUM(I3759:I3769),0)</f>
        <v>79541</v>
      </c>
      <c r="H3758" s="248"/>
      <c r="I3758" s="119"/>
      <c r="J3758" s="47"/>
      <c r="K3758" s="143"/>
    </row>
    <row r="3759" spans="2:11" ht="24.9" customHeight="1" x14ac:dyDescent="0.2">
      <c r="B3759" s="672" t="s">
        <v>1035</v>
      </c>
      <c r="C3759" s="108" t="str">
        <f>+'LISTA DE INSUMOS'!A86</f>
        <v>MAT047</v>
      </c>
      <c r="D3759" s="139" t="str">
        <f>+'LISTA DE INSUMOS'!B86</f>
        <v>Cinta aislante 3/4 15m 18mm</v>
      </c>
      <c r="E3759" s="108" t="str">
        <f>+'LISTA DE INSUMOS'!C86</f>
        <v>un</v>
      </c>
      <c r="F3759" s="176">
        <v>2</v>
      </c>
      <c r="G3759" s="141">
        <f>'LISTA DE INSUMOS'!E86</f>
        <v>4433.0849999999991</v>
      </c>
      <c r="H3759" s="205">
        <v>0</v>
      </c>
      <c r="I3759" s="141">
        <f>ROUND((F3759*G3759),0)</f>
        <v>8866</v>
      </c>
      <c r="J3759" s="47"/>
      <c r="K3759" s="143"/>
    </row>
    <row r="3760" spans="2:11" ht="24.9" customHeight="1" x14ac:dyDescent="0.2">
      <c r="B3760" s="672"/>
      <c r="C3760" s="108" t="str">
        <f>+'LISTA DE INSUMOS'!A222</f>
        <v>MAT190</v>
      </c>
      <c r="D3760" s="139" t="str">
        <f>+'LISTA DE INSUMOS'!B222</f>
        <v>Interruptor sencillo</v>
      </c>
      <c r="E3760" s="108" t="str">
        <f>+'LISTA DE INSUMOS'!C222</f>
        <v>Un</v>
      </c>
      <c r="F3760" s="176">
        <v>1</v>
      </c>
      <c r="G3760" s="141">
        <f>'LISTA DE INSUMOS'!E222</f>
        <v>6780.0199590239999</v>
      </c>
      <c r="H3760" s="205">
        <v>0</v>
      </c>
      <c r="I3760" s="141">
        <f>ROUND((F3760*G3760),0)</f>
        <v>6780</v>
      </c>
      <c r="J3760" s="47"/>
      <c r="K3760" s="143"/>
    </row>
    <row r="3761" spans="2:11" ht="24.9" customHeight="1" x14ac:dyDescent="0.2">
      <c r="B3761" s="672"/>
      <c r="C3761" s="108" t="str">
        <f>+'LISTA DE INSUMOS'!A283</f>
        <v>MAT255</v>
      </c>
      <c r="D3761" s="139" t="str">
        <f>+'LISTA DE INSUMOS'!B283</f>
        <v>Tubería PVC conduit de 1/2"</v>
      </c>
      <c r="E3761" s="108" t="str">
        <f>+'LISTA DE INSUMOS'!C283</f>
        <v>M</v>
      </c>
      <c r="F3761" s="176">
        <v>4.5</v>
      </c>
      <c r="G3761" s="141">
        <f>'LISTA DE INSUMOS'!E283</f>
        <v>1172.98353908736</v>
      </c>
      <c r="H3761" s="205">
        <v>1.03</v>
      </c>
      <c r="I3761" s="141">
        <f>ROUND((F3761*G3761*H3761),0)</f>
        <v>5437</v>
      </c>
      <c r="J3761" s="47"/>
      <c r="K3761" s="143"/>
    </row>
    <row r="3762" spans="2:11" ht="24.9" customHeight="1" x14ac:dyDescent="0.2">
      <c r="B3762" s="672"/>
      <c r="C3762" s="108" t="str">
        <f>+'LISTA DE INSUMOS'!A341</f>
        <v>MAT328</v>
      </c>
      <c r="D3762" s="139" t="str">
        <f>+'LISTA DE INSUMOS'!B341</f>
        <v>Adaptador PVC terminal de 1/2" conduit</v>
      </c>
      <c r="E3762" s="108" t="str">
        <f>+'LISTA DE INSUMOS'!C341</f>
        <v>Un</v>
      </c>
      <c r="F3762" s="176">
        <v>2</v>
      </c>
      <c r="G3762" s="141">
        <f>'LISTA DE INSUMOS'!E341</f>
        <v>4195.9404299999997</v>
      </c>
      <c r="H3762" s="205">
        <v>0</v>
      </c>
      <c r="I3762" s="141">
        <f>ROUND((F3762*G3762),0)</f>
        <v>8392</v>
      </c>
      <c r="J3762" s="47"/>
      <c r="K3762" s="143"/>
    </row>
    <row r="3763" spans="2:11" ht="24.9" customHeight="1" x14ac:dyDescent="0.2">
      <c r="B3763" s="672"/>
      <c r="C3763" s="108" t="str">
        <f>+'LISTA DE INSUMOS'!A284</f>
        <v>MAT256</v>
      </c>
      <c r="D3763" s="139" t="str">
        <f>+'LISTA DE INSUMOS'!B284</f>
        <v>Alambre cobre # 12 AWG</v>
      </c>
      <c r="E3763" s="108" t="str">
        <f>+'LISTA DE INSUMOS'!C284</f>
        <v>M</v>
      </c>
      <c r="F3763" s="176">
        <v>9</v>
      </c>
      <c r="G3763" s="141">
        <f>'LISTA DE INSUMOS'!E284</f>
        <v>2176.4055919748998</v>
      </c>
      <c r="H3763" s="205">
        <v>1.03</v>
      </c>
      <c r="I3763" s="141">
        <f>ROUND((F3763*G3763*H3763),0)</f>
        <v>20175</v>
      </c>
      <c r="J3763" s="47"/>
      <c r="K3763" s="143"/>
    </row>
    <row r="3764" spans="2:11" ht="24.9" customHeight="1" x14ac:dyDescent="0.2">
      <c r="B3764" s="672"/>
      <c r="C3764" s="108" t="str">
        <f>+'LISTA DE INSUMOS'!A651</f>
        <v>MAT667</v>
      </c>
      <c r="D3764" s="139" t="str">
        <f>+'LISTA DE INSUMOS'!B651</f>
        <v>Limpiador removedor PVC 1/4</v>
      </c>
      <c r="E3764" s="108" t="str">
        <f>+'LISTA DE INSUMOS'!C651</f>
        <v>Un</v>
      </c>
      <c r="F3764" s="152">
        <v>2.7E-2</v>
      </c>
      <c r="G3764" s="141">
        <f>+'LISTA DE INSUMOS'!E651</f>
        <v>55927.469152499994</v>
      </c>
      <c r="H3764" s="108">
        <v>1.03</v>
      </c>
      <c r="I3764" s="141">
        <f>ROUND((F3764*G3764*H3764),0)</f>
        <v>1555</v>
      </c>
      <c r="J3764" s="47"/>
      <c r="K3764" s="143"/>
    </row>
    <row r="3765" spans="2:11" ht="24.9" customHeight="1" x14ac:dyDescent="0.2">
      <c r="B3765" s="672"/>
      <c r="C3765" s="108" t="str">
        <f>+'LISTA DE INSUMOS'!A650</f>
        <v>MAT666</v>
      </c>
      <c r="D3765" s="139" t="str">
        <f>+'LISTA DE INSUMOS'!B650</f>
        <v>Soldadura liquida para PVC 1/4 GL</v>
      </c>
      <c r="E3765" s="108" t="str">
        <f>+'LISTA DE INSUMOS'!C650</f>
        <v>Un</v>
      </c>
      <c r="F3765" s="152">
        <v>2.7E-2</v>
      </c>
      <c r="G3765" s="141">
        <f>+'LISTA DE INSUMOS'!E650</f>
        <v>116100.56750324999</v>
      </c>
      <c r="H3765" s="108">
        <v>1.03</v>
      </c>
      <c r="I3765" s="141">
        <f>ROUND((F3765*G3765*H3765),0)</f>
        <v>3229</v>
      </c>
      <c r="J3765" s="47"/>
      <c r="K3765" s="143"/>
    </row>
    <row r="3766" spans="2:11" ht="24.9" customHeight="1" thickBot="1" x14ac:dyDescent="0.25">
      <c r="B3766" s="673"/>
      <c r="C3766" s="108" t="str">
        <f>+'LISTA DE INSUMOS'!A290</f>
        <v>MAT259</v>
      </c>
      <c r="D3766" s="139" t="str">
        <f>+'LISTA DE INSUMOS'!B290</f>
        <v>Caja plástica conduit doble cumple norma Retie</v>
      </c>
      <c r="E3766" s="108" t="str">
        <f>+'LISTA DE INSUMOS'!C290</f>
        <v>Un</v>
      </c>
      <c r="F3766" s="176">
        <v>1</v>
      </c>
      <c r="G3766" s="141">
        <f>'LISTA DE INSUMOS'!E290</f>
        <v>1997.2676446799999</v>
      </c>
      <c r="H3766" s="205">
        <v>0</v>
      </c>
      <c r="I3766" s="141">
        <f>ROUND((F3766*G3766),0)</f>
        <v>1997</v>
      </c>
      <c r="J3766" s="47"/>
      <c r="K3766" s="143"/>
    </row>
    <row r="3767" spans="2:11" ht="24.9" customHeight="1" thickTop="1" thickBot="1" x14ac:dyDescent="0.25">
      <c r="B3767" s="191" t="s">
        <v>1310</v>
      </c>
      <c r="C3767" s="108" t="str">
        <f>+B574</f>
        <v>ITE96</v>
      </c>
      <c r="D3767" s="139" t="str">
        <f>+D574</f>
        <v>Mortero 1:3 (producción)</v>
      </c>
      <c r="E3767" s="108" t="str">
        <f>+E574</f>
        <v>M3</v>
      </c>
      <c r="F3767" s="228">
        <v>4.0000000000000001E-3</v>
      </c>
      <c r="G3767" s="141">
        <f>G574</f>
        <v>580906</v>
      </c>
      <c r="H3767" s="205">
        <v>1.05</v>
      </c>
      <c r="I3767" s="141">
        <f>ROUND((F3767*G3767*H3767),0)</f>
        <v>2440</v>
      </c>
      <c r="J3767" s="47"/>
      <c r="K3767" s="143"/>
    </row>
    <row r="3768" spans="2:11" ht="24.9" customHeight="1" thickTop="1" thickBot="1" x14ac:dyDescent="0.25">
      <c r="B3768" s="250" t="s">
        <v>1034</v>
      </c>
      <c r="C3768" s="125" t="str">
        <f>+'LISTA DE INSUMOS'!A11</f>
        <v>MOB008</v>
      </c>
      <c r="D3768" s="155" t="str">
        <f>+'LISTA DE INSUMOS'!B11</f>
        <v>Oficial eléctrico (jornal + prestaciones)</v>
      </c>
      <c r="E3768" s="125" t="str">
        <f>+'LISTA DE INSUMOS'!C11</f>
        <v>Día</v>
      </c>
      <c r="F3768" s="140">
        <v>1</v>
      </c>
      <c r="G3768" s="141">
        <f>'LISTA DE INSUMOS'!E11</f>
        <v>163723</v>
      </c>
      <c r="H3768" s="205">
        <f>1/8</f>
        <v>0.125</v>
      </c>
      <c r="I3768" s="141">
        <f>ROUND((F3768*G3768*H3768),0)</f>
        <v>20465</v>
      </c>
      <c r="J3768" s="47"/>
      <c r="K3768" s="143"/>
    </row>
    <row r="3769" spans="2:11" ht="24.9" customHeight="1" thickTop="1" thickBot="1" x14ac:dyDescent="0.25">
      <c r="B3769" s="150" t="s">
        <v>1033</v>
      </c>
      <c r="C3769" s="151" t="str">
        <f>+'LISTA DE INSUMOS'!A758</f>
        <v>EQU002</v>
      </c>
      <c r="D3769" s="146" t="str">
        <f>+'LISTA DE INSUMOS'!B758</f>
        <v>Herramienta menor (% mano obra)</v>
      </c>
      <c r="E3769" s="145" t="str">
        <f>+'LISTA DE INSUMOS'!C758</f>
        <v>%MO</v>
      </c>
      <c r="F3769" s="229">
        <v>0.01</v>
      </c>
      <c r="G3769" s="148">
        <f>I3768</f>
        <v>20465</v>
      </c>
      <c r="H3769" s="206">
        <v>0</v>
      </c>
      <c r="I3769" s="148">
        <f>ROUND((F3769*G3769),0)</f>
        <v>205</v>
      </c>
      <c r="J3769" s="47"/>
      <c r="K3769" s="143"/>
    </row>
    <row r="3770" spans="2:11" ht="24.9" customHeight="1" x14ac:dyDescent="0.2">
      <c r="B3770" s="230" t="s">
        <v>2983</v>
      </c>
      <c r="C3770" s="117"/>
      <c r="D3770" s="112" t="s">
        <v>1354</v>
      </c>
      <c r="E3770" s="117" t="s">
        <v>1435</v>
      </c>
      <c r="F3770" s="149"/>
      <c r="G3770" s="119">
        <f>ROUND(SUM(I3771:I3781),0)</f>
        <v>105512</v>
      </c>
      <c r="H3770" s="120"/>
      <c r="I3770" s="119"/>
      <c r="J3770" s="47"/>
      <c r="K3770" s="143"/>
    </row>
    <row r="3771" spans="2:11" ht="28.5" customHeight="1" x14ac:dyDescent="0.2">
      <c r="B3771" s="672" t="s">
        <v>1035</v>
      </c>
      <c r="C3771" s="108" t="str">
        <f>+'LISTA DE INSUMOS'!A86</f>
        <v>MAT047</v>
      </c>
      <c r="D3771" s="139" t="str">
        <f>+'LISTA DE INSUMOS'!B86</f>
        <v>Cinta aislante 3/4 15m 18mm</v>
      </c>
      <c r="E3771" s="108" t="str">
        <f>+'LISTA DE INSUMOS'!C86</f>
        <v>un</v>
      </c>
      <c r="F3771" s="176">
        <v>2</v>
      </c>
      <c r="G3771" s="141">
        <f>'LISTA DE INSUMOS'!E86</f>
        <v>4433.0849999999991</v>
      </c>
      <c r="H3771" s="205">
        <v>0</v>
      </c>
      <c r="I3771" s="141">
        <f>ROUND((F3771*G3771),0)</f>
        <v>8866</v>
      </c>
      <c r="J3771" s="47"/>
      <c r="K3771" s="143"/>
    </row>
    <row r="3772" spans="2:11" ht="24.9" customHeight="1" x14ac:dyDescent="0.2">
      <c r="B3772" s="672"/>
      <c r="C3772" s="108" t="str">
        <f>+'LISTA DE INSUMOS'!A344</f>
        <v>MAT332</v>
      </c>
      <c r="D3772" s="139" t="str">
        <f>+'LISTA DE INSUMOS'!B344</f>
        <v>Interruptor doble</v>
      </c>
      <c r="E3772" s="108" t="str">
        <f>+'LISTA DE INSUMOS'!C344</f>
        <v>Un</v>
      </c>
      <c r="F3772" s="176">
        <v>1</v>
      </c>
      <c r="G3772" s="141">
        <f>'LISTA DE INSUMOS'!E344</f>
        <v>15772.760915340001</v>
      </c>
      <c r="H3772" s="205">
        <v>0</v>
      </c>
      <c r="I3772" s="141">
        <f>ROUND((F3772*G3772),0)</f>
        <v>15773</v>
      </c>
      <c r="J3772" s="47"/>
      <c r="K3772" s="143"/>
    </row>
    <row r="3773" spans="2:11" ht="24.9" customHeight="1" x14ac:dyDescent="0.2">
      <c r="B3773" s="672"/>
      <c r="C3773" s="108" t="str">
        <f>+'LISTA DE INSUMOS'!A283</f>
        <v>MAT255</v>
      </c>
      <c r="D3773" s="139" t="str">
        <f>+'LISTA DE INSUMOS'!B283</f>
        <v>Tubería PVC conduit de 1/2"</v>
      </c>
      <c r="E3773" s="108" t="str">
        <f>+'LISTA DE INSUMOS'!C283</f>
        <v>M</v>
      </c>
      <c r="F3773" s="176">
        <v>4.5</v>
      </c>
      <c r="G3773" s="141">
        <f>'LISTA DE INSUMOS'!E283</f>
        <v>1172.98353908736</v>
      </c>
      <c r="H3773" s="205">
        <v>1.03</v>
      </c>
      <c r="I3773" s="141">
        <f>ROUND((F3773*G3773*H3773),0)</f>
        <v>5437</v>
      </c>
      <c r="J3773" s="47"/>
      <c r="K3773" s="143"/>
    </row>
    <row r="3774" spans="2:11" ht="24.9" customHeight="1" x14ac:dyDescent="0.2">
      <c r="B3774" s="672"/>
      <c r="C3774" s="108" t="str">
        <f>+'LISTA DE INSUMOS'!A341</f>
        <v>MAT328</v>
      </c>
      <c r="D3774" s="139" t="str">
        <f>+'LISTA DE INSUMOS'!B341</f>
        <v>Adaptador PVC terminal de 1/2" conduit</v>
      </c>
      <c r="E3774" s="108" t="str">
        <f>+'LISTA DE INSUMOS'!C341</f>
        <v>Un</v>
      </c>
      <c r="F3774" s="176">
        <v>2</v>
      </c>
      <c r="G3774" s="141">
        <f>'LISTA DE INSUMOS'!E341</f>
        <v>4195.9404299999997</v>
      </c>
      <c r="H3774" s="205">
        <v>0</v>
      </c>
      <c r="I3774" s="141">
        <f>ROUND((F3774*G3774),0)</f>
        <v>8392</v>
      </c>
      <c r="J3774" s="47"/>
      <c r="K3774" s="143"/>
    </row>
    <row r="3775" spans="2:11" ht="24.9" customHeight="1" x14ac:dyDescent="0.2">
      <c r="B3775" s="672"/>
      <c r="C3775" s="108" t="str">
        <f>+'LISTA DE INSUMOS'!A284</f>
        <v>MAT256</v>
      </c>
      <c r="D3775" s="139" t="str">
        <f>+'LISTA DE INSUMOS'!B284</f>
        <v>Alambre cobre # 12 AWG</v>
      </c>
      <c r="E3775" s="108" t="str">
        <f>+'LISTA DE INSUMOS'!C284</f>
        <v>M</v>
      </c>
      <c r="F3775" s="176">
        <v>13.5</v>
      </c>
      <c r="G3775" s="141">
        <f>'LISTA DE INSUMOS'!E284</f>
        <v>2176.4055919748998</v>
      </c>
      <c r="H3775" s="205">
        <v>1.03</v>
      </c>
      <c r="I3775" s="141">
        <f>ROUND((F3775*G3775*H3775),0)</f>
        <v>30263</v>
      </c>
      <c r="J3775" s="47"/>
      <c r="K3775" s="143"/>
    </row>
    <row r="3776" spans="2:11" ht="24.9" customHeight="1" x14ac:dyDescent="0.2">
      <c r="B3776" s="672"/>
      <c r="C3776" s="108" t="str">
        <f>+'LISTA DE INSUMOS'!A651</f>
        <v>MAT667</v>
      </c>
      <c r="D3776" s="139" t="str">
        <f>+'LISTA DE INSUMOS'!B651</f>
        <v>Limpiador removedor PVC 1/4</v>
      </c>
      <c r="E3776" s="108" t="str">
        <f>+'LISTA DE INSUMOS'!C651</f>
        <v>Un</v>
      </c>
      <c r="F3776" s="152">
        <v>2.7E-2</v>
      </c>
      <c r="G3776" s="141">
        <f>+'LISTA DE INSUMOS'!E651</f>
        <v>55927.469152499994</v>
      </c>
      <c r="H3776" s="108">
        <v>1.03</v>
      </c>
      <c r="I3776" s="141">
        <f>ROUND((F3776*G3776*H3776),0)</f>
        <v>1555</v>
      </c>
      <c r="J3776" s="47"/>
      <c r="K3776" s="143"/>
    </row>
    <row r="3777" spans="2:11" ht="24.9" customHeight="1" x14ac:dyDescent="0.2">
      <c r="B3777" s="672"/>
      <c r="C3777" s="108" t="str">
        <f>+'LISTA DE INSUMOS'!A650</f>
        <v>MAT666</v>
      </c>
      <c r="D3777" s="139" t="str">
        <f>+'LISTA DE INSUMOS'!B650</f>
        <v>Soldadura liquida para PVC 1/4 GL</v>
      </c>
      <c r="E3777" s="108" t="str">
        <f>+'LISTA DE INSUMOS'!C650</f>
        <v>Un</v>
      </c>
      <c r="F3777" s="152">
        <v>2.7E-2</v>
      </c>
      <c r="G3777" s="141">
        <f>+'LISTA DE INSUMOS'!E650</f>
        <v>116100.56750324999</v>
      </c>
      <c r="H3777" s="108">
        <v>1.03</v>
      </c>
      <c r="I3777" s="141">
        <f>ROUND((F3777*G3777*H3777),0)</f>
        <v>3229</v>
      </c>
      <c r="J3777" s="47"/>
      <c r="K3777" s="143"/>
    </row>
    <row r="3778" spans="2:11" ht="24.9" customHeight="1" thickBot="1" x14ac:dyDescent="0.25">
      <c r="B3778" s="673"/>
      <c r="C3778" s="108" t="str">
        <f>+'LISTA DE INSUMOS'!A290</f>
        <v>MAT259</v>
      </c>
      <c r="D3778" s="139" t="str">
        <f>+'LISTA DE INSUMOS'!B290</f>
        <v>Caja plástica conduit doble cumple norma Retie</v>
      </c>
      <c r="E3778" s="108" t="str">
        <f>+'LISTA DE INSUMOS'!C290</f>
        <v>Un</v>
      </c>
      <c r="F3778" s="176">
        <v>1</v>
      </c>
      <c r="G3778" s="141">
        <f>'LISTA DE INSUMOS'!E290</f>
        <v>1997.2676446799999</v>
      </c>
      <c r="H3778" s="205">
        <v>0</v>
      </c>
      <c r="I3778" s="141">
        <f>ROUND((F3778*G3778),0)</f>
        <v>1997</v>
      </c>
      <c r="J3778" s="47"/>
      <c r="K3778" s="143"/>
    </row>
    <row r="3779" spans="2:11" ht="24.9" customHeight="1" thickTop="1" thickBot="1" x14ac:dyDescent="0.25">
      <c r="B3779" s="191" t="s">
        <v>1310</v>
      </c>
      <c r="C3779" s="108" t="str">
        <f>+B574</f>
        <v>ITE96</v>
      </c>
      <c r="D3779" s="139" t="str">
        <f>+D574</f>
        <v>Mortero 1:3 (producción)</v>
      </c>
      <c r="E3779" s="108" t="str">
        <f>+E574</f>
        <v>M3</v>
      </c>
      <c r="F3779" s="228">
        <v>4.0000000000000001E-3</v>
      </c>
      <c r="G3779" s="141">
        <f>G574</f>
        <v>580906</v>
      </c>
      <c r="H3779" s="205">
        <v>1.05</v>
      </c>
      <c r="I3779" s="141">
        <f>ROUND((F3779*G3779*H3779),0)</f>
        <v>2440</v>
      </c>
      <c r="J3779" s="47"/>
      <c r="K3779" s="143"/>
    </row>
    <row r="3780" spans="2:11" ht="24.9" customHeight="1" thickTop="1" thickBot="1" x14ac:dyDescent="0.25">
      <c r="B3780" s="250" t="s">
        <v>1034</v>
      </c>
      <c r="C3780" s="125" t="str">
        <f>+'LISTA DE INSUMOS'!A11</f>
        <v>MOB008</v>
      </c>
      <c r="D3780" s="155" t="str">
        <f>+'LISTA DE INSUMOS'!B11</f>
        <v>Oficial eléctrico (jornal + prestaciones)</v>
      </c>
      <c r="E3780" s="125" t="str">
        <f>+'LISTA DE INSUMOS'!C11</f>
        <v>Día</v>
      </c>
      <c r="F3780" s="140">
        <v>1</v>
      </c>
      <c r="G3780" s="141">
        <f>'LISTA DE INSUMOS'!E11</f>
        <v>163723</v>
      </c>
      <c r="H3780" s="205">
        <f>1/6</f>
        <v>0.16666666666666666</v>
      </c>
      <c r="I3780" s="141">
        <f>ROUND((F3780*G3780*H3780),0)</f>
        <v>27287</v>
      </c>
      <c r="J3780" s="47"/>
      <c r="K3780" s="143"/>
    </row>
    <row r="3781" spans="2:11" ht="24.9" customHeight="1" thickTop="1" thickBot="1" x14ac:dyDescent="0.25">
      <c r="B3781" s="150" t="s">
        <v>1033</v>
      </c>
      <c r="C3781" s="151" t="str">
        <f>+'LISTA DE INSUMOS'!A758</f>
        <v>EQU002</v>
      </c>
      <c r="D3781" s="146" t="str">
        <f>+'LISTA DE INSUMOS'!B758</f>
        <v>Herramienta menor (% mano obra)</v>
      </c>
      <c r="E3781" s="145" t="str">
        <f>+'LISTA DE INSUMOS'!C758</f>
        <v>%MO</v>
      </c>
      <c r="F3781" s="229">
        <v>0.01</v>
      </c>
      <c r="G3781" s="148">
        <f>I3780</f>
        <v>27287</v>
      </c>
      <c r="H3781" s="206">
        <v>0</v>
      </c>
      <c r="I3781" s="148">
        <f>ROUND((F3781*G3781),0)</f>
        <v>273</v>
      </c>
      <c r="J3781" s="47"/>
      <c r="K3781" s="143"/>
    </row>
    <row r="3782" spans="2:11" ht="24.9" customHeight="1" x14ac:dyDescent="0.2">
      <c r="B3782" s="230" t="s">
        <v>2984</v>
      </c>
      <c r="C3782" s="117"/>
      <c r="D3782" s="112" t="s">
        <v>1355</v>
      </c>
      <c r="E3782" s="117" t="s">
        <v>1435</v>
      </c>
      <c r="F3782" s="149"/>
      <c r="G3782" s="119">
        <f>ROUND(SUM(I3783:I3793),0)</f>
        <v>139573</v>
      </c>
      <c r="H3782" s="120"/>
      <c r="I3782" s="119"/>
      <c r="J3782" s="47"/>
      <c r="K3782" s="143"/>
    </row>
    <row r="3783" spans="2:11" ht="24.9" customHeight="1" x14ac:dyDescent="0.2">
      <c r="B3783" s="672" t="s">
        <v>1035</v>
      </c>
      <c r="C3783" s="108" t="str">
        <f>+'LISTA DE INSUMOS'!A86</f>
        <v>MAT047</v>
      </c>
      <c r="D3783" s="139" t="str">
        <f>+'LISTA DE INSUMOS'!B86</f>
        <v>Cinta aislante 3/4 15m 18mm</v>
      </c>
      <c r="E3783" s="108" t="str">
        <f>+'LISTA DE INSUMOS'!C86</f>
        <v>un</v>
      </c>
      <c r="F3783" s="176">
        <v>2</v>
      </c>
      <c r="G3783" s="141">
        <f>'LISTA DE INSUMOS'!E86</f>
        <v>4433.0849999999991</v>
      </c>
      <c r="H3783" s="205">
        <v>0</v>
      </c>
      <c r="I3783" s="141">
        <f>ROUND((F3783*G3783),0)</f>
        <v>8866</v>
      </c>
      <c r="J3783" s="47"/>
      <c r="K3783" s="143"/>
    </row>
    <row r="3784" spans="2:11" ht="24.9" customHeight="1" x14ac:dyDescent="0.2">
      <c r="B3784" s="672"/>
      <c r="C3784" s="108" t="str">
        <f>+'LISTA DE INSUMOS'!A130</f>
        <v>MAT088</v>
      </c>
      <c r="D3784" s="139" t="str">
        <f>+'LISTA DE INSUMOS'!B130</f>
        <v xml:space="preserve">Interruptor conmutable sencillo </v>
      </c>
      <c r="E3784" s="108" t="str">
        <f>+'LISTA DE INSUMOS'!C130</f>
        <v>Un</v>
      </c>
      <c r="F3784" s="176">
        <v>1</v>
      </c>
      <c r="G3784" s="141">
        <f>'LISTA DE INSUMOS'!E130</f>
        <v>49833.99</v>
      </c>
      <c r="H3784" s="205">
        <v>0</v>
      </c>
      <c r="I3784" s="141">
        <f>ROUND((F3784*G3784),0)</f>
        <v>49834</v>
      </c>
      <c r="J3784" s="47"/>
      <c r="K3784" s="143"/>
    </row>
    <row r="3785" spans="2:11" ht="24.9" customHeight="1" x14ac:dyDescent="0.2">
      <c r="B3785" s="672"/>
      <c r="C3785" s="108" t="str">
        <f>+'LISTA DE INSUMOS'!A283</f>
        <v>MAT255</v>
      </c>
      <c r="D3785" s="139" t="str">
        <f>+'LISTA DE INSUMOS'!B283</f>
        <v>Tubería PVC conduit de 1/2"</v>
      </c>
      <c r="E3785" s="108" t="str">
        <f>+'LISTA DE INSUMOS'!C283</f>
        <v>M</v>
      </c>
      <c r="F3785" s="176">
        <v>4.5</v>
      </c>
      <c r="G3785" s="141">
        <f>'LISTA DE INSUMOS'!E283</f>
        <v>1172.98353908736</v>
      </c>
      <c r="H3785" s="205">
        <v>1.03</v>
      </c>
      <c r="I3785" s="141">
        <f>ROUND((F3785*G3785*H3785),0)</f>
        <v>5437</v>
      </c>
      <c r="J3785" s="47"/>
      <c r="K3785" s="143"/>
    </row>
    <row r="3786" spans="2:11" ht="24.9" customHeight="1" x14ac:dyDescent="0.2">
      <c r="B3786" s="672"/>
      <c r="C3786" s="108" t="str">
        <f>+'LISTA DE INSUMOS'!A341</f>
        <v>MAT328</v>
      </c>
      <c r="D3786" s="139" t="str">
        <f>+'LISTA DE INSUMOS'!B341</f>
        <v>Adaptador PVC terminal de 1/2" conduit</v>
      </c>
      <c r="E3786" s="108" t="str">
        <f>+'LISTA DE INSUMOS'!C341</f>
        <v>Un</v>
      </c>
      <c r="F3786" s="176">
        <v>2</v>
      </c>
      <c r="G3786" s="141">
        <f>'LISTA DE INSUMOS'!E341</f>
        <v>4195.9404299999997</v>
      </c>
      <c r="H3786" s="205">
        <v>0</v>
      </c>
      <c r="I3786" s="141">
        <f>ROUND((F3786*G3786),0)</f>
        <v>8392</v>
      </c>
      <c r="J3786" s="47"/>
      <c r="K3786" s="143"/>
    </row>
    <row r="3787" spans="2:11" ht="24.9" customHeight="1" x14ac:dyDescent="0.2">
      <c r="B3787" s="672"/>
      <c r="C3787" s="108" t="str">
        <f>+'LISTA DE INSUMOS'!A284</f>
        <v>MAT256</v>
      </c>
      <c r="D3787" s="139" t="str">
        <f>+'LISTA DE INSUMOS'!B284</f>
        <v>Alambre cobre # 12 AWG</v>
      </c>
      <c r="E3787" s="108" t="str">
        <f>+'LISTA DE INSUMOS'!C284</f>
        <v>M</v>
      </c>
      <c r="F3787" s="176">
        <v>13.5</v>
      </c>
      <c r="G3787" s="141">
        <f>'LISTA DE INSUMOS'!E284</f>
        <v>2176.4055919748998</v>
      </c>
      <c r="H3787" s="205">
        <v>1.03</v>
      </c>
      <c r="I3787" s="141">
        <f>ROUND((F3787*G3787*H3787),0)</f>
        <v>30263</v>
      </c>
      <c r="J3787" s="47"/>
      <c r="K3787" s="143"/>
    </row>
    <row r="3788" spans="2:11" ht="24.9" customHeight="1" x14ac:dyDescent="0.2">
      <c r="B3788" s="672"/>
      <c r="C3788" s="108" t="str">
        <f>+'LISTA DE INSUMOS'!A651</f>
        <v>MAT667</v>
      </c>
      <c r="D3788" s="139" t="str">
        <f>+'LISTA DE INSUMOS'!B651</f>
        <v>Limpiador removedor PVC 1/4</v>
      </c>
      <c r="E3788" s="108" t="str">
        <f>+'LISTA DE INSUMOS'!C651</f>
        <v>Un</v>
      </c>
      <c r="F3788" s="152">
        <v>2.7E-2</v>
      </c>
      <c r="G3788" s="141">
        <f>+'LISTA DE INSUMOS'!E651</f>
        <v>55927.469152499994</v>
      </c>
      <c r="H3788" s="108">
        <v>1.03</v>
      </c>
      <c r="I3788" s="141">
        <f>ROUND((F3788*G3788*H3788),0)</f>
        <v>1555</v>
      </c>
      <c r="J3788" s="47"/>
      <c r="K3788" s="143"/>
    </row>
    <row r="3789" spans="2:11" ht="24.9" customHeight="1" x14ac:dyDescent="0.2">
      <c r="B3789" s="672"/>
      <c r="C3789" s="108" t="str">
        <f>+'LISTA DE INSUMOS'!A650</f>
        <v>MAT666</v>
      </c>
      <c r="D3789" s="139" t="str">
        <f>+'LISTA DE INSUMOS'!B650</f>
        <v>Soldadura liquida para PVC 1/4 GL</v>
      </c>
      <c r="E3789" s="108" t="str">
        <f>+'LISTA DE INSUMOS'!C650</f>
        <v>Un</v>
      </c>
      <c r="F3789" s="152">
        <v>2.7E-2</v>
      </c>
      <c r="G3789" s="141">
        <f>+'LISTA DE INSUMOS'!E650</f>
        <v>116100.56750324999</v>
      </c>
      <c r="H3789" s="108">
        <v>1.03</v>
      </c>
      <c r="I3789" s="141">
        <f>ROUND((F3789*G3789*H3789),0)</f>
        <v>3229</v>
      </c>
      <c r="J3789" s="47"/>
      <c r="K3789" s="143"/>
    </row>
    <row r="3790" spans="2:11" ht="24.9" customHeight="1" thickBot="1" x14ac:dyDescent="0.25">
      <c r="B3790" s="673"/>
      <c r="C3790" s="108" t="str">
        <f>+'LISTA DE INSUMOS'!A290</f>
        <v>MAT259</v>
      </c>
      <c r="D3790" s="139" t="str">
        <f>+'LISTA DE INSUMOS'!B290</f>
        <v>Caja plástica conduit doble cumple norma Retie</v>
      </c>
      <c r="E3790" s="108" t="str">
        <f>+'LISTA DE INSUMOS'!C290</f>
        <v>Un</v>
      </c>
      <c r="F3790" s="176">
        <v>1</v>
      </c>
      <c r="G3790" s="141">
        <f>'LISTA DE INSUMOS'!E290</f>
        <v>1997.2676446799999</v>
      </c>
      <c r="H3790" s="205">
        <v>0</v>
      </c>
      <c r="I3790" s="141">
        <f>ROUND((F3790*G3790),0)</f>
        <v>1997</v>
      </c>
      <c r="J3790" s="47"/>
      <c r="K3790" s="143"/>
    </row>
    <row r="3791" spans="2:11" ht="24.9" customHeight="1" thickTop="1" thickBot="1" x14ac:dyDescent="0.25">
      <c r="B3791" s="191" t="s">
        <v>1310</v>
      </c>
      <c r="C3791" s="108" t="str">
        <f>+B574</f>
        <v>ITE96</v>
      </c>
      <c r="D3791" s="139" t="str">
        <f>+D574</f>
        <v>Mortero 1:3 (producción)</v>
      </c>
      <c r="E3791" s="108" t="str">
        <f>+E574</f>
        <v>M3</v>
      </c>
      <c r="F3791" s="228">
        <v>4.0000000000000001E-3</v>
      </c>
      <c r="G3791" s="141">
        <f>G574</f>
        <v>580906</v>
      </c>
      <c r="H3791" s="205">
        <v>1.05</v>
      </c>
      <c r="I3791" s="141">
        <f>ROUND((F3791*G3791*H3791),0)</f>
        <v>2440</v>
      </c>
      <c r="J3791" s="47"/>
      <c r="K3791" s="143"/>
    </row>
    <row r="3792" spans="2:11" ht="32.25" customHeight="1" thickTop="1" thickBot="1" x14ac:dyDescent="0.25">
      <c r="B3792" s="250" t="s">
        <v>1034</v>
      </c>
      <c r="C3792" s="125" t="str">
        <f>+'LISTA DE INSUMOS'!A11</f>
        <v>MOB008</v>
      </c>
      <c r="D3792" s="155" t="str">
        <f>+'LISTA DE INSUMOS'!B11</f>
        <v>Oficial eléctrico (jornal + prestaciones)</v>
      </c>
      <c r="E3792" s="125" t="str">
        <f>+'LISTA DE INSUMOS'!C11</f>
        <v>Día</v>
      </c>
      <c r="F3792" s="140">
        <v>1</v>
      </c>
      <c r="G3792" s="141">
        <f>'LISTA DE INSUMOS'!E11</f>
        <v>163723</v>
      </c>
      <c r="H3792" s="205">
        <f>1/6</f>
        <v>0.16666666666666666</v>
      </c>
      <c r="I3792" s="141">
        <f>ROUND((F3792*G3792*H3792),0)</f>
        <v>27287</v>
      </c>
      <c r="J3792" s="47"/>
      <c r="K3792" s="143"/>
    </row>
    <row r="3793" spans="2:13" ht="24.9" customHeight="1" thickTop="1" thickBot="1" x14ac:dyDescent="0.25">
      <c r="B3793" s="150" t="s">
        <v>1033</v>
      </c>
      <c r="C3793" s="151" t="str">
        <f>+'LISTA DE INSUMOS'!A758</f>
        <v>EQU002</v>
      </c>
      <c r="D3793" s="146" t="str">
        <f>+'LISTA DE INSUMOS'!B758</f>
        <v>Herramienta menor (% mano obra)</v>
      </c>
      <c r="E3793" s="145" t="str">
        <f>+'LISTA DE INSUMOS'!C758</f>
        <v>%MO</v>
      </c>
      <c r="F3793" s="229">
        <v>0.01</v>
      </c>
      <c r="G3793" s="148">
        <f>I3792</f>
        <v>27287</v>
      </c>
      <c r="H3793" s="206">
        <v>0</v>
      </c>
      <c r="I3793" s="148">
        <f>ROUND((F3793*G3793),0)</f>
        <v>273</v>
      </c>
      <c r="J3793" s="47"/>
      <c r="K3793" s="143"/>
    </row>
    <row r="3794" spans="2:13" s="317" customFormat="1" ht="24.9" hidden="1" customHeight="1" x14ac:dyDescent="0.2">
      <c r="B3794" s="319" t="s">
        <v>1509</v>
      </c>
      <c r="C3794" s="319"/>
      <c r="D3794" s="320" t="s">
        <v>2438</v>
      </c>
      <c r="E3794" s="319" t="s">
        <v>1435</v>
      </c>
      <c r="F3794" s="332"/>
      <c r="G3794" s="312">
        <f>ROUND(SUM(I3795:I3796),0)</f>
        <v>29769</v>
      </c>
      <c r="H3794" s="322"/>
      <c r="I3794" s="312"/>
      <c r="J3794" s="313"/>
      <c r="K3794" s="323"/>
    </row>
    <row r="3795" spans="2:13" s="317" customFormat="1" ht="24.9" hidden="1" customHeight="1" thickBot="1" x14ac:dyDescent="0.25">
      <c r="B3795" s="347" t="s">
        <v>1325</v>
      </c>
      <c r="C3795" s="322" t="str">
        <f>+'LISTA DE INSUMOS'!A292</f>
        <v>MAT262</v>
      </c>
      <c r="D3795" s="324" t="str">
        <f>+'LISTA DE INSUMOS'!B292</f>
        <v>Bombillo LED 30 W</v>
      </c>
      <c r="E3795" s="322" t="str">
        <f>+'LISTA DE INSUMOS'!C292</f>
        <v>Un</v>
      </c>
      <c r="F3795" s="325">
        <v>1</v>
      </c>
      <c r="G3795" s="312">
        <f>+'LISTA DE INSUMOS'!E292</f>
        <v>28132.013871389998</v>
      </c>
      <c r="H3795" s="322">
        <v>0</v>
      </c>
      <c r="I3795" s="312">
        <f>ROUND((F3795*G3795),0)</f>
        <v>28132</v>
      </c>
      <c r="J3795" s="313"/>
      <c r="K3795" s="323"/>
    </row>
    <row r="3796" spans="2:13" s="317" customFormat="1" ht="24.9" hidden="1" customHeight="1" thickTop="1" thickBot="1" x14ac:dyDescent="0.25">
      <c r="B3796" s="363" t="s">
        <v>1034</v>
      </c>
      <c r="C3796" s="329" t="str">
        <f>+'LISTA DE INSUMOS'!A7</f>
        <v>MOB004</v>
      </c>
      <c r="D3796" s="328" t="str">
        <f>+'LISTA DE INSUMOS'!B7</f>
        <v>Ayudante (jornal + prestaciones)</v>
      </c>
      <c r="E3796" s="329" t="str">
        <f>+'LISTA DE INSUMOS'!C7</f>
        <v>Dia</v>
      </c>
      <c r="F3796" s="330">
        <v>1</v>
      </c>
      <c r="G3796" s="331">
        <f>+'LISTA DE INSUMOS'!E7</f>
        <v>81861</v>
      </c>
      <c r="H3796" s="329">
        <f>1/50</f>
        <v>0.02</v>
      </c>
      <c r="I3796" s="331">
        <f>ROUND((F3796*G3796*H3796),0)</f>
        <v>1637</v>
      </c>
      <c r="M3796" s="323"/>
    </row>
    <row r="3797" spans="2:13" ht="49.5" customHeight="1" x14ac:dyDescent="0.2">
      <c r="B3797" s="230" t="s">
        <v>2985</v>
      </c>
      <c r="C3797" s="117"/>
      <c r="D3797" s="112" t="s">
        <v>1931</v>
      </c>
      <c r="E3797" s="117" t="s">
        <v>1435</v>
      </c>
      <c r="F3797" s="149"/>
      <c r="G3797" s="119">
        <f>ROUND(SUM(I3798:I3808),0)</f>
        <v>79759</v>
      </c>
      <c r="H3797" s="120"/>
      <c r="I3797" s="119"/>
      <c r="J3797" s="47"/>
      <c r="K3797" s="143"/>
    </row>
    <row r="3798" spans="2:13" ht="24.9" customHeight="1" x14ac:dyDescent="0.2">
      <c r="B3798" s="672" t="s">
        <v>1035</v>
      </c>
      <c r="C3798" s="108" t="str">
        <f>+'LISTA DE INSUMOS'!A283</f>
        <v>MAT255</v>
      </c>
      <c r="D3798" s="139" t="str">
        <f>+'LISTA DE INSUMOS'!B283</f>
        <v>Tubería PVC conduit de 1/2"</v>
      </c>
      <c r="E3798" s="108" t="str">
        <f>+'LISTA DE INSUMOS'!C283</f>
        <v>M</v>
      </c>
      <c r="F3798" s="176">
        <v>6</v>
      </c>
      <c r="G3798" s="141">
        <f>'LISTA DE INSUMOS'!E283</f>
        <v>1172.98353908736</v>
      </c>
      <c r="H3798" s="205">
        <v>1.03</v>
      </c>
      <c r="I3798" s="141">
        <f>ROUND((F3798*G3798*H3798),0)</f>
        <v>7249</v>
      </c>
      <c r="J3798" s="47"/>
      <c r="K3798" s="143"/>
    </row>
    <row r="3799" spans="2:13" ht="24.9" customHeight="1" x14ac:dyDescent="0.2">
      <c r="B3799" s="672"/>
      <c r="C3799" s="108" t="str">
        <f>+'LISTA DE INSUMOS'!A86</f>
        <v>MAT047</v>
      </c>
      <c r="D3799" s="139" t="str">
        <f>+'LISTA DE INSUMOS'!B86</f>
        <v>Cinta aislante 3/4 15m 18mm</v>
      </c>
      <c r="E3799" s="108" t="str">
        <f>+'LISTA DE INSUMOS'!C86</f>
        <v>un</v>
      </c>
      <c r="F3799" s="176">
        <v>2</v>
      </c>
      <c r="G3799" s="141">
        <f>+'LISTA DE INSUMOS'!E86</f>
        <v>4433.0849999999991</v>
      </c>
      <c r="H3799" s="205">
        <v>0</v>
      </c>
      <c r="I3799" s="141">
        <f>ROUND((F3799*G3799),0)</f>
        <v>8866</v>
      </c>
      <c r="J3799" s="47"/>
      <c r="K3799" s="143"/>
    </row>
    <row r="3800" spans="2:13" ht="24.9" customHeight="1" x14ac:dyDescent="0.2">
      <c r="B3800" s="672"/>
      <c r="C3800" s="108" t="str">
        <f>+'LISTA DE INSUMOS'!A290</f>
        <v>MAT259</v>
      </c>
      <c r="D3800" s="139" t="str">
        <f>+'LISTA DE INSUMOS'!B290</f>
        <v>Caja plástica conduit doble cumple norma Retie</v>
      </c>
      <c r="E3800" s="108" t="str">
        <f>+'LISTA DE INSUMOS'!C290</f>
        <v>Un</v>
      </c>
      <c r="F3800" s="176">
        <v>1</v>
      </c>
      <c r="G3800" s="141">
        <f>'LISTA DE INSUMOS'!E290</f>
        <v>1997.2676446799999</v>
      </c>
      <c r="H3800" s="205">
        <v>0</v>
      </c>
      <c r="I3800" s="141">
        <f>ROUND((F3800*G3800),0)</f>
        <v>1997</v>
      </c>
      <c r="J3800" s="47"/>
      <c r="K3800" s="143"/>
    </row>
    <row r="3801" spans="2:13" ht="24.9" customHeight="1" x14ac:dyDescent="0.2">
      <c r="B3801" s="672"/>
      <c r="C3801" s="108" t="str">
        <f>+'LISTA DE INSUMOS'!A294</f>
        <v>MAT265</v>
      </c>
      <c r="D3801" s="139" t="str">
        <f>+'LISTA DE INSUMOS'!B294</f>
        <v>Toma telefónico de 4 conductos tipo luminex</v>
      </c>
      <c r="E3801" s="108" t="str">
        <f>+'LISTA DE INSUMOS'!C294</f>
        <v>Un</v>
      </c>
      <c r="F3801" s="176">
        <v>1</v>
      </c>
      <c r="G3801" s="141">
        <f>'LISTA DE INSUMOS'!E294</f>
        <v>12948.954112092999</v>
      </c>
      <c r="H3801" s="205">
        <v>0</v>
      </c>
      <c r="I3801" s="141">
        <f>ROUND((F3801*G3801),0)</f>
        <v>12949</v>
      </c>
      <c r="J3801" s="47"/>
      <c r="K3801" s="143"/>
    </row>
    <row r="3802" spans="2:13" ht="24.9" customHeight="1" x14ac:dyDescent="0.2">
      <c r="B3802" s="672"/>
      <c r="C3802" s="108" t="str">
        <f>+'LISTA DE INSUMOS'!A651</f>
        <v>MAT667</v>
      </c>
      <c r="D3802" s="139" t="str">
        <f>+'LISTA DE INSUMOS'!B651</f>
        <v>Limpiador removedor PVC 1/4</v>
      </c>
      <c r="E3802" s="108" t="str">
        <f>+'LISTA DE INSUMOS'!C651</f>
        <v>Un</v>
      </c>
      <c r="F3802" s="152">
        <v>3.5999999999999997E-2</v>
      </c>
      <c r="G3802" s="141">
        <f>+'LISTA DE INSUMOS'!E651</f>
        <v>55927.469152499994</v>
      </c>
      <c r="H3802" s="108">
        <v>1.03</v>
      </c>
      <c r="I3802" s="141">
        <f>ROUND((F3802*G3802*H3802),0)</f>
        <v>2074</v>
      </c>
      <c r="J3802" s="47"/>
      <c r="K3802" s="143"/>
    </row>
    <row r="3803" spans="2:13" ht="24.9" customHeight="1" x14ac:dyDescent="0.2">
      <c r="B3803" s="672"/>
      <c r="C3803" s="108" t="str">
        <f>+'LISTA DE INSUMOS'!A650</f>
        <v>MAT666</v>
      </c>
      <c r="D3803" s="139" t="str">
        <f>+'LISTA DE INSUMOS'!B650</f>
        <v>Soldadura liquida para PVC 1/4 GL</v>
      </c>
      <c r="E3803" s="108" t="str">
        <f>+'LISTA DE INSUMOS'!C650</f>
        <v>Un</v>
      </c>
      <c r="F3803" s="152">
        <v>3.5999999999999997E-2</v>
      </c>
      <c r="G3803" s="141">
        <f>+'LISTA DE INSUMOS'!E650</f>
        <v>116100.56750324999</v>
      </c>
      <c r="H3803" s="108">
        <v>1.03</v>
      </c>
      <c r="I3803" s="141">
        <f>ROUND((F3803*G3803*H3803),0)</f>
        <v>4305</v>
      </c>
      <c r="J3803" s="47"/>
      <c r="K3803" s="143"/>
    </row>
    <row r="3804" spans="2:13" ht="24.9" customHeight="1" x14ac:dyDescent="0.2">
      <c r="B3804" s="672"/>
      <c r="C3804" s="108" t="str">
        <f>+'LISTA DE INSUMOS'!A341</f>
        <v>MAT328</v>
      </c>
      <c r="D3804" s="139" t="str">
        <f>+'LISTA DE INSUMOS'!B341</f>
        <v>Adaptador PVC terminal de 1/2" conduit</v>
      </c>
      <c r="E3804" s="108" t="str">
        <f>+'LISTA DE INSUMOS'!C341</f>
        <v>Un</v>
      </c>
      <c r="F3804" s="176">
        <v>2</v>
      </c>
      <c r="G3804" s="141">
        <f>'LISTA DE INSUMOS'!E341</f>
        <v>4195.9404299999997</v>
      </c>
      <c r="H3804" s="205">
        <v>0</v>
      </c>
      <c r="I3804" s="141">
        <f>ROUND((F3804*G3804),0)</f>
        <v>8392</v>
      </c>
      <c r="J3804" s="47"/>
      <c r="K3804" s="143"/>
    </row>
    <row r="3805" spans="2:13" ht="24.9" customHeight="1" thickBot="1" x14ac:dyDescent="0.25">
      <c r="B3805" s="673"/>
      <c r="C3805" s="108" t="str">
        <f>+'LISTA DE INSUMOS'!A377</f>
        <v>MAT371</v>
      </c>
      <c r="D3805" s="139" t="str">
        <f>+'LISTA DE INSUMOS'!B377</f>
        <v>Alambre telefónico 2 pares</v>
      </c>
      <c r="E3805" s="108" t="str">
        <f>+'LISTA DE INSUMOS'!C377</f>
        <v>M</v>
      </c>
      <c r="F3805" s="176">
        <v>6</v>
      </c>
      <c r="G3805" s="141">
        <f>'LISTA DE INSUMOS'!E377</f>
        <v>1750.3056329187</v>
      </c>
      <c r="H3805" s="205">
        <v>1.03</v>
      </c>
      <c r="I3805" s="141">
        <f>ROUND((F3805*G3805*H3805),0)</f>
        <v>10817</v>
      </c>
      <c r="J3805" s="47"/>
      <c r="K3805" s="143"/>
    </row>
    <row r="3806" spans="2:13" ht="24.9" customHeight="1" thickTop="1" thickBot="1" x14ac:dyDescent="0.25">
      <c r="B3806" s="191" t="s">
        <v>1310</v>
      </c>
      <c r="C3806" s="108" t="str">
        <f>+B574</f>
        <v>ITE96</v>
      </c>
      <c r="D3806" s="139" t="str">
        <f>+D574</f>
        <v>Mortero 1:3 (producción)</v>
      </c>
      <c r="E3806" s="108" t="str">
        <f>+E574</f>
        <v>M3</v>
      </c>
      <c r="F3806" s="228">
        <v>4.0000000000000001E-3</v>
      </c>
      <c r="G3806" s="141">
        <f>+G574</f>
        <v>580906</v>
      </c>
      <c r="H3806" s="205">
        <v>1.05</v>
      </c>
      <c r="I3806" s="141">
        <f>ROUND((F3806*G3806*H3806),0)</f>
        <v>2440</v>
      </c>
      <c r="J3806" s="47"/>
      <c r="K3806" s="143"/>
    </row>
    <row r="3807" spans="2:13" ht="24.9" customHeight="1" thickTop="1" thickBot="1" x14ac:dyDescent="0.25">
      <c r="B3807" s="250" t="s">
        <v>1034</v>
      </c>
      <c r="C3807" s="108" t="str">
        <f>+'LISTA DE INSUMOS'!A11</f>
        <v>MOB008</v>
      </c>
      <c r="D3807" s="139" t="str">
        <f>+'LISTA DE INSUMOS'!B11</f>
        <v>Oficial eléctrico (jornal + prestaciones)</v>
      </c>
      <c r="E3807" s="108" t="str">
        <f>+'LISTA DE INSUMOS'!C11</f>
        <v>Día</v>
      </c>
      <c r="F3807" s="176">
        <v>1</v>
      </c>
      <c r="G3807" s="141">
        <f>'LISTA DE INSUMOS'!E11</f>
        <v>163723</v>
      </c>
      <c r="H3807" s="205">
        <f>1/8</f>
        <v>0.125</v>
      </c>
      <c r="I3807" s="141">
        <f>ROUND((F3807*G3807*H3807),0)</f>
        <v>20465</v>
      </c>
      <c r="J3807" s="47"/>
      <c r="K3807" s="143"/>
    </row>
    <row r="3808" spans="2:13" ht="24.9" customHeight="1" thickTop="1" thickBot="1" x14ac:dyDescent="0.25">
      <c r="B3808" s="150" t="s">
        <v>1033</v>
      </c>
      <c r="C3808" s="151" t="str">
        <f>+'LISTA DE INSUMOS'!A758</f>
        <v>EQU002</v>
      </c>
      <c r="D3808" s="146" t="str">
        <f>+'LISTA DE INSUMOS'!B758</f>
        <v>Herramienta menor (% mano obra)</v>
      </c>
      <c r="E3808" s="145" t="str">
        <f>+'LISTA DE INSUMOS'!C758</f>
        <v>%MO</v>
      </c>
      <c r="F3808" s="229">
        <v>0.01</v>
      </c>
      <c r="G3808" s="148">
        <f>I3807</f>
        <v>20465</v>
      </c>
      <c r="H3808" s="206">
        <v>0</v>
      </c>
      <c r="I3808" s="148">
        <f>ROUND((F3808*G3808),0)</f>
        <v>205</v>
      </c>
      <c r="J3808" s="47"/>
      <c r="K3808" s="143"/>
    </row>
    <row r="3809" spans="2:11" ht="24.9" customHeight="1" x14ac:dyDescent="0.2">
      <c r="B3809" s="230" t="s">
        <v>1956</v>
      </c>
      <c r="C3809" s="117"/>
      <c r="D3809" s="112" t="s">
        <v>1358</v>
      </c>
      <c r="E3809" s="117" t="s">
        <v>1435</v>
      </c>
      <c r="F3809" s="149"/>
      <c r="G3809" s="119">
        <f>ROUND(SUM(I3810:I3819),0)</f>
        <v>184063</v>
      </c>
      <c r="H3809" s="120"/>
      <c r="I3809" s="119"/>
      <c r="J3809" s="47"/>
      <c r="K3809" s="143"/>
    </row>
    <row r="3810" spans="2:11" ht="21.75" customHeight="1" x14ac:dyDescent="0.2">
      <c r="B3810" s="672" t="s">
        <v>1035</v>
      </c>
      <c r="C3810" s="108" t="str">
        <f>+'LISTA DE INSUMOS'!A86</f>
        <v>MAT047</v>
      </c>
      <c r="D3810" s="139" t="str">
        <f>+'LISTA DE INSUMOS'!B86</f>
        <v>Cinta aislante 3/4 15m 18mm</v>
      </c>
      <c r="E3810" s="108" t="str">
        <f>+'LISTA DE INSUMOS'!C86</f>
        <v>un</v>
      </c>
      <c r="F3810" s="176">
        <v>3</v>
      </c>
      <c r="G3810" s="141">
        <f>'LISTA DE INSUMOS'!E86</f>
        <v>4433.0849999999991</v>
      </c>
      <c r="H3810" s="205">
        <v>0</v>
      </c>
      <c r="I3810" s="141">
        <f>ROUND((F3810*G3810),0)</f>
        <v>13299</v>
      </c>
      <c r="J3810" s="47"/>
      <c r="K3810" s="143"/>
    </row>
    <row r="3811" spans="2:11" ht="24.9" customHeight="1" x14ac:dyDescent="0.2">
      <c r="B3811" s="672"/>
      <c r="C3811" s="108" t="str">
        <f>+'LISTA DE INSUMOS'!A302</f>
        <v>MAT275</v>
      </c>
      <c r="D3811" s="139" t="str">
        <f>+'LISTA DE INSUMOS'!B302</f>
        <v>Tubería PVC conduit de 3/4"</v>
      </c>
      <c r="E3811" s="108" t="str">
        <f>+'LISTA DE INSUMOS'!C302</f>
        <v>M</v>
      </c>
      <c r="F3811" s="176">
        <v>4.5</v>
      </c>
      <c r="G3811" s="141">
        <f>'LISTA DE INSUMOS'!E302</f>
        <v>3249.6719442263998</v>
      </c>
      <c r="H3811" s="205">
        <v>1.03</v>
      </c>
      <c r="I3811" s="141">
        <f>ROUND((F3811*G3811*H3811),0)</f>
        <v>15062</v>
      </c>
      <c r="J3811" s="47"/>
      <c r="K3811" s="143"/>
    </row>
    <row r="3812" spans="2:11" ht="24.9" customHeight="1" x14ac:dyDescent="0.2">
      <c r="B3812" s="672"/>
      <c r="C3812" s="108" t="str">
        <f>+'LISTA DE INSUMOS'!A351</f>
        <v>MAT344</v>
      </c>
      <c r="D3812" s="139" t="str">
        <f>+'LISTA DE INSUMOS'!B351</f>
        <v>Alambre cobre #   8 AWG</v>
      </c>
      <c r="E3812" s="108" t="str">
        <f>+'LISTA DE INSUMOS'!C351</f>
        <v>M</v>
      </c>
      <c r="F3812" s="176">
        <v>13.5</v>
      </c>
      <c r="G3812" s="141">
        <f>'LISTA DE INSUMOS'!E351</f>
        <v>5719.3914393758996</v>
      </c>
      <c r="H3812" s="205">
        <v>1.03</v>
      </c>
      <c r="I3812" s="141">
        <f>ROUND((F3812*G3812*H3812),0)</f>
        <v>79528</v>
      </c>
      <c r="J3812" s="47"/>
      <c r="K3812" s="143"/>
    </row>
    <row r="3813" spans="2:11" ht="24.9" customHeight="1" x14ac:dyDescent="0.2">
      <c r="B3813" s="672"/>
      <c r="C3813" s="108" t="str">
        <f>+'LISTA DE INSUMOS'!A290</f>
        <v>MAT259</v>
      </c>
      <c r="D3813" s="139" t="str">
        <f>+'LISTA DE INSUMOS'!B290</f>
        <v>Caja plástica conduit doble cumple norma Retie</v>
      </c>
      <c r="E3813" s="108" t="str">
        <f>+'LISTA DE INSUMOS'!C290</f>
        <v>Un</v>
      </c>
      <c r="F3813" s="176">
        <v>1</v>
      </c>
      <c r="G3813" s="141">
        <f>'LISTA DE INSUMOS'!E290</f>
        <v>1997.2676446799999</v>
      </c>
      <c r="H3813" s="205">
        <v>0</v>
      </c>
      <c r="I3813" s="141">
        <f>ROUND((F3813*G3813),0)</f>
        <v>1997</v>
      </c>
      <c r="J3813" s="47"/>
      <c r="K3813" s="143"/>
    </row>
    <row r="3814" spans="2:11" ht="24.9" customHeight="1" x14ac:dyDescent="0.2">
      <c r="B3814" s="672"/>
      <c r="C3814" s="108" t="str">
        <f>+'LISTA DE INSUMOS'!A651</f>
        <v>MAT667</v>
      </c>
      <c r="D3814" s="139" t="str">
        <f>+'LISTA DE INSUMOS'!B651</f>
        <v>Limpiador removedor PVC 1/4</v>
      </c>
      <c r="E3814" s="108" t="str">
        <f>+'LISTA DE INSUMOS'!C651</f>
        <v>Un</v>
      </c>
      <c r="F3814" s="152">
        <v>2.7E-2</v>
      </c>
      <c r="G3814" s="141">
        <f>+'LISTA DE INSUMOS'!E651</f>
        <v>55927.469152499994</v>
      </c>
      <c r="H3814" s="108">
        <v>1.03</v>
      </c>
      <c r="I3814" s="141">
        <f>ROUND((F3814*G3814*H3814),0)</f>
        <v>1555</v>
      </c>
      <c r="J3814" s="47"/>
      <c r="K3814" s="143"/>
    </row>
    <row r="3815" spans="2:11" ht="24.9" customHeight="1" x14ac:dyDescent="0.2">
      <c r="B3815" s="672"/>
      <c r="C3815" s="108" t="str">
        <f>+'LISTA DE INSUMOS'!A650</f>
        <v>MAT666</v>
      </c>
      <c r="D3815" s="139" t="str">
        <f>+'LISTA DE INSUMOS'!B650</f>
        <v>Soldadura liquida para PVC 1/4 GL</v>
      </c>
      <c r="E3815" s="108" t="str">
        <f>+'LISTA DE INSUMOS'!C650</f>
        <v>Un</v>
      </c>
      <c r="F3815" s="152">
        <v>2.7E-2</v>
      </c>
      <c r="G3815" s="141">
        <f>+'LISTA DE INSUMOS'!E650</f>
        <v>116100.56750324999</v>
      </c>
      <c r="H3815" s="108">
        <v>1.03</v>
      </c>
      <c r="I3815" s="141">
        <f>ROUND((F3815*G3815*H3815),0)</f>
        <v>3229</v>
      </c>
      <c r="J3815" s="47"/>
      <c r="K3815" s="143"/>
    </row>
    <row r="3816" spans="2:11" ht="24.9" customHeight="1" thickBot="1" x14ac:dyDescent="0.25">
      <c r="B3816" s="673"/>
      <c r="C3816" s="238" t="str">
        <f>+'LISTA DE INSUMOS'!A598</f>
        <v>MAT615</v>
      </c>
      <c r="D3816" s="239" t="str">
        <f>+'LISTA DE INSUMOS'!B598</f>
        <v>Toma especial estufa</v>
      </c>
      <c r="E3816" s="238" t="str">
        <f>+'LISTA DE INSUMOS'!C598</f>
        <v>Un</v>
      </c>
      <c r="F3816" s="259">
        <v>1</v>
      </c>
      <c r="G3816" s="164">
        <f>+'LISTA DE INSUMOS'!E598</f>
        <v>21928.845959162998</v>
      </c>
      <c r="H3816" s="161">
        <v>1</v>
      </c>
      <c r="I3816" s="164">
        <f>ROUND((F3816*G3816*H3816),0)</f>
        <v>21929</v>
      </c>
      <c r="J3816" s="47"/>
      <c r="K3816" s="143"/>
    </row>
    <row r="3817" spans="2:11" ht="24.9" customHeight="1" thickTop="1" thickBot="1" x14ac:dyDescent="0.25">
      <c r="B3817" s="191" t="s">
        <v>1310</v>
      </c>
      <c r="C3817" s="108" t="str">
        <f>+B574</f>
        <v>ITE96</v>
      </c>
      <c r="D3817" s="139" t="str">
        <f>+D574</f>
        <v>Mortero 1:3 (producción)</v>
      </c>
      <c r="E3817" s="108" t="str">
        <f>+E574</f>
        <v>M3</v>
      </c>
      <c r="F3817" s="228">
        <v>4.0000000000000001E-3</v>
      </c>
      <c r="G3817" s="141">
        <f>+G574</f>
        <v>580906</v>
      </c>
      <c r="H3817" s="205">
        <v>1.05</v>
      </c>
      <c r="I3817" s="141">
        <f>ROUND((F3817*G3817*H3817),0)</f>
        <v>2440</v>
      </c>
      <c r="J3817" s="47"/>
      <c r="K3817" s="143"/>
    </row>
    <row r="3818" spans="2:11" ht="24.9" customHeight="1" thickTop="1" thickBot="1" x14ac:dyDescent="0.25">
      <c r="B3818" s="250" t="s">
        <v>1034</v>
      </c>
      <c r="C3818" s="125" t="str">
        <f>+'LISTA DE INSUMOS'!A11</f>
        <v>MOB008</v>
      </c>
      <c r="D3818" s="155" t="str">
        <f>+'LISTA DE INSUMOS'!B11</f>
        <v>Oficial eléctrico (jornal + prestaciones)</v>
      </c>
      <c r="E3818" s="125" t="str">
        <f>+'LISTA DE INSUMOS'!C11</f>
        <v>Día</v>
      </c>
      <c r="F3818" s="140">
        <v>1</v>
      </c>
      <c r="G3818" s="141">
        <f>'LISTA DE INSUMOS'!E11</f>
        <v>163723</v>
      </c>
      <c r="H3818" s="205">
        <v>0.25</v>
      </c>
      <c r="I3818" s="141">
        <f>ROUND((F3818*G3818*H3818),0)</f>
        <v>40931</v>
      </c>
      <c r="J3818" s="47"/>
      <c r="K3818" s="143"/>
    </row>
    <row r="3819" spans="2:11" ht="24.9" customHeight="1" thickTop="1" thickBot="1" x14ac:dyDescent="0.25">
      <c r="B3819" s="150" t="s">
        <v>1033</v>
      </c>
      <c r="C3819" s="151" t="str">
        <f>+'LISTA DE INSUMOS'!A758</f>
        <v>EQU002</v>
      </c>
      <c r="D3819" s="146" t="str">
        <f>+'LISTA DE INSUMOS'!B758</f>
        <v>Herramienta menor (% mano obra)</v>
      </c>
      <c r="E3819" s="145" t="str">
        <f>+'LISTA DE INSUMOS'!C758</f>
        <v>%MO</v>
      </c>
      <c r="F3819" s="229">
        <v>0.1</v>
      </c>
      <c r="G3819" s="148">
        <f>I3818</f>
        <v>40931</v>
      </c>
      <c r="H3819" s="206">
        <v>0</v>
      </c>
      <c r="I3819" s="148">
        <f>ROUND((F3819*G3819),0)</f>
        <v>4093</v>
      </c>
      <c r="J3819" s="47"/>
      <c r="K3819" s="143"/>
    </row>
    <row r="3820" spans="2:11" ht="24.9" customHeight="1" x14ac:dyDescent="0.2">
      <c r="B3820" s="230" t="s">
        <v>1957</v>
      </c>
      <c r="C3820" s="117"/>
      <c r="D3820" s="112" t="s">
        <v>1356</v>
      </c>
      <c r="E3820" s="117" t="s">
        <v>1435</v>
      </c>
      <c r="F3820" s="149"/>
      <c r="G3820" s="119">
        <f>ROUND(SUM(I3821:I3827),0)</f>
        <v>159394</v>
      </c>
      <c r="H3820" s="120"/>
      <c r="I3820" s="119"/>
      <c r="J3820" s="47"/>
      <c r="K3820" s="143"/>
    </row>
    <row r="3821" spans="2:11" ht="24.9" customHeight="1" x14ac:dyDescent="0.2">
      <c r="B3821" s="672" t="s">
        <v>1035</v>
      </c>
      <c r="C3821" s="108" t="str">
        <f>+'LISTA DE INSUMOS'!A86</f>
        <v>MAT047</v>
      </c>
      <c r="D3821" s="139" t="str">
        <f>+'LISTA DE INSUMOS'!B86</f>
        <v>Cinta aislante 3/4 15m 18mm</v>
      </c>
      <c r="E3821" s="108" t="str">
        <f>+'LISTA DE INSUMOS'!C86</f>
        <v>un</v>
      </c>
      <c r="F3821" s="176">
        <v>4</v>
      </c>
      <c r="G3821" s="141">
        <f>'LISTA DE INSUMOS'!E86</f>
        <v>4433.0849999999991</v>
      </c>
      <c r="H3821" s="205">
        <v>0</v>
      </c>
      <c r="I3821" s="141">
        <f>ROUND((F3821*G3821),0)</f>
        <v>17732</v>
      </c>
      <c r="J3821" s="47"/>
      <c r="K3821" s="143"/>
    </row>
    <row r="3822" spans="2:11" ht="24.9" customHeight="1" x14ac:dyDescent="0.2">
      <c r="B3822" s="672"/>
      <c r="C3822" s="108" t="str">
        <f>+'LISTA DE INSUMOS'!A235</f>
        <v>MAT203</v>
      </c>
      <c r="D3822" s="139" t="str">
        <f>+'LISTA DE INSUMOS'!B235</f>
        <v>Tablero 4 Circuitos Square 75a Za000611010</v>
      </c>
      <c r="E3822" s="108" t="str">
        <f>+'LISTA DE INSUMOS'!C235</f>
        <v>Un</v>
      </c>
      <c r="F3822" s="176">
        <v>1</v>
      </c>
      <c r="G3822" s="141">
        <f>'LISTA DE INSUMOS'!E235</f>
        <v>58735.878333989996</v>
      </c>
      <c r="H3822" s="205">
        <v>0</v>
      </c>
      <c r="I3822" s="141">
        <f>ROUND((F3822*G3822),0)</f>
        <v>58736</v>
      </c>
      <c r="J3822" s="47"/>
      <c r="K3822" s="143"/>
    </row>
    <row r="3823" spans="2:11" ht="24.9" customHeight="1" x14ac:dyDescent="0.2">
      <c r="B3823" s="672"/>
      <c r="C3823" s="108" t="str">
        <f>+'LISTA DE INSUMOS'!A351</f>
        <v>MAT344</v>
      </c>
      <c r="D3823" s="139" t="str">
        <f>+'LISTA DE INSUMOS'!B351</f>
        <v>Alambre cobre #   8 AWG</v>
      </c>
      <c r="E3823" s="108" t="str">
        <f>+'LISTA DE INSUMOS'!C351</f>
        <v>M</v>
      </c>
      <c r="F3823" s="176">
        <v>2</v>
      </c>
      <c r="G3823" s="141">
        <f>'LISTA DE INSUMOS'!E351</f>
        <v>5719.3914393758996</v>
      </c>
      <c r="H3823" s="205">
        <v>1.03</v>
      </c>
      <c r="I3823" s="141">
        <f>ROUND((F3823*G3823*H3823),0)</f>
        <v>11782</v>
      </c>
      <c r="J3823" s="47"/>
      <c r="K3823" s="143"/>
    </row>
    <row r="3824" spans="2:11" ht="24.9" customHeight="1" thickBot="1" x14ac:dyDescent="0.25">
      <c r="B3824" s="673"/>
      <c r="C3824" s="108" t="str">
        <f>+'LISTA DE INSUMOS'!A197</f>
        <v>MAT157</v>
      </c>
      <c r="D3824" s="139" t="str">
        <f>+'LISTA DE INSUMOS'!B197</f>
        <v>Alambre cobre # 10 AWG</v>
      </c>
      <c r="E3824" s="108" t="str">
        <f>+'LISTA DE INSUMOS'!C197</f>
        <v>M</v>
      </c>
      <c r="F3824" s="176">
        <v>2</v>
      </c>
      <c r="G3824" s="141">
        <f>'LISTA DE INSUMOS'!E197</f>
        <v>3025.7078999999999</v>
      </c>
      <c r="H3824" s="205">
        <v>1.03</v>
      </c>
      <c r="I3824" s="141">
        <f>ROUND((F3824*G3824*H3824),0)</f>
        <v>6233</v>
      </c>
      <c r="J3824" s="47"/>
      <c r="K3824" s="143"/>
    </row>
    <row r="3825" spans="2:11" ht="24.9" customHeight="1" thickTop="1" thickBot="1" x14ac:dyDescent="0.25">
      <c r="B3825" s="191" t="s">
        <v>1310</v>
      </c>
      <c r="C3825" s="108" t="str">
        <f>+B574</f>
        <v>ITE96</v>
      </c>
      <c r="D3825" s="139" t="str">
        <f>+D574</f>
        <v>Mortero 1:3 (producción)</v>
      </c>
      <c r="E3825" s="108" t="str">
        <f>+E574</f>
        <v>M3</v>
      </c>
      <c r="F3825" s="228">
        <v>8.0000000000000002E-3</v>
      </c>
      <c r="G3825" s="141">
        <f>+G574</f>
        <v>580906</v>
      </c>
      <c r="H3825" s="205">
        <v>1.05</v>
      </c>
      <c r="I3825" s="141">
        <f>ROUND((F3825*G3825*H3825),0)</f>
        <v>4880</v>
      </c>
      <c r="J3825" s="47"/>
      <c r="K3825" s="143"/>
    </row>
    <row r="3826" spans="2:11" ht="24.9" customHeight="1" thickTop="1" thickBot="1" x14ac:dyDescent="0.25">
      <c r="B3826" s="250" t="s">
        <v>1034</v>
      </c>
      <c r="C3826" s="108" t="str">
        <f>+'LISTA DE INSUMOS'!A11</f>
        <v>MOB008</v>
      </c>
      <c r="D3826" s="139" t="str">
        <f>+'LISTA DE INSUMOS'!B11</f>
        <v>Oficial eléctrico (jornal + prestaciones)</v>
      </c>
      <c r="E3826" s="108" t="str">
        <f>+'LISTA DE INSUMOS'!C11</f>
        <v>Día</v>
      </c>
      <c r="F3826" s="140">
        <v>1</v>
      </c>
      <c r="G3826" s="141">
        <f>'LISTA DE INSUMOS'!E11</f>
        <v>163723</v>
      </c>
      <c r="H3826" s="205">
        <f>1/3</f>
        <v>0.33333333333333331</v>
      </c>
      <c r="I3826" s="141">
        <f>ROUND((F3826*G3826*H3826),0)</f>
        <v>54574</v>
      </c>
      <c r="J3826" s="47"/>
      <c r="K3826" s="143"/>
    </row>
    <row r="3827" spans="2:11" ht="24.9" customHeight="1" thickTop="1" thickBot="1" x14ac:dyDescent="0.25">
      <c r="B3827" s="150" t="s">
        <v>1033</v>
      </c>
      <c r="C3827" s="151" t="str">
        <f>+'LISTA DE INSUMOS'!A758</f>
        <v>EQU002</v>
      </c>
      <c r="D3827" s="146" t="str">
        <f>+'LISTA DE INSUMOS'!B758</f>
        <v>Herramienta menor (% mano obra)</v>
      </c>
      <c r="E3827" s="145" t="str">
        <f>+'LISTA DE INSUMOS'!C758</f>
        <v>%MO</v>
      </c>
      <c r="F3827" s="229">
        <v>0.1</v>
      </c>
      <c r="G3827" s="148">
        <f>I3826</f>
        <v>54574</v>
      </c>
      <c r="H3827" s="206">
        <v>0</v>
      </c>
      <c r="I3827" s="148">
        <f>ROUND((F3827*G3827),0)</f>
        <v>5457</v>
      </c>
      <c r="J3827" s="47"/>
      <c r="K3827" s="143"/>
    </row>
    <row r="3828" spans="2:11" ht="24.9" customHeight="1" x14ac:dyDescent="0.2">
      <c r="B3828" s="230" t="s">
        <v>1818</v>
      </c>
      <c r="C3828" s="117"/>
      <c r="D3828" s="112" t="s">
        <v>1357</v>
      </c>
      <c r="E3828" s="117" t="s">
        <v>1435</v>
      </c>
      <c r="F3828" s="149"/>
      <c r="G3828" s="119">
        <f>ROUND(SUM(I3829:I3839),0)</f>
        <v>121807</v>
      </c>
      <c r="H3828" s="120"/>
      <c r="I3828" s="119"/>
      <c r="J3828" s="47"/>
      <c r="K3828" s="143"/>
    </row>
    <row r="3829" spans="2:11" ht="24.9" customHeight="1" x14ac:dyDescent="0.2">
      <c r="B3829" s="672" t="s">
        <v>1035</v>
      </c>
      <c r="C3829" s="108" t="str">
        <f>+'LISTA DE INSUMOS'!A86</f>
        <v>MAT047</v>
      </c>
      <c r="D3829" s="139" t="str">
        <f>+'LISTA DE INSUMOS'!B86</f>
        <v>Cinta aislante 3/4 15m 18mm</v>
      </c>
      <c r="E3829" s="108" t="str">
        <f>+'LISTA DE INSUMOS'!C86</f>
        <v>un</v>
      </c>
      <c r="F3829" s="176">
        <v>3</v>
      </c>
      <c r="G3829" s="141">
        <f>'LISTA DE INSUMOS'!E86</f>
        <v>4433.0849999999991</v>
      </c>
      <c r="H3829" s="205">
        <v>0</v>
      </c>
      <c r="I3829" s="141">
        <f t="shared" ref="I3829:I3836" si="30">ROUND((F3829*G3829),0)</f>
        <v>13299</v>
      </c>
      <c r="J3829" s="47"/>
      <c r="K3829" s="143"/>
    </row>
    <row r="3830" spans="2:11" ht="24.9" customHeight="1" x14ac:dyDescent="0.2">
      <c r="B3830" s="672"/>
      <c r="C3830" s="108" t="str">
        <f>+'LISTA DE INSUMOS'!A283</f>
        <v>MAT255</v>
      </c>
      <c r="D3830" s="139" t="str">
        <f>+'LISTA DE INSUMOS'!B283</f>
        <v>Tubería PVC conduit de 1/2"</v>
      </c>
      <c r="E3830" s="108" t="str">
        <f>+'LISTA DE INSUMOS'!C283</f>
        <v>M</v>
      </c>
      <c r="F3830" s="176">
        <v>6</v>
      </c>
      <c r="G3830" s="141">
        <f>'LISTA DE INSUMOS'!E283</f>
        <v>1172.98353908736</v>
      </c>
      <c r="H3830" s="205">
        <v>1.03</v>
      </c>
      <c r="I3830" s="141">
        <f>ROUND((F3830*G3830*H3830),0)</f>
        <v>7249</v>
      </c>
      <c r="J3830" s="47"/>
      <c r="K3830" s="143"/>
    </row>
    <row r="3831" spans="2:11" ht="24.9" customHeight="1" x14ac:dyDescent="0.2">
      <c r="B3831" s="672"/>
      <c r="C3831" s="108" t="str">
        <f>+'LISTA DE INSUMOS'!A341</f>
        <v>MAT328</v>
      </c>
      <c r="D3831" s="139" t="str">
        <f>+'LISTA DE INSUMOS'!B341</f>
        <v>Adaptador PVC terminal de 1/2" conduit</v>
      </c>
      <c r="E3831" s="108" t="str">
        <f>+'LISTA DE INSUMOS'!C341</f>
        <v>Un</v>
      </c>
      <c r="F3831" s="176">
        <v>2</v>
      </c>
      <c r="G3831" s="141">
        <f>'LISTA DE INSUMOS'!E341</f>
        <v>4195.9404299999997</v>
      </c>
      <c r="H3831" s="205">
        <v>0</v>
      </c>
      <c r="I3831" s="141">
        <f t="shared" si="30"/>
        <v>8392</v>
      </c>
      <c r="J3831" s="47"/>
      <c r="K3831" s="143"/>
    </row>
    <row r="3832" spans="2:11" ht="24.9" customHeight="1" x14ac:dyDescent="0.2">
      <c r="B3832" s="672"/>
      <c r="C3832" s="108" t="str">
        <f>+'LISTA DE INSUMOS'!A284</f>
        <v>MAT256</v>
      </c>
      <c r="D3832" s="139" t="str">
        <f>+'LISTA DE INSUMOS'!B284</f>
        <v>Alambre cobre # 12 AWG</v>
      </c>
      <c r="E3832" s="108" t="str">
        <f>+'LISTA DE INSUMOS'!C284</f>
        <v>M</v>
      </c>
      <c r="F3832" s="176">
        <v>18</v>
      </c>
      <c r="G3832" s="141">
        <f>'LISTA DE INSUMOS'!E284</f>
        <v>2176.4055919748998</v>
      </c>
      <c r="H3832" s="205">
        <v>1.03</v>
      </c>
      <c r="I3832" s="141">
        <f>ROUND((F3832*G3832*H3832),0)</f>
        <v>40351</v>
      </c>
      <c r="J3832" s="47"/>
      <c r="K3832" s="143"/>
    </row>
    <row r="3833" spans="2:11" ht="24.9" customHeight="1" x14ac:dyDescent="0.2">
      <c r="B3833" s="672"/>
      <c r="C3833" s="108" t="str">
        <f>+'LISTA DE INSUMOS'!A254</f>
        <v>MAT223</v>
      </c>
      <c r="D3833" s="139" t="str">
        <f>+'LISTA DE INSUMOS'!B254</f>
        <v>Toma corriente doble polo a tierra</v>
      </c>
      <c r="E3833" s="108" t="str">
        <f>+'LISTA DE INSUMOS'!C254</f>
        <v>Un</v>
      </c>
      <c r="F3833" s="176">
        <v>1</v>
      </c>
      <c r="G3833" s="141">
        <f>'LISTA DE INSUMOS'!E254</f>
        <v>21030.05343516</v>
      </c>
      <c r="H3833" s="205">
        <v>0</v>
      </c>
      <c r="I3833" s="141">
        <f t="shared" si="30"/>
        <v>21030</v>
      </c>
      <c r="J3833" s="47"/>
      <c r="K3833" s="143"/>
    </row>
    <row r="3834" spans="2:11" ht="24.9" customHeight="1" x14ac:dyDescent="0.2">
      <c r="B3834" s="672"/>
      <c r="C3834" s="108" t="str">
        <f>+'LISTA DE INSUMOS'!A651</f>
        <v>MAT667</v>
      </c>
      <c r="D3834" s="139" t="str">
        <f>+'LISTA DE INSUMOS'!B651</f>
        <v>Limpiador removedor PVC 1/4</v>
      </c>
      <c r="E3834" s="108" t="str">
        <f>+'LISTA DE INSUMOS'!C651</f>
        <v>Un</v>
      </c>
      <c r="F3834" s="152">
        <v>3.5999999999999997E-2</v>
      </c>
      <c r="G3834" s="141">
        <f>+'LISTA DE INSUMOS'!E651</f>
        <v>55927.469152499994</v>
      </c>
      <c r="H3834" s="108">
        <v>1.03</v>
      </c>
      <c r="I3834" s="141">
        <f>ROUND((F3834*G3834*H3834),0)</f>
        <v>2074</v>
      </c>
      <c r="J3834" s="47"/>
      <c r="K3834" s="143"/>
    </row>
    <row r="3835" spans="2:11" ht="24.9" customHeight="1" x14ac:dyDescent="0.2">
      <c r="B3835" s="672"/>
      <c r="C3835" s="108" t="str">
        <f>+'LISTA DE INSUMOS'!A650</f>
        <v>MAT666</v>
      </c>
      <c r="D3835" s="139" t="str">
        <f>+'LISTA DE INSUMOS'!B650</f>
        <v>Soldadura liquida para PVC 1/4 GL</v>
      </c>
      <c r="E3835" s="108" t="str">
        <f>+'LISTA DE INSUMOS'!C650</f>
        <v>Un</v>
      </c>
      <c r="F3835" s="152">
        <v>3.5999999999999997E-2</v>
      </c>
      <c r="G3835" s="141">
        <f>+'LISTA DE INSUMOS'!E650</f>
        <v>116100.56750324999</v>
      </c>
      <c r="H3835" s="108">
        <v>1.03</v>
      </c>
      <c r="I3835" s="141">
        <f>ROUND((F3835*G3835*H3835),0)</f>
        <v>4305</v>
      </c>
      <c r="J3835" s="47"/>
      <c r="K3835" s="143"/>
    </row>
    <row r="3836" spans="2:11" ht="24.9" customHeight="1" thickBot="1" x14ac:dyDescent="0.25">
      <c r="B3836" s="673"/>
      <c r="C3836" s="108" t="str">
        <f>+'LISTA DE INSUMOS'!A290</f>
        <v>MAT259</v>
      </c>
      <c r="D3836" s="139" t="str">
        <f>+'LISTA DE INSUMOS'!B290</f>
        <v>Caja plástica conduit doble cumple norma Retie</v>
      </c>
      <c r="E3836" s="108" t="str">
        <f>+'LISTA DE INSUMOS'!C290</f>
        <v>Un</v>
      </c>
      <c r="F3836" s="176">
        <v>1</v>
      </c>
      <c r="G3836" s="141">
        <f>'LISTA DE INSUMOS'!E290</f>
        <v>1997.2676446799999</v>
      </c>
      <c r="H3836" s="205">
        <v>0</v>
      </c>
      <c r="I3836" s="141">
        <f t="shared" si="30"/>
        <v>1997</v>
      </c>
      <c r="J3836" s="47"/>
      <c r="K3836" s="143"/>
    </row>
    <row r="3837" spans="2:11" ht="24.9" customHeight="1" thickTop="1" thickBot="1" x14ac:dyDescent="0.25">
      <c r="B3837" s="191" t="s">
        <v>1310</v>
      </c>
      <c r="C3837" s="108" t="str">
        <f>+B574</f>
        <v>ITE96</v>
      </c>
      <c r="D3837" s="139" t="str">
        <f>+D574</f>
        <v>Mortero 1:3 (producción)</v>
      </c>
      <c r="E3837" s="108" t="str">
        <f>+E574</f>
        <v>M3</v>
      </c>
      <c r="F3837" s="176">
        <v>4.0000000000000001E-3</v>
      </c>
      <c r="G3837" s="141">
        <f>G574</f>
        <v>580906</v>
      </c>
      <c r="H3837" s="205">
        <v>1.05</v>
      </c>
      <c r="I3837" s="141">
        <f>ROUND((F3837*G3837*H3837),0)</f>
        <v>2440</v>
      </c>
      <c r="J3837" s="47"/>
      <c r="K3837" s="143"/>
    </row>
    <row r="3838" spans="2:11" ht="24.9" customHeight="1" thickTop="1" thickBot="1" x14ac:dyDescent="0.25">
      <c r="B3838" s="250" t="s">
        <v>1034</v>
      </c>
      <c r="C3838" s="108" t="str">
        <f>+'LISTA DE INSUMOS'!A11</f>
        <v>MOB008</v>
      </c>
      <c r="D3838" s="139" t="str">
        <f>+'LISTA DE INSUMOS'!B11</f>
        <v>Oficial eléctrico (jornal + prestaciones)</v>
      </c>
      <c r="E3838" s="108" t="str">
        <f>+'LISTA DE INSUMOS'!C11</f>
        <v>Día</v>
      </c>
      <c r="F3838" s="140">
        <v>1</v>
      </c>
      <c r="G3838" s="141">
        <f>'LISTA DE INSUMOS'!E11</f>
        <v>163723</v>
      </c>
      <c r="H3838" s="205">
        <f>1/8</f>
        <v>0.125</v>
      </c>
      <c r="I3838" s="141">
        <f>ROUND((F3838*G3838*H3838),0)</f>
        <v>20465</v>
      </c>
      <c r="J3838" s="47"/>
      <c r="K3838" s="143"/>
    </row>
    <row r="3839" spans="2:11" ht="24.9" customHeight="1" thickTop="1" thickBot="1" x14ac:dyDescent="0.25">
      <c r="B3839" s="150" t="s">
        <v>1033</v>
      </c>
      <c r="C3839" s="151" t="str">
        <f>+'LISTA DE INSUMOS'!A758</f>
        <v>EQU002</v>
      </c>
      <c r="D3839" s="146" t="str">
        <f>+'LISTA DE INSUMOS'!B758</f>
        <v>Herramienta menor (% mano obra)</v>
      </c>
      <c r="E3839" s="145" t="str">
        <f>+'LISTA DE INSUMOS'!C758</f>
        <v>%MO</v>
      </c>
      <c r="F3839" s="229">
        <v>0.01</v>
      </c>
      <c r="G3839" s="148">
        <f>I3838</f>
        <v>20465</v>
      </c>
      <c r="H3839" s="206">
        <v>0</v>
      </c>
      <c r="I3839" s="148">
        <f>ROUND((F3839*G3839),0)</f>
        <v>205</v>
      </c>
      <c r="J3839" s="47"/>
      <c r="K3839" s="143"/>
    </row>
    <row r="3840" spans="2:11" ht="24.9" customHeight="1" x14ac:dyDescent="0.2">
      <c r="B3840" s="230" t="s">
        <v>2986</v>
      </c>
      <c r="C3840" s="117"/>
      <c r="D3840" s="112" t="s">
        <v>1361</v>
      </c>
      <c r="E3840" s="117" t="s">
        <v>1435</v>
      </c>
      <c r="F3840" s="149"/>
      <c r="G3840" s="119">
        <f>ROUND(SUM(I3841:I3852),0)</f>
        <v>135255</v>
      </c>
      <c r="H3840" s="120"/>
      <c r="I3840" s="119"/>
      <c r="J3840" s="47"/>
      <c r="K3840" s="143"/>
    </row>
    <row r="3841" spans="2:11" ht="24.9" customHeight="1" x14ac:dyDescent="0.2">
      <c r="B3841" s="672" t="s">
        <v>1035</v>
      </c>
      <c r="C3841" s="108" t="str">
        <f>+'LISTA DE INSUMOS'!A86</f>
        <v>MAT047</v>
      </c>
      <c r="D3841" s="139" t="str">
        <f>+'LISTA DE INSUMOS'!B86</f>
        <v>Cinta aislante 3/4 15m 18mm</v>
      </c>
      <c r="E3841" s="108" t="str">
        <f>+'LISTA DE INSUMOS'!C86</f>
        <v>un</v>
      </c>
      <c r="F3841" s="176">
        <v>3</v>
      </c>
      <c r="G3841" s="141">
        <f>'LISTA DE INSUMOS'!E86</f>
        <v>4433.0849999999991</v>
      </c>
      <c r="H3841" s="205">
        <v>0</v>
      </c>
      <c r="I3841" s="141">
        <f t="shared" ref="I3841:I3849" si="31">ROUND((F3841*G3841),0)</f>
        <v>13299</v>
      </c>
      <c r="J3841" s="47"/>
      <c r="K3841" s="143"/>
    </row>
    <row r="3842" spans="2:11" ht="24.9" customHeight="1" x14ac:dyDescent="0.2">
      <c r="B3842" s="672"/>
      <c r="C3842" s="108" t="str">
        <f>+'LISTA DE INSUMOS'!A283</f>
        <v>MAT255</v>
      </c>
      <c r="D3842" s="139" t="str">
        <f>+'LISTA DE INSUMOS'!B283</f>
        <v>Tubería PVC conduit de 1/2"</v>
      </c>
      <c r="E3842" s="108" t="str">
        <f>+'LISTA DE INSUMOS'!C283</f>
        <v>M</v>
      </c>
      <c r="F3842" s="176">
        <v>6</v>
      </c>
      <c r="G3842" s="141">
        <f>'LISTA DE INSUMOS'!E283</f>
        <v>1172.98353908736</v>
      </c>
      <c r="H3842" s="205">
        <v>1.03</v>
      </c>
      <c r="I3842" s="141">
        <f>ROUND((F3842*G3842*H3842),0)</f>
        <v>7249</v>
      </c>
      <c r="J3842" s="47"/>
      <c r="K3842" s="143"/>
    </row>
    <row r="3843" spans="2:11" ht="24.9" customHeight="1" x14ac:dyDescent="0.2">
      <c r="B3843" s="672"/>
      <c r="C3843" s="108" t="str">
        <f>+'LISTA DE INSUMOS'!A352</f>
        <v>MAT345</v>
      </c>
      <c r="D3843" s="139" t="str">
        <f>+'LISTA DE INSUMOS'!B352</f>
        <v>Cable coaxial RG 8</v>
      </c>
      <c r="E3843" s="108" t="str">
        <f>+'LISTA DE INSUMOS'!C352</f>
        <v>M</v>
      </c>
      <c r="F3843" s="176">
        <v>6</v>
      </c>
      <c r="G3843" s="141">
        <f>'LISTA DE INSUMOS'!E352</f>
        <v>3648.92230131</v>
      </c>
      <c r="H3843" s="205">
        <v>1.03</v>
      </c>
      <c r="I3843" s="141">
        <f>ROUND((F3843*G3843*H3843),0)</f>
        <v>22550</v>
      </c>
      <c r="J3843" s="47"/>
      <c r="K3843" s="143"/>
    </row>
    <row r="3844" spans="2:11" ht="24.9" customHeight="1" x14ac:dyDescent="0.2">
      <c r="B3844" s="672"/>
      <c r="C3844" s="108" t="str">
        <f>+'LISTA DE INSUMOS'!A341</f>
        <v>MAT328</v>
      </c>
      <c r="D3844" s="139" t="str">
        <f>+'LISTA DE INSUMOS'!B341</f>
        <v>Adaptador PVC terminal de 1/2" conduit</v>
      </c>
      <c r="E3844" s="108" t="str">
        <f>+'LISTA DE INSUMOS'!C341</f>
        <v>Un</v>
      </c>
      <c r="F3844" s="176">
        <v>2</v>
      </c>
      <c r="G3844" s="141">
        <f>'LISTA DE INSUMOS'!E341</f>
        <v>4195.9404299999997</v>
      </c>
      <c r="H3844" s="205">
        <v>0</v>
      </c>
      <c r="I3844" s="141">
        <f t="shared" si="31"/>
        <v>8392</v>
      </c>
      <c r="J3844" s="47"/>
      <c r="K3844" s="143"/>
    </row>
    <row r="3845" spans="2:11" ht="20.25" customHeight="1" x14ac:dyDescent="0.2">
      <c r="B3845" s="672"/>
      <c r="C3845" s="108" t="str">
        <f>+'LISTA DE INSUMOS'!A284</f>
        <v>MAT256</v>
      </c>
      <c r="D3845" s="139" t="str">
        <f>+'LISTA DE INSUMOS'!B284</f>
        <v>Alambre cobre # 12 AWG</v>
      </c>
      <c r="E3845" s="108" t="str">
        <f>+'LISTA DE INSUMOS'!C284</f>
        <v>M</v>
      </c>
      <c r="F3845" s="176">
        <v>12</v>
      </c>
      <c r="G3845" s="141">
        <f>'LISTA DE INSUMOS'!E284</f>
        <v>2176.4055919748998</v>
      </c>
      <c r="H3845" s="205">
        <v>1.03</v>
      </c>
      <c r="I3845" s="141">
        <f>ROUND((F3845*G3845*H3845),0)</f>
        <v>26900</v>
      </c>
      <c r="J3845" s="47"/>
      <c r="K3845" s="143"/>
    </row>
    <row r="3846" spans="2:11" ht="24.9" customHeight="1" x14ac:dyDescent="0.2">
      <c r="B3846" s="672"/>
      <c r="C3846" s="108" t="str">
        <f>+'LISTA DE INSUMOS'!A255</f>
        <v>MAT224</v>
      </c>
      <c r="D3846" s="139" t="str">
        <f>+'LISTA DE INSUMOS'!B255</f>
        <v>Toma terminal coaxial tv amer.75 OHM</v>
      </c>
      <c r="E3846" s="108" t="str">
        <f>+'LISTA DE INSUMOS'!C255</f>
        <v>Un</v>
      </c>
      <c r="F3846" s="176">
        <v>1</v>
      </c>
      <c r="G3846" s="141">
        <f>'LISTA DE INSUMOS'!E255</f>
        <v>18488.638568399998</v>
      </c>
      <c r="H3846" s="205">
        <v>0</v>
      </c>
      <c r="I3846" s="141">
        <f t="shared" si="31"/>
        <v>18489</v>
      </c>
      <c r="J3846" s="47"/>
      <c r="K3846" s="143"/>
    </row>
    <row r="3847" spans="2:11" ht="24.9" customHeight="1" x14ac:dyDescent="0.2">
      <c r="B3847" s="672"/>
      <c r="C3847" s="108" t="str">
        <f>+'LISTA DE INSUMOS'!A651</f>
        <v>MAT667</v>
      </c>
      <c r="D3847" s="139" t="str">
        <f>+'LISTA DE INSUMOS'!B651</f>
        <v>Limpiador removedor PVC 1/4</v>
      </c>
      <c r="E3847" s="108" t="str">
        <f>+'LISTA DE INSUMOS'!C651</f>
        <v>Un</v>
      </c>
      <c r="F3847" s="152">
        <v>3.5999999999999997E-2</v>
      </c>
      <c r="G3847" s="141">
        <f>+'LISTA DE INSUMOS'!E651</f>
        <v>55927.469152499994</v>
      </c>
      <c r="H3847" s="108">
        <v>1.03</v>
      </c>
      <c r="I3847" s="141">
        <f>ROUND((F3847*G3847*H3847),0)</f>
        <v>2074</v>
      </c>
      <c r="J3847" s="47"/>
      <c r="K3847" s="143"/>
    </row>
    <row r="3848" spans="2:11" ht="24.9" customHeight="1" x14ac:dyDescent="0.2">
      <c r="B3848" s="672"/>
      <c r="C3848" s="108" t="str">
        <f>+'LISTA DE INSUMOS'!A650</f>
        <v>MAT666</v>
      </c>
      <c r="D3848" s="139" t="str">
        <f>+'LISTA DE INSUMOS'!B650</f>
        <v>Soldadura liquida para PVC 1/4 GL</v>
      </c>
      <c r="E3848" s="108" t="str">
        <f>+'LISTA DE INSUMOS'!C650</f>
        <v>Un</v>
      </c>
      <c r="F3848" s="152">
        <v>3.5999999999999997E-2</v>
      </c>
      <c r="G3848" s="141">
        <f>+'LISTA DE INSUMOS'!E650</f>
        <v>116100.56750324999</v>
      </c>
      <c r="H3848" s="108">
        <v>1.03</v>
      </c>
      <c r="I3848" s="141">
        <f>ROUND((F3848*G3848*H3848),0)</f>
        <v>4305</v>
      </c>
      <c r="J3848" s="47"/>
      <c r="K3848" s="143"/>
    </row>
    <row r="3849" spans="2:11" ht="20.25" customHeight="1" thickBot="1" x14ac:dyDescent="0.25">
      <c r="B3849" s="673"/>
      <c r="C3849" s="108" t="str">
        <f>+'LISTA DE INSUMOS'!A290</f>
        <v>MAT259</v>
      </c>
      <c r="D3849" s="139" t="str">
        <f>+'LISTA DE INSUMOS'!B290</f>
        <v>Caja plástica conduit doble cumple norma Retie</v>
      </c>
      <c r="E3849" s="108" t="str">
        <f>+'LISTA DE INSUMOS'!C290</f>
        <v>Un</v>
      </c>
      <c r="F3849" s="176">
        <v>1</v>
      </c>
      <c r="G3849" s="141">
        <f>'LISTA DE INSUMOS'!E290</f>
        <v>1997.2676446799999</v>
      </c>
      <c r="H3849" s="205">
        <v>0</v>
      </c>
      <c r="I3849" s="141">
        <f t="shared" si="31"/>
        <v>1997</v>
      </c>
      <c r="J3849" s="47"/>
      <c r="K3849" s="143"/>
    </row>
    <row r="3850" spans="2:11" ht="24.9" customHeight="1" thickTop="1" thickBot="1" x14ac:dyDescent="0.25">
      <c r="B3850" s="191" t="s">
        <v>1310</v>
      </c>
      <c r="C3850" s="108" t="str">
        <f>+B574</f>
        <v>ITE96</v>
      </c>
      <c r="D3850" s="139" t="str">
        <f>+D574</f>
        <v>Mortero 1:3 (producción)</v>
      </c>
      <c r="E3850" s="108" t="str">
        <f>+E574</f>
        <v>M3</v>
      </c>
      <c r="F3850" s="176">
        <v>4.0000000000000001E-3</v>
      </c>
      <c r="G3850" s="141">
        <f>G574</f>
        <v>580906</v>
      </c>
      <c r="H3850" s="205">
        <v>1.05</v>
      </c>
      <c r="I3850" s="141">
        <f>ROUND((F3850*G3850*H3850),0)</f>
        <v>2440</v>
      </c>
      <c r="J3850" s="47"/>
      <c r="K3850" s="143"/>
    </row>
    <row r="3851" spans="2:11" ht="24.9" customHeight="1" thickTop="1" thickBot="1" x14ac:dyDescent="0.25">
      <c r="B3851" s="250" t="s">
        <v>1034</v>
      </c>
      <c r="C3851" s="108" t="str">
        <f>+'LISTA DE INSUMOS'!A11</f>
        <v>MOB008</v>
      </c>
      <c r="D3851" s="139" t="str">
        <f>+'LISTA DE INSUMOS'!B11</f>
        <v>Oficial eléctrico (jornal + prestaciones)</v>
      </c>
      <c r="E3851" s="108" t="str">
        <f>+'LISTA DE INSUMOS'!C11</f>
        <v>Día</v>
      </c>
      <c r="F3851" s="140">
        <v>1</v>
      </c>
      <c r="G3851" s="141">
        <f>'LISTA DE INSUMOS'!E11</f>
        <v>163723</v>
      </c>
      <c r="H3851" s="205">
        <f>1/6</f>
        <v>0.16666666666666666</v>
      </c>
      <c r="I3851" s="141">
        <f>ROUND((F3851*G3851*H3851),0)</f>
        <v>27287</v>
      </c>
      <c r="J3851" s="47"/>
      <c r="K3851" s="143"/>
    </row>
    <row r="3852" spans="2:11" ht="24.9" customHeight="1" thickTop="1" thickBot="1" x14ac:dyDescent="0.25">
      <c r="B3852" s="150" t="s">
        <v>1033</v>
      </c>
      <c r="C3852" s="151" t="str">
        <f>+'LISTA DE INSUMOS'!A758</f>
        <v>EQU002</v>
      </c>
      <c r="D3852" s="146" t="str">
        <f>+'LISTA DE INSUMOS'!B758</f>
        <v>Herramienta menor (% mano obra)</v>
      </c>
      <c r="E3852" s="145" t="str">
        <f>+'LISTA DE INSUMOS'!C758</f>
        <v>%MO</v>
      </c>
      <c r="F3852" s="229">
        <v>0.01</v>
      </c>
      <c r="G3852" s="148">
        <f>I3851</f>
        <v>27287</v>
      </c>
      <c r="H3852" s="206">
        <v>0</v>
      </c>
      <c r="I3852" s="148">
        <f>ROUND((F3852*G3852),0)</f>
        <v>273</v>
      </c>
      <c r="J3852" s="47"/>
      <c r="K3852" s="143"/>
    </row>
    <row r="3853" spans="2:11" ht="21.75" customHeight="1" x14ac:dyDescent="0.2">
      <c r="B3853" s="230" t="s">
        <v>1808</v>
      </c>
      <c r="C3853" s="117"/>
      <c r="D3853" s="112" t="s">
        <v>2628</v>
      </c>
      <c r="E3853" s="117" t="s">
        <v>1435</v>
      </c>
      <c r="F3853" s="149"/>
      <c r="G3853" s="119">
        <f>ROUND(SUM(I3854:I3859),0)</f>
        <v>227353</v>
      </c>
      <c r="H3853" s="120"/>
      <c r="I3853" s="119"/>
      <c r="J3853" s="47"/>
      <c r="K3853" s="143"/>
    </row>
    <row r="3854" spans="2:11" ht="24.9" customHeight="1" x14ac:dyDescent="0.2">
      <c r="B3854" s="672" t="s">
        <v>1035</v>
      </c>
      <c r="C3854" s="108" t="str">
        <f>+'LISTA DE INSUMOS'!A86</f>
        <v>MAT047</v>
      </c>
      <c r="D3854" s="139" t="str">
        <f>+'LISTA DE INSUMOS'!B86</f>
        <v>Cinta aislante 3/4 15m 18mm</v>
      </c>
      <c r="E3854" s="108" t="str">
        <f>+'LISTA DE INSUMOS'!C86</f>
        <v>un</v>
      </c>
      <c r="F3854" s="176">
        <v>6</v>
      </c>
      <c r="G3854" s="141">
        <f>'LISTA DE INSUMOS'!E86</f>
        <v>4433.0849999999991</v>
      </c>
      <c r="H3854" s="205">
        <v>0</v>
      </c>
      <c r="I3854" s="141">
        <f>ROUND((F3854*G3854),0)</f>
        <v>26599</v>
      </c>
      <c r="J3854" s="47"/>
      <c r="K3854" s="143"/>
    </row>
    <row r="3855" spans="2:11" ht="24.9" customHeight="1" x14ac:dyDescent="0.2">
      <c r="B3855" s="672"/>
      <c r="C3855" s="125" t="str">
        <f>+'LISTA DE INSUMOS'!A560</f>
        <v>MAT577</v>
      </c>
      <c r="D3855" s="155" t="str">
        <f>'LISTA DE INSUMOS'!B236</f>
        <v>Tablero 6 Circuitos Square Za000611015 Schneider</v>
      </c>
      <c r="E3855" s="125" t="str">
        <f>+'LISTA DE INSUMOS'!C560</f>
        <v>Un</v>
      </c>
      <c r="F3855" s="176">
        <v>1</v>
      </c>
      <c r="G3855" s="141">
        <f>'LISTA DE INSUMOS'!E236</f>
        <v>98756.316477389992</v>
      </c>
      <c r="H3855" s="205">
        <v>0</v>
      </c>
      <c r="I3855" s="141">
        <f>ROUND((F3855*G3855),0)</f>
        <v>98756</v>
      </c>
      <c r="J3855" s="47"/>
      <c r="K3855" s="143"/>
    </row>
    <row r="3856" spans="2:11" ht="24.9" customHeight="1" x14ac:dyDescent="0.2">
      <c r="B3856" s="672"/>
      <c r="C3856" s="108" t="str">
        <f>+'LISTA DE INSUMOS'!A351</f>
        <v>MAT344</v>
      </c>
      <c r="D3856" s="139" t="str">
        <f>+'LISTA DE INSUMOS'!B351</f>
        <v>Alambre cobre #   8 AWG</v>
      </c>
      <c r="E3856" s="108" t="str">
        <f>+'LISTA DE INSUMOS'!C351</f>
        <v>M</v>
      </c>
      <c r="F3856" s="176">
        <v>6</v>
      </c>
      <c r="G3856" s="141">
        <f>'LISTA DE INSUMOS'!E351</f>
        <v>5719.3914393758996</v>
      </c>
      <c r="H3856" s="205">
        <v>1.03</v>
      </c>
      <c r="I3856" s="141">
        <f>ROUND((F3856*G3856*H3856),0)</f>
        <v>35346</v>
      </c>
      <c r="J3856" s="47"/>
      <c r="K3856" s="143"/>
    </row>
    <row r="3857" spans="2:11" ht="24.9" customHeight="1" thickBot="1" x14ac:dyDescent="0.25">
      <c r="B3857" s="673"/>
      <c r="C3857" s="108" t="str">
        <f>+'LISTA DE INSUMOS'!A197</f>
        <v>MAT157</v>
      </c>
      <c r="D3857" s="139" t="str">
        <f>+'LISTA DE INSUMOS'!B197</f>
        <v>Alambre cobre # 10 AWG</v>
      </c>
      <c r="E3857" s="108" t="str">
        <f>+'LISTA DE INSUMOS'!C197</f>
        <v>M</v>
      </c>
      <c r="F3857" s="176">
        <v>3</v>
      </c>
      <c r="G3857" s="141">
        <f>'LISTA DE INSUMOS'!E197</f>
        <v>3025.7078999999999</v>
      </c>
      <c r="H3857" s="205">
        <v>1.03</v>
      </c>
      <c r="I3857" s="141">
        <f>ROUND((F3857*G3857*H3857),0)</f>
        <v>9349</v>
      </c>
      <c r="J3857" s="47"/>
      <c r="K3857" s="143"/>
    </row>
    <row r="3858" spans="2:11" ht="24.9" customHeight="1" thickTop="1" thickBot="1" x14ac:dyDescent="0.25">
      <c r="B3858" s="250" t="s">
        <v>1034</v>
      </c>
      <c r="C3858" s="108" t="str">
        <f>+'LISTA DE INSUMOS'!A11</f>
        <v>MOB008</v>
      </c>
      <c r="D3858" s="139" t="str">
        <f>+'LISTA DE INSUMOS'!B11</f>
        <v>Oficial eléctrico (jornal + prestaciones)</v>
      </c>
      <c r="E3858" s="108" t="str">
        <f>+'LISTA DE INSUMOS'!C11</f>
        <v>Día</v>
      </c>
      <c r="F3858" s="140">
        <v>1</v>
      </c>
      <c r="G3858" s="141">
        <f>'LISTA DE INSUMOS'!E11</f>
        <v>163723</v>
      </c>
      <c r="H3858" s="205">
        <f>1/3</f>
        <v>0.33333333333333331</v>
      </c>
      <c r="I3858" s="141">
        <f>ROUND((F3858*G3858*H3858),0)</f>
        <v>54574</v>
      </c>
      <c r="J3858" s="47"/>
      <c r="K3858" s="143"/>
    </row>
    <row r="3859" spans="2:11" ht="24.9" customHeight="1" thickTop="1" thickBot="1" x14ac:dyDescent="0.25">
      <c r="B3859" s="150" t="s">
        <v>1033</v>
      </c>
      <c r="C3859" s="151" t="str">
        <f>+'LISTA DE INSUMOS'!A758</f>
        <v>EQU002</v>
      </c>
      <c r="D3859" s="146" t="str">
        <f>+'LISTA DE INSUMOS'!B758</f>
        <v>Herramienta menor (% mano obra)</v>
      </c>
      <c r="E3859" s="145" t="str">
        <f>+'LISTA DE INSUMOS'!C758</f>
        <v>%MO</v>
      </c>
      <c r="F3859" s="229">
        <v>0.05</v>
      </c>
      <c r="G3859" s="148">
        <f>I3858</f>
        <v>54574</v>
      </c>
      <c r="H3859" s="206">
        <v>0</v>
      </c>
      <c r="I3859" s="148">
        <f>ROUND((F3859*G3859),0)</f>
        <v>2729</v>
      </c>
      <c r="J3859" s="51"/>
      <c r="K3859" s="143"/>
    </row>
    <row r="3860" spans="2:11" ht="24.9" customHeight="1" x14ac:dyDescent="0.2">
      <c r="B3860" s="230" t="s">
        <v>2987</v>
      </c>
      <c r="C3860" s="117"/>
      <c r="D3860" s="112" t="s">
        <v>1373</v>
      </c>
      <c r="E3860" s="117" t="s">
        <v>1435</v>
      </c>
      <c r="F3860" s="149"/>
      <c r="G3860" s="119">
        <f>ROUND(SUM(I3861:I3866),0)</f>
        <v>397086</v>
      </c>
      <c r="H3860" s="120"/>
      <c r="I3860" s="119"/>
      <c r="J3860" s="47"/>
      <c r="K3860" s="143"/>
    </row>
    <row r="3861" spans="2:11" ht="24.9" customHeight="1" x14ac:dyDescent="0.2">
      <c r="B3861" s="672" t="s">
        <v>1035</v>
      </c>
      <c r="C3861" s="108" t="str">
        <f>+'LISTA DE INSUMOS'!A86</f>
        <v>MAT047</v>
      </c>
      <c r="D3861" s="139" t="str">
        <f>+'LISTA DE INSUMOS'!B86</f>
        <v>Cinta aislante 3/4 15m 18mm</v>
      </c>
      <c r="E3861" s="108" t="str">
        <f>+'LISTA DE INSUMOS'!C86</f>
        <v>un</v>
      </c>
      <c r="F3861" s="176">
        <v>12</v>
      </c>
      <c r="G3861" s="141">
        <f>'LISTA DE INSUMOS'!E86</f>
        <v>4433.0849999999991</v>
      </c>
      <c r="H3861" s="205">
        <v>0</v>
      </c>
      <c r="I3861" s="141">
        <f>ROUND((F3861*G3861),0)</f>
        <v>53197</v>
      </c>
      <c r="J3861" s="47"/>
      <c r="K3861" s="143"/>
    </row>
    <row r="3862" spans="2:11" ht="24.9" customHeight="1" x14ac:dyDescent="0.2">
      <c r="B3862" s="672"/>
      <c r="C3862" s="125" t="str">
        <f>+'LISTA DE INSUMOS'!A561</f>
        <v>MAT578</v>
      </c>
      <c r="D3862" s="155" t="str">
        <f>+'LISTA DE INSUMOS'!B561</f>
        <v>Tablero Trifilar Tqsp 12 Circ Monofásico</v>
      </c>
      <c r="E3862" s="125" t="str">
        <f>+'LISTA DE INSUMOS'!C561</f>
        <v>Un</v>
      </c>
      <c r="F3862" s="176">
        <v>1</v>
      </c>
      <c r="G3862" s="141">
        <f>'LISTA DE INSUMOS'!E561</f>
        <v>197194.82359305298</v>
      </c>
      <c r="H3862" s="205">
        <v>0</v>
      </c>
      <c r="I3862" s="141">
        <f>ROUND((F3862*G3862),0)</f>
        <v>197195</v>
      </c>
      <c r="J3862" s="47"/>
      <c r="K3862" s="143"/>
    </row>
    <row r="3863" spans="2:11" ht="24.9" customHeight="1" x14ac:dyDescent="0.2">
      <c r="B3863" s="672"/>
      <c r="C3863" s="108" t="str">
        <f>+'LISTA DE INSUMOS'!A351</f>
        <v>MAT344</v>
      </c>
      <c r="D3863" s="139" t="str">
        <f>+'LISTA DE INSUMOS'!B351</f>
        <v>Alambre cobre #   8 AWG</v>
      </c>
      <c r="E3863" s="108" t="str">
        <f>+'LISTA DE INSUMOS'!C351</f>
        <v>M</v>
      </c>
      <c r="F3863" s="176">
        <v>12</v>
      </c>
      <c r="G3863" s="141">
        <f>'LISTA DE INSUMOS'!E351</f>
        <v>5719.3914393758996</v>
      </c>
      <c r="H3863" s="205">
        <v>1.03</v>
      </c>
      <c r="I3863" s="141">
        <f>ROUND((F3863*G3863*H3863),0)</f>
        <v>70692</v>
      </c>
      <c r="J3863" s="47"/>
      <c r="K3863" s="143"/>
    </row>
    <row r="3864" spans="2:11" ht="24.9" customHeight="1" thickBot="1" x14ac:dyDescent="0.25">
      <c r="B3864" s="673"/>
      <c r="C3864" s="108" t="str">
        <f>+'LISTA DE INSUMOS'!A197</f>
        <v>MAT157</v>
      </c>
      <c r="D3864" s="139" t="str">
        <f>+'LISTA DE INSUMOS'!B197</f>
        <v>Alambre cobre # 10 AWG</v>
      </c>
      <c r="E3864" s="108" t="str">
        <f>+'LISTA DE INSUMOS'!C197</f>
        <v>M</v>
      </c>
      <c r="F3864" s="176">
        <v>6</v>
      </c>
      <c r="G3864" s="141">
        <f>'LISTA DE INSUMOS'!E197</f>
        <v>3025.7078999999999</v>
      </c>
      <c r="H3864" s="205">
        <v>1.03</v>
      </c>
      <c r="I3864" s="141">
        <f>ROUND((F3864*G3864*H3864),0)</f>
        <v>18699</v>
      </c>
      <c r="J3864" s="47"/>
      <c r="K3864" s="143"/>
    </row>
    <row r="3865" spans="2:11" ht="24.9" customHeight="1" thickTop="1" thickBot="1" x14ac:dyDescent="0.25">
      <c r="B3865" s="250" t="s">
        <v>1034</v>
      </c>
      <c r="C3865" s="108" t="str">
        <f>+'LISTA DE INSUMOS'!A11</f>
        <v>MOB008</v>
      </c>
      <c r="D3865" s="139" t="str">
        <f>+'LISTA DE INSUMOS'!B11</f>
        <v>Oficial eléctrico (jornal + prestaciones)</v>
      </c>
      <c r="E3865" s="108" t="str">
        <f>+'LISTA DE INSUMOS'!C11</f>
        <v>Día</v>
      </c>
      <c r="F3865" s="140">
        <v>1</v>
      </c>
      <c r="G3865" s="141">
        <f>'LISTA DE INSUMOS'!E11</f>
        <v>163723</v>
      </c>
      <c r="H3865" s="205">
        <f>1/3</f>
        <v>0.33333333333333331</v>
      </c>
      <c r="I3865" s="141">
        <f>ROUND((F3865*G3865*H3865),0)</f>
        <v>54574</v>
      </c>
      <c r="J3865" s="47"/>
      <c r="K3865" s="143"/>
    </row>
    <row r="3866" spans="2:11" ht="24.9" customHeight="1" thickTop="1" thickBot="1" x14ac:dyDescent="0.25">
      <c r="B3866" s="150" t="s">
        <v>1033</v>
      </c>
      <c r="C3866" s="151" t="str">
        <f>+'LISTA DE INSUMOS'!A758</f>
        <v>EQU002</v>
      </c>
      <c r="D3866" s="146" t="str">
        <f>+'LISTA DE INSUMOS'!B758</f>
        <v>Herramienta menor (% mano obra)</v>
      </c>
      <c r="E3866" s="145" t="str">
        <f>+'LISTA DE INSUMOS'!C758</f>
        <v>%MO</v>
      </c>
      <c r="F3866" s="229">
        <v>0.05</v>
      </c>
      <c r="G3866" s="148">
        <f>I3865</f>
        <v>54574</v>
      </c>
      <c r="H3866" s="206">
        <v>0</v>
      </c>
      <c r="I3866" s="148">
        <f>ROUND((F3866*G3866),0)</f>
        <v>2729</v>
      </c>
      <c r="J3866" s="47"/>
      <c r="K3866" s="143"/>
    </row>
    <row r="3867" spans="2:11" ht="24.9" customHeight="1" x14ac:dyDescent="0.2">
      <c r="B3867" s="230" t="s">
        <v>2988</v>
      </c>
      <c r="C3867" s="117"/>
      <c r="D3867" s="231" t="s">
        <v>1374</v>
      </c>
      <c r="E3867" s="117" t="s">
        <v>1412</v>
      </c>
      <c r="F3867" s="149"/>
      <c r="G3867" s="119">
        <f>ROUND(SUM(I3868:I3874),0)</f>
        <v>9315</v>
      </c>
      <c r="H3867" s="120"/>
      <c r="I3867" s="119"/>
      <c r="J3867" s="47"/>
      <c r="K3867" s="143"/>
    </row>
    <row r="3868" spans="2:11" ht="24.9" customHeight="1" x14ac:dyDescent="0.2">
      <c r="B3868" s="672" t="s">
        <v>1035</v>
      </c>
      <c r="C3868" s="108" t="str">
        <f>+'LISTA DE INSUMOS'!A86</f>
        <v>MAT047</v>
      </c>
      <c r="D3868" s="139" t="str">
        <f>+'LISTA DE INSUMOS'!B86</f>
        <v>Cinta aislante 3/4 15m 18mm</v>
      </c>
      <c r="E3868" s="108" t="str">
        <f>+'LISTA DE INSUMOS'!C86</f>
        <v>un</v>
      </c>
      <c r="F3868" s="176">
        <v>0.5</v>
      </c>
      <c r="G3868" s="141">
        <f>'LISTA DE INSUMOS'!E86</f>
        <v>4433.0849999999991</v>
      </c>
      <c r="H3868" s="205">
        <v>0</v>
      </c>
      <c r="I3868" s="141">
        <f>ROUND((F3868*G3868),0)</f>
        <v>2217</v>
      </c>
      <c r="J3868" s="47"/>
      <c r="K3868" s="143"/>
    </row>
    <row r="3869" spans="2:11" ht="24.9" customHeight="1" x14ac:dyDescent="0.2">
      <c r="B3869" s="672"/>
      <c r="C3869" s="108" t="str">
        <f>+'LISTA DE INSUMOS'!A283</f>
        <v>MAT255</v>
      </c>
      <c r="D3869" s="139" t="str">
        <f>+'LISTA DE INSUMOS'!B283</f>
        <v>Tubería PVC conduit de 1/2"</v>
      </c>
      <c r="E3869" s="108" t="str">
        <f>+'LISTA DE INSUMOS'!C283</f>
        <v>M</v>
      </c>
      <c r="F3869" s="176">
        <v>1</v>
      </c>
      <c r="G3869" s="141">
        <f>'LISTA DE INSUMOS'!E283</f>
        <v>1172.98353908736</v>
      </c>
      <c r="H3869" s="205">
        <v>1.03</v>
      </c>
      <c r="I3869" s="141">
        <f>ROUND((F3869*G3869*H3869),0)</f>
        <v>1208</v>
      </c>
      <c r="J3869" s="47"/>
      <c r="K3869" s="143"/>
    </row>
    <row r="3870" spans="2:11" ht="24.9" customHeight="1" x14ac:dyDescent="0.2">
      <c r="B3870" s="672"/>
      <c r="C3870" s="108" t="str">
        <f>+'LISTA DE INSUMOS'!A284</f>
        <v>MAT256</v>
      </c>
      <c r="D3870" s="139" t="str">
        <f>+'LISTA DE INSUMOS'!B284</f>
        <v>Alambre cobre # 12 AWG</v>
      </c>
      <c r="E3870" s="108" t="str">
        <f>+'LISTA DE INSUMOS'!C284</f>
        <v>M</v>
      </c>
      <c r="F3870" s="176">
        <v>2</v>
      </c>
      <c r="G3870" s="141">
        <f>'LISTA DE INSUMOS'!E284</f>
        <v>2176.4055919748998</v>
      </c>
      <c r="H3870" s="205">
        <v>1.03</v>
      </c>
      <c r="I3870" s="141">
        <f>ROUND((F3870*G3870*H3870),0)</f>
        <v>4483</v>
      </c>
      <c r="J3870" s="47"/>
      <c r="K3870" s="143"/>
    </row>
    <row r="3871" spans="2:11" ht="24.9" customHeight="1" x14ac:dyDescent="0.2">
      <c r="B3871" s="672"/>
      <c r="C3871" s="108" t="str">
        <f>+'LISTA DE INSUMOS'!A651</f>
        <v>MAT667</v>
      </c>
      <c r="D3871" s="139" t="str">
        <f>+'LISTA DE INSUMOS'!B651</f>
        <v>Limpiador removedor PVC 1/4</v>
      </c>
      <c r="E3871" s="108" t="str">
        <f>+'LISTA DE INSUMOS'!C651</f>
        <v>Un</v>
      </c>
      <c r="F3871" s="152">
        <v>6.0000000000000001E-3</v>
      </c>
      <c r="G3871" s="141">
        <f>+'LISTA DE INSUMOS'!E651</f>
        <v>55927.469152499994</v>
      </c>
      <c r="H3871" s="108">
        <v>1.03</v>
      </c>
      <c r="I3871" s="141">
        <f>ROUND((F3871*G3871*H3871),0)</f>
        <v>346</v>
      </c>
      <c r="J3871" s="47"/>
      <c r="K3871" s="143"/>
    </row>
    <row r="3872" spans="2:11" ht="24.9" customHeight="1" thickBot="1" x14ac:dyDescent="0.25">
      <c r="B3872" s="673"/>
      <c r="C3872" s="108" t="str">
        <f>+'LISTA DE INSUMOS'!A650</f>
        <v>MAT666</v>
      </c>
      <c r="D3872" s="139" t="str">
        <f>+'LISTA DE INSUMOS'!B650</f>
        <v>Soldadura liquida para PVC 1/4 GL</v>
      </c>
      <c r="E3872" s="108" t="str">
        <f>+'LISTA DE INSUMOS'!C650</f>
        <v>Un</v>
      </c>
      <c r="F3872" s="152">
        <v>6.0000000000000001E-3</v>
      </c>
      <c r="G3872" s="141">
        <f>+'LISTA DE INSUMOS'!E650</f>
        <v>116100.56750324999</v>
      </c>
      <c r="H3872" s="108">
        <v>1.03</v>
      </c>
      <c r="I3872" s="141">
        <f>ROUND((F3872*G3872*H3872),0)</f>
        <v>718</v>
      </c>
      <c r="J3872" s="47"/>
      <c r="K3872" s="143"/>
    </row>
    <row r="3873" spans="2:11" ht="24.9" customHeight="1" thickTop="1" thickBot="1" x14ac:dyDescent="0.25">
      <c r="B3873" s="250" t="s">
        <v>1034</v>
      </c>
      <c r="C3873" s="108" t="str">
        <f>+'LISTA DE INSUMOS'!A11</f>
        <v>MOB008</v>
      </c>
      <c r="D3873" s="139" t="str">
        <f>+'LISTA DE INSUMOS'!B11</f>
        <v>Oficial eléctrico (jornal + prestaciones)</v>
      </c>
      <c r="E3873" s="108" t="str">
        <f>+'LISTA DE INSUMOS'!C11</f>
        <v>Día</v>
      </c>
      <c r="F3873" s="140">
        <v>1</v>
      </c>
      <c r="G3873" s="141">
        <f>'LISTA DE INSUMOS'!E11</f>
        <v>163723</v>
      </c>
      <c r="H3873" s="219">
        <f>1/500</f>
        <v>2E-3</v>
      </c>
      <c r="I3873" s="141">
        <f>ROUND((F3873*G3873*H3873),0)</f>
        <v>327</v>
      </c>
      <c r="J3873" s="47"/>
      <c r="K3873" s="143"/>
    </row>
    <row r="3874" spans="2:11" ht="24.9" customHeight="1" thickTop="1" thickBot="1" x14ac:dyDescent="0.25">
      <c r="B3874" s="150" t="s">
        <v>1033</v>
      </c>
      <c r="C3874" s="151" t="str">
        <f>+'LISTA DE INSUMOS'!A758</f>
        <v>EQU002</v>
      </c>
      <c r="D3874" s="146" t="str">
        <f>+'LISTA DE INSUMOS'!B758</f>
        <v>Herramienta menor (% mano obra)</v>
      </c>
      <c r="E3874" s="145" t="str">
        <f>+'LISTA DE INSUMOS'!C758</f>
        <v>%MO</v>
      </c>
      <c r="F3874" s="229">
        <v>0.05</v>
      </c>
      <c r="G3874" s="148">
        <f>I3873</f>
        <v>327</v>
      </c>
      <c r="H3874" s="206">
        <v>0</v>
      </c>
      <c r="I3874" s="148">
        <f>ROUND((F3874*G3874),0)</f>
        <v>16</v>
      </c>
      <c r="J3874" s="47"/>
      <c r="K3874" s="143"/>
    </row>
    <row r="3875" spans="2:11" ht="24.9" customHeight="1" x14ac:dyDescent="0.2">
      <c r="B3875" s="230" t="s">
        <v>1741</v>
      </c>
      <c r="C3875" s="120"/>
      <c r="D3875" s="112" t="s">
        <v>1375</v>
      </c>
      <c r="E3875" s="117" t="s">
        <v>1435</v>
      </c>
      <c r="F3875" s="118"/>
      <c r="G3875" s="119">
        <f>ROUND(SUM(I3876:I3883),0)</f>
        <v>1559960</v>
      </c>
      <c r="H3875" s="120"/>
      <c r="I3875" s="119"/>
      <c r="J3875" s="47"/>
      <c r="K3875" s="143"/>
    </row>
    <row r="3876" spans="2:11" ht="24.9" customHeight="1" x14ac:dyDescent="0.2">
      <c r="B3876" s="672" t="s">
        <v>1035</v>
      </c>
      <c r="C3876" s="125" t="str">
        <f>+'LISTA DE INSUMOS'!A599</f>
        <v>MAT616</v>
      </c>
      <c r="D3876" s="155" t="str">
        <f>+'LISTA DE INSUMOS'!B599</f>
        <v xml:space="preserve">Poste de concreto 12 x 750 kg. </v>
      </c>
      <c r="E3876" s="125" t="str">
        <f>+'LISTA DE INSUMOS'!C599</f>
        <v>Un</v>
      </c>
      <c r="F3876" s="176">
        <v>1</v>
      </c>
      <c r="G3876" s="141">
        <f>'LISTA DE INSUMOS'!E599</f>
        <v>1373364.4418348384</v>
      </c>
      <c r="H3876" s="205">
        <v>0</v>
      </c>
      <c r="I3876" s="141">
        <f>ROUND((F3876*G3876),0)</f>
        <v>1373364</v>
      </c>
      <c r="J3876" s="47"/>
      <c r="K3876" s="143"/>
    </row>
    <row r="3877" spans="2:11" ht="24.9" customHeight="1" x14ac:dyDescent="0.2">
      <c r="B3877" s="672"/>
      <c r="C3877" s="108" t="str">
        <f>+'LISTA DE INSUMOS'!A431</f>
        <v>MAT446</v>
      </c>
      <c r="D3877" s="139" t="str">
        <f>+'LISTA DE INSUMOS'!B431</f>
        <v>Cinta bandit de 3/4"</v>
      </c>
      <c r="E3877" s="108" t="str">
        <f>+'LISTA DE INSUMOS'!C431</f>
        <v>M</v>
      </c>
      <c r="F3877" s="176">
        <v>2</v>
      </c>
      <c r="G3877" s="141">
        <f>'LISTA DE INSUMOS'!E431</f>
        <v>5815.573435979999</v>
      </c>
      <c r="H3877" s="205">
        <v>0</v>
      </c>
      <c r="I3877" s="141">
        <f>ROUND((F3877*G3877),0)</f>
        <v>11631</v>
      </c>
      <c r="J3877" s="47"/>
      <c r="K3877" s="143"/>
    </row>
    <row r="3878" spans="2:11" ht="24.9" customHeight="1" x14ac:dyDescent="0.2">
      <c r="B3878" s="672"/>
      <c r="C3878" s="108" t="str">
        <f>+'LISTA DE INSUMOS'!A432</f>
        <v>MAT447</v>
      </c>
      <c r="D3878" s="139" t="str">
        <f>+'LISTA DE INSUMOS'!B432</f>
        <v>Hebillas bandit 3/4"</v>
      </c>
      <c r="E3878" s="108" t="str">
        <f>+'LISTA DE INSUMOS'!C432</f>
        <v>Un</v>
      </c>
      <c r="F3878" s="176">
        <v>2</v>
      </c>
      <c r="G3878" s="141">
        <f>'LISTA DE INSUMOS'!E432</f>
        <v>1057.37698836</v>
      </c>
      <c r="H3878" s="205">
        <v>0</v>
      </c>
      <c r="I3878" s="141">
        <f>ROUND((F3878*G3878),0)</f>
        <v>2115</v>
      </c>
      <c r="J3878" s="47"/>
      <c r="K3878" s="143"/>
    </row>
    <row r="3879" spans="2:11" ht="24.9" customHeight="1" x14ac:dyDescent="0.2">
      <c r="B3879" s="672"/>
      <c r="C3879" s="108" t="str">
        <f>+'LISTA DE INSUMOS'!A437</f>
        <v>MAT452</v>
      </c>
      <c r="D3879" s="139" t="str">
        <f>+'LISTA DE INSUMOS'!B437</f>
        <v>Percha de 2 puestos</v>
      </c>
      <c r="E3879" s="108" t="str">
        <f>+'LISTA DE INSUMOS'!C437</f>
        <v>M</v>
      </c>
      <c r="F3879" s="176">
        <v>2</v>
      </c>
      <c r="G3879" s="141">
        <f>'LISTA DE INSUMOS'!E437</f>
        <v>24780.016190414099</v>
      </c>
      <c r="H3879" s="205">
        <v>0</v>
      </c>
      <c r="I3879" s="141">
        <f>ROUND((F3879*G3879),0)</f>
        <v>49560</v>
      </c>
      <c r="J3879" s="47"/>
      <c r="K3879" s="143"/>
    </row>
    <row r="3880" spans="2:11" ht="24.9" customHeight="1" thickBot="1" x14ac:dyDescent="0.25">
      <c r="B3880" s="673"/>
      <c r="C3880" s="108" t="str">
        <f>+'LISTA DE INSUMOS'!A438</f>
        <v>MAT453</v>
      </c>
      <c r="D3880" s="139" t="str">
        <f>+'LISTA DE INSUMOS'!B438</f>
        <v>Aislador yoyo de 2 1/2"</v>
      </c>
      <c r="E3880" s="108" t="str">
        <f>+'LISTA DE INSUMOS'!C438</f>
        <v>M</v>
      </c>
      <c r="F3880" s="176">
        <v>2</v>
      </c>
      <c r="G3880" s="141">
        <f>+'LISTA DE INSUMOS'!E438</f>
        <v>4371.7282501199998</v>
      </c>
      <c r="H3880" s="205">
        <v>0</v>
      </c>
      <c r="I3880" s="141">
        <f>ROUND((F3880*G3880),0)</f>
        <v>8743</v>
      </c>
      <c r="J3880" s="47"/>
      <c r="K3880" s="143"/>
    </row>
    <row r="3881" spans="2:11" ht="24.9" customHeight="1" thickTop="1" thickBot="1" x14ac:dyDescent="0.25">
      <c r="B3881" s="250" t="s">
        <v>1034</v>
      </c>
      <c r="C3881" s="125" t="str">
        <f>+'LISTA DE INSUMOS'!A24</f>
        <v>MOB021</v>
      </c>
      <c r="D3881" s="225" t="str">
        <f>+'LISTA DE INSUMOS'!B24</f>
        <v>Cuadrilla K (1Of eléctrico+2Ay eléctricos) (jornal + prestaciones)</v>
      </c>
      <c r="E3881" s="125" t="str">
        <f>+'LISTA DE INSUMOS'!C24</f>
        <v>Día</v>
      </c>
      <c r="F3881" s="176">
        <v>1</v>
      </c>
      <c r="G3881" s="141">
        <f>'LISTA DE INSUMOS'!E24</f>
        <v>425679</v>
      </c>
      <c r="H3881" s="205">
        <f>1/6</f>
        <v>0.16666666666666666</v>
      </c>
      <c r="I3881" s="141">
        <f>ROUND((F3881*G3881*H3881),0)</f>
        <v>70947</v>
      </c>
      <c r="J3881" s="47"/>
      <c r="K3881" s="143"/>
    </row>
    <row r="3882" spans="2:11" ht="24.9" customHeight="1" thickTop="1" x14ac:dyDescent="0.2">
      <c r="B3882" s="647" t="s">
        <v>1033</v>
      </c>
      <c r="C3882" s="125" t="str">
        <f>+'LISTA DE INSUMOS'!A795</f>
        <v>EQU038</v>
      </c>
      <c r="D3882" s="155" t="str">
        <f>+'LISTA DE INSUMOS'!B795</f>
        <v>Grua montacarga</v>
      </c>
      <c r="E3882" s="125" t="str">
        <f>+'LISTA DE INSUMOS'!C795</f>
        <v>Hr</v>
      </c>
      <c r="F3882" s="176">
        <v>1</v>
      </c>
      <c r="G3882" s="141">
        <f>'LISTA DE INSUMOS'!E795</f>
        <v>80105.478023999996</v>
      </c>
      <c r="H3882" s="205">
        <f>1/2</f>
        <v>0.5</v>
      </c>
      <c r="I3882" s="141">
        <f>ROUND((F3882*G3882*H3882),0)</f>
        <v>40053</v>
      </c>
      <c r="J3882" s="47"/>
      <c r="K3882" s="143"/>
    </row>
    <row r="3883" spans="2:11" ht="24.9" customHeight="1" thickBot="1" x14ac:dyDescent="0.25">
      <c r="B3883" s="704"/>
      <c r="C3883" s="145" t="str">
        <f>+'LISTA DE INSUMOS'!A758</f>
        <v>EQU002</v>
      </c>
      <c r="D3883" s="146" t="str">
        <f>+'LISTA DE INSUMOS'!B758</f>
        <v>Herramienta menor (% mano obra)</v>
      </c>
      <c r="E3883" s="145" t="str">
        <f>+'LISTA DE INSUMOS'!C758</f>
        <v>%MO</v>
      </c>
      <c r="F3883" s="229">
        <v>0.05</v>
      </c>
      <c r="G3883" s="148">
        <f>I3881</f>
        <v>70947</v>
      </c>
      <c r="H3883" s="206">
        <v>0</v>
      </c>
      <c r="I3883" s="148">
        <f>ROUND((F3883*G3883),0)</f>
        <v>3547</v>
      </c>
      <c r="J3883" s="47"/>
      <c r="K3883" s="143"/>
    </row>
    <row r="3884" spans="2:11" ht="24.9" customHeight="1" x14ac:dyDescent="0.2">
      <c r="B3884" s="193" t="s">
        <v>2989</v>
      </c>
      <c r="C3884" s="120"/>
      <c r="D3884" s="112" t="s">
        <v>1864</v>
      </c>
      <c r="E3884" s="117" t="s">
        <v>1435</v>
      </c>
      <c r="F3884" s="118"/>
      <c r="G3884" s="119">
        <f>ROUND(SUM(I3885:I3892),0)</f>
        <v>1156444</v>
      </c>
      <c r="H3884" s="120"/>
      <c r="I3884" s="119"/>
      <c r="J3884" s="47"/>
      <c r="K3884" s="143"/>
    </row>
    <row r="3885" spans="2:11" ht="24.9" customHeight="1" x14ac:dyDescent="0.2">
      <c r="B3885" s="672" t="s">
        <v>1035</v>
      </c>
      <c r="C3885" s="125" t="str">
        <f>+'LISTA DE INSUMOS'!A600</f>
        <v>MAT617</v>
      </c>
      <c r="D3885" s="155" t="str">
        <f>+'LISTA DE INSUMOS'!B600</f>
        <v xml:space="preserve">Poste de concreto 9 x 510 kg. </v>
      </c>
      <c r="E3885" s="125" t="str">
        <f>+'LISTA DE INSUMOS'!C600</f>
        <v>Un</v>
      </c>
      <c r="F3885" s="176">
        <v>1</v>
      </c>
      <c r="G3885" s="141">
        <f>'LISTA DE INSUMOS'!E600</f>
        <v>969847.57301998488</v>
      </c>
      <c r="H3885" s="205">
        <v>0</v>
      </c>
      <c r="I3885" s="141">
        <f>ROUND((F3885*G3885),0)</f>
        <v>969848</v>
      </c>
      <c r="J3885" s="47"/>
      <c r="K3885" s="143"/>
    </row>
    <row r="3886" spans="2:11" ht="24.9" customHeight="1" x14ac:dyDescent="0.2">
      <c r="B3886" s="672"/>
      <c r="C3886" s="108" t="str">
        <f>+'LISTA DE INSUMOS'!A431</f>
        <v>MAT446</v>
      </c>
      <c r="D3886" s="139" t="str">
        <f>+'LISTA DE INSUMOS'!B431</f>
        <v>Cinta bandit de 3/4"</v>
      </c>
      <c r="E3886" s="108" t="str">
        <f>+'LISTA DE INSUMOS'!C431</f>
        <v>M</v>
      </c>
      <c r="F3886" s="176">
        <v>2</v>
      </c>
      <c r="G3886" s="141">
        <f>'LISTA DE INSUMOS'!E431</f>
        <v>5815.573435979999</v>
      </c>
      <c r="H3886" s="205">
        <v>0</v>
      </c>
      <c r="I3886" s="141">
        <f>ROUND((F3886*G3886),0)</f>
        <v>11631</v>
      </c>
      <c r="J3886" s="47"/>
      <c r="K3886" s="143"/>
    </row>
    <row r="3887" spans="2:11" ht="24.9" customHeight="1" x14ac:dyDescent="0.2">
      <c r="B3887" s="672"/>
      <c r="C3887" s="108" t="str">
        <f>+'LISTA DE INSUMOS'!A432</f>
        <v>MAT447</v>
      </c>
      <c r="D3887" s="139" t="str">
        <f>+'LISTA DE INSUMOS'!B432</f>
        <v>Hebillas bandit 3/4"</v>
      </c>
      <c r="E3887" s="108" t="str">
        <f>+'LISTA DE INSUMOS'!C432</f>
        <v>Un</v>
      </c>
      <c r="F3887" s="176">
        <v>2</v>
      </c>
      <c r="G3887" s="141">
        <f>'LISTA DE INSUMOS'!E432</f>
        <v>1057.37698836</v>
      </c>
      <c r="H3887" s="205">
        <v>0</v>
      </c>
      <c r="I3887" s="141">
        <f>ROUND((F3887*G3887),0)</f>
        <v>2115</v>
      </c>
      <c r="J3887" s="47"/>
      <c r="K3887" s="143"/>
    </row>
    <row r="3888" spans="2:11" ht="24.9" customHeight="1" x14ac:dyDescent="0.2">
      <c r="B3888" s="672"/>
      <c r="C3888" s="108" t="str">
        <f>+'LISTA DE INSUMOS'!A437</f>
        <v>MAT452</v>
      </c>
      <c r="D3888" s="139" t="str">
        <f>+'LISTA DE INSUMOS'!B437</f>
        <v>Percha de 2 puestos</v>
      </c>
      <c r="E3888" s="108" t="str">
        <f>+'LISTA DE INSUMOS'!C437</f>
        <v>M</v>
      </c>
      <c r="F3888" s="176">
        <v>2</v>
      </c>
      <c r="G3888" s="141">
        <f>'LISTA DE INSUMOS'!E437</f>
        <v>24780.016190414099</v>
      </c>
      <c r="H3888" s="205">
        <v>0</v>
      </c>
      <c r="I3888" s="141">
        <f>ROUND((F3888*G3888),0)</f>
        <v>49560</v>
      </c>
      <c r="J3888" s="47"/>
      <c r="K3888" s="143"/>
    </row>
    <row r="3889" spans="2:11" ht="24.9" customHeight="1" thickBot="1" x14ac:dyDescent="0.25">
      <c r="B3889" s="673"/>
      <c r="C3889" s="108" t="str">
        <f>+'LISTA DE INSUMOS'!A438</f>
        <v>MAT453</v>
      </c>
      <c r="D3889" s="139" t="str">
        <f>+'LISTA DE INSUMOS'!B438</f>
        <v>Aislador yoyo de 2 1/2"</v>
      </c>
      <c r="E3889" s="108" t="str">
        <f>+'LISTA DE INSUMOS'!C438</f>
        <v>M</v>
      </c>
      <c r="F3889" s="176">
        <v>2</v>
      </c>
      <c r="G3889" s="141">
        <f>'LISTA DE INSUMOS'!E438</f>
        <v>4371.7282501199998</v>
      </c>
      <c r="H3889" s="205">
        <v>0</v>
      </c>
      <c r="I3889" s="141">
        <f>ROUND((F3889*G3889),0)</f>
        <v>8743</v>
      </c>
      <c r="J3889" s="47"/>
      <c r="K3889" s="143"/>
    </row>
    <row r="3890" spans="2:11" ht="24.9" customHeight="1" thickTop="1" thickBot="1" x14ac:dyDescent="0.25">
      <c r="B3890" s="250" t="s">
        <v>1034</v>
      </c>
      <c r="C3890" s="125" t="str">
        <f>+'LISTA DE INSUMOS'!A24</f>
        <v>MOB021</v>
      </c>
      <c r="D3890" s="225" t="str">
        <f>+'LISTA DE INSUMOS'!B24</f>
        <v>Cuadrilla K (1Of eléctrico+2Ay eléctricos) (jornal + prestaciones)</v>
      </c>
      <c r="E3890" s="125" t="str">
        <f>+'LISTA DE INSUMOS'!C24</f>
        <v>Día</v>
      </c>
      <c r="F3890" s="176">
        <v>1</v>
      </c>
      <c r="G3890" s="141">
        <f>'LISTA DE INSUMOS'!E24</f>
        <v>425679</v>
      </c>
      <c r="H3890" s="205">
        <f>1/6</f>
        <v>0.16666666666666666</v>
      </c>
      <c r="I3890" s="141">
        <f>ROUND((F3890*G3890*H3890),0)</f>
        <v>70947</v>
      </c>
      <c r="J3890" s="47"/>
      <c r="K3890" s="143"/>
    </row>
    <row r="3891" spans="2:11" ht="24.9" customHeight="1" thickTop="1" x14ac:dyDescent="0.2">
      <c r="B3891" s="647" t="s">
        <v>1033</v>
      </c>
      <c r="C3891" s="125" t="str">
        <f>+'LISTA DE INSUMOS'!A795</f>
        <v>EQU038</v>
      </c>
      <c r="D3891" s="155" t="str">
        <f>+'LISTA DE INSUMOS'!B795</f>
        <v>Grua montacarga</v>
      </c>
      <c r="E3891" s="125" t="str">
        <f>+'LISTA DE INSUMOS'!C795</f>
        <v>Hr</v>
      </c>
      <c r="F3891" s="176">
        <v>1</v>
      </c>
      <c r="G3891" s="141">
        <f>'LISTA DE INSUMOS'!E795</f>
        <v>80105.478023999996</v>
      </c>
      <c r="H3891" s="205">
        <f>1/2</f>
        <v>0.5</v>
      </c>
      <c r="I3891" s="141">
        <f>ROUND((F3891*G3891*H3891),0)</f>
        <v>40053</v>
      </c>
      <c r="J3891" s="47"/>
      <c r="K3891" s="143"/>
    </row>
    <row r="3892" spans="2:11" ht="24.9" customHeight="1" thickBot="1" x14ac:dyDescent="0.25">
      <c r="B3892" s="704"/>
      <c r="C3892" s="145" t="str">
        <f>+'LISTA DE INSUMOS'!A758</f>
        <v>EQU002</v>
      </c>
      <c r="D3892" s="146" t="str">
        <f>+'LISTA DE INSUMOS'!B758</f>
        <v>Herramienta menor (% mano obra)</v>
      </c>
      <c r="E3892" s="145" t="str">
        <f>+'LISTA DE INSUMOS'!C758</f>
        <v>%MO</v>
      </c>
      <c r="F3892" s="229">
        <v>0.05</v>
      </c>
      <c r="G3892" s="148">
        <f>I3890</f>
        <v>70947</v>
      </c>
      <c r="H3892" s="206">
        <v>0</v>
      </c>
      <c r="I3892" s="148">
        <f>ROUND((F3892*G3892),0)</f>
        <v>3547</v>
      </c>
      <c r="J3892" s="47"/>
      <c r="K3892" s="143"/>
    </row>
    <row r="3893" spans="2:11" s="317" customFormat="1" ht="24.9" hidden="1" customHeight="1" x14ac:dyDescent="0.2">
      <c r="B3893" s="353" t="s">
        <v>1723</v>
      </c>
      <c r="C3893" s="319"/>
      <c r="D3893" s="320" t="s">
        <v>1362</v>
      </c>
      <c r="E3893" s="319" t="s">
        <v>1435</v>
      </c>
      <c r="F3893" s="332"/>
      <c r="G3893" s="312">
        <f>ROUND(SUM(I3894:I3895),0)</f>
        <v>8268</v>
      </c>
      <c r="H3893" s="322"/>
      <c r="I3893" s="312"/>
      <c r="J3893" s="313"/>
      <c r="K3893" s="323"/>
    </row>
    <row r="3894" spans="2:11" s="317" customFormat="1" ht="24.9" hidden="1" customHeight="1" thickBot="1" x14ac:dyDescent="0.25">
      <c r="B3894" s="372" t="s">
        <v>1034</v>
      </c>
      <c r="C3894" s="322" t="str">
        <f>+'LISTA DE INSUMOS'!A11</f>
        <v>MOB008</v>
      </c>
      <c r="D3894" s="324" t="str">
        <f>+'LISTA DE INSUMOS'!B11</f>
        <v>Oficial eléctrico (jornal + prestaciones)</v>
      </c>
      <c r="E3894" s="322" t="str">
        <f>+'LISTA DE INSUMOS'!C11</f>
        <v>Día</v>
      </c>
      <c r="F3894" s="325">
        <v>1</v>
      </c>
      <c r="G3894" s="312">
        <f>'LISTA DE INSUMOS'!E11</f>
        <v>163723</v>
      </c>
      <c r="H3894" s="349">
        <f>1/20</f>
        <v>0.05</v>
      </c>
      <c r="I3894" s="312">
        <f>ROUND((F3894*G3894*H3894),0)</f>
        <v>8186</v>
      </c>
      <c r="J3894" s="313"/>
      <c r="K3894" s="323"/>
    </row>
    <row r="3895" spans="2:11" s="317" customFormat="1" ht="24.9" hidden="1" customHeight="1" thickTop="1" thickBot="1" x14ac:dyDescent="0.25">
      <c r="B3895" s="255" t="s">
        <v>1033</v>
      </c>
      <c r="C3895" s="327" t="str">
        <f>+'LISTA DE INSUMOS'!A758</f>
        <v>EQU002</v>
      </c>
      <c r="D3895" s="328" t="str">
        <f>+'LISTA DE INSUMOS'!B758</f>
        <v>Herramienta menor (% mano obra)</v>
      </c>
      <c r="E3895" s="329" t="str">
        <f>+'LISTA DE INSUMOS'!C758</f>
        <v>%MO</v>
      </c>
      <c r="F3895" s="362">
        <v>0.01</v>
      </c>
      <c r="G3895" s="331">
        <f>I3894</f>
        <v>8186</v>
      </c>
      <c r="H3895" s="350">
        <v>0</v>
      </c>
      <c r="I3895" s="331">
        <f>ROUND((F3895*G3895),0)</f>
        <v>82</v>
      </c>
      <c r="J3895" s="313"/>
      <c r="K3895" s="323"/>
    </row>
    <row r="3896" spans="2:11" s="317" customFormat="1" ht="24.9" hidden="1" customHeight="1" x14ac:dyDescent="0.2">
      <c r="B3896" s="319" t="s">
        <v>1727</v>
      </c>
      <c r="C3896" s="319"/>
      <c r="D3896" s="320" t="s">
        <v>1918</v>
      </c>
      <c r="E3896" s="319" t="s">
        <v>1435</v>
      </c>
      <c r="F3896" s="332"/>
      <c r="G3896" s="312">
        <f>ROUND(SUM(I3897:I3898),0)</f>
        <v>7516</v>
      </c>
      <c r="H3896" s="322"/>
      <c r="I3896" s="312"/>
      <c r="J3896" s="313"/>
      <c r="K3896" s="323"/>
    </row>
    <row r="3897" spans="2:11" s="317" customFormat="1" ht="24.9" hidden="1" customHeight="1" thickBot="1" x14ac:dyDescent="0.25">
      <c r="B3897" s="372" t="s">
        <v>1034</v>
      </c>
      <c r="C3897" s="322" t="str">
        <f>+'LISTA DE INSUMOS'!A11</f>
        <v>MOB008</v>
      </c>
      <c r="D3897" s="324" t="str">
        <f>+'LISTA DE INSUMOS'!B11</f>
        <v>Oficial eléctrico (jornal + prestaciones)</v>
      </c>
      <c r="E3897" s="322" t="str">
        <f>+'LISTA DE INSUMOS'!C11</f>
        <v>Día</v>
      </c>
      <c r="F3897" s="325">
        <v>1</v>
      </c>
      <c r="G3897" s="312">
        <f>'LISTA DE INSUMOS'!E11</f>
        <v>163723</v>
      </c>
      <c r="H3897" s="322">
        <f>1/22</f>
        <v>4.5454545454545456E-2</v>
      </c>
      <c r="I3897" s="312">
        <f>ROUND((F3897*G3897*H3897),0)</f>
        <v>7442</v>
      </c>
      <c r="J3897" s="313"/>
      <c r="K3897" s="323"/>
    </row>
    <row r="3898" spans="2:11" s="317" customFormat="1" ht="24.9" hidden="1" customHeight="1" thickTop="1" thickBot="1" x14ac:dyDescent="0.25">
      <c r="B3898" s="255" t="s">
        <v>1033</v>
      </c>
      <c r="C3898" s="327" t="str">
        <f>+'LISTA DE INSUMOS'!A758</f>
        <v>EQU002</v>
      </c>
      <c r="D3898" s="328" t="str">
        <f>+'LISTA DE INSUMOS'!B758</f>
        <v>Herramienta menor (% mano obra)</v>
      </c>
      <c r="E3898" s="329" t="str">
        <f>+'LISTA DE INSUMOS'!C758</f>
        <v>%MO</v>
      </c>
      <c r="F3898" s="330">
        <v>0.01</v>
      </c>
      <c r="G3898" s="331">
        <f>I3897</f>
        <v>7442</v>
      </c>
      <c r="H3898" s="329">
        <v>0</v>
      </c>
      <c r="I3898" s="331">
        <f>ROUND((F3898*G3898),0)</f>
        <v>74</v>
      </c>
      <c r="J3898" s="313"/>
      <c r="K3898" s="323"/>
    </row>
    <row r="3899" spans="2:11" ht="24.9" customHeight="1" x14ac:dyDescent="0.2">
      <c r="B3899" s="230" t="s">
        <v>2990</v>
      </c>
      <c r="C3899" s="117"/>
      <c r="D3899" s="112" t="s">
        <v>1447</v>
      </c>
      <c r="E3899" s="117" t="s">
        <v>1435</v>
      </c>
      <c r="F3899" s="149"/>
      <c r="G3899" s="119">
        <f>ROUND(SUM(I3900:I3901),0)</f>
        <v>94387</v>
      </c>
      <c r="H3899" s="120"/>
      <c r="I3899" s="119"/>
      <c r="J3899" s="47"/>
      <c r="K3899" s="143"/>
    </row>
    <row r="3900" spans="2:11" ht="24.9" customHeight="1" x14ac:dyDescent="0.2">
      <c r="B3900" s="261" t="s">
        <v>1325</v>
      </c>
      <c r="C3900" s="108" t="str">
        <f>+'LISTA DE INSUMOS'!A469</f>
        <v>MAT487</v>
      </c>
      <c r="D3900" s="139" t="str">
        <f>+'LISTA DE INSUMOS'!B469</f>
        <v>Bala fluorescente 1 luz vidrio opaco</v>
      </c>
      <c r="E3900" s="108" t="str">
        <f>+'LISTA DE INSUMOS'!C469</f>
        <v>Un</v>
      </c>
      <c r="F3900" s="140">
        <v>1</v>
      </c>
      <c r="G3900" s="141">
        <f>'LISTA DE INSUMOS'!E469</f>
        <v>53456.281078199994</v>
      </c>
      <c r="H3900" s="108">
        <v>0</v>
      </c>
      <c r="I3900" s="141">
        <f>ROUND((F3900*G3900),0)</f>
        <v>53456</v>
      </c>
      <c r="J3900" s="47"/>
      <c r="K3900" s="143"/>
    </row>
    <row r="3901" spans="2:11" ht="24.9" customHeight="1" thickBot="1" x14ac:dyDescent="0.25">
      <c r="B3901" s="250" t="s">
        <v>2527</v>
      </c>
      <c r="C3901" s="151" t="str">
        <f>+'LISTA DE INSUMOS'!A11</f>
        <v>MOB008</v>
      </c>
      <c r="D3901" s="146" t="str">
        <f>+'LISTA DE INSUMOS'!B11</f>
        <v>Oficial eléctrico (jornal + prestaciones)</v>
      </c>
      <c r="E3901" s="145" t="str">
        <f>+'LISTA DE INSUMOS'!C11</f>
        <v>Día</v>
      </c>
      <c r="F3901" s="147">
        <v>1</v>
      </c>
      <c r="G3901" s="148">
        <f>+'LISTA DE INSUMOS'!E11</f>
        <v>163723</v>
      </c>
      <c r="H3901" s="145">
        <f>1/4</f>
        <v>0.25</v>
      </c>
      <c r="I3901" s="148">
        <f>ROUND((F3901*G3901*H3901),0)</f>
        <v>40931</v>
      </c>
      <c r="J3901" s="47"/>
      <c r="K3901" s="143"/>
    </row>
    <row r="3902" spans="2:11" ht="24.9" customHeight="1" x14ac:dyDescent="0.2">
      <c r="B3902" s="230" t="s">
        <v>1932</v>
      </c>
      <c r="C3902" s="117"/>
      <c r="D3902" s="112" t="s">
        <v>1448</v>
      </c>
      <c r="E3902" s="117" t="s">
        <v>1435</v>
      </c>
      <c r="F3902" s="149"/>
      <c r="G3902" s="119">
        <f>ROUND(SUM(I3903:I3904),0)</f>
        <v>71636</v>
      </c>
      <c r="H3902" s="120"/>
      <c r="I3902" s="119"/>
      <c r="J3902" s="47"/>
      <c r="K3902" s="143"/>
    </row>
    <row r="3903" spans="2:11" ht="24.9" customHeight="1" x14ac:dyDescent="0.2">
      <c r="B3903" s="261" t="s">
        <v>1325</v>
      </c>
      <c r="C3903" s="108" t="str">
        <f>+'LISTA DE INSUMOS'!A470</f>
        <v>MAT488</v>
      </c>
      <c r="D3903" s="139" t="str">
        <f>+'LISTA DE INSUMOS'!B470</f>
        <v>Bala incandescente especular prismática 9 cm</v>
      </c>
      <c r="E3903" s="108" t="str">
        <f>+'LISTA DE INSUMOS'!C470</f>
        <v>Un</v>
      </c>
      <c r="F3903" s="140">
        <v>1</v>
      </c>
      <c r="G3903" s="141">
        <f>'LISTA DE INSUMOS'!E470</f>
        <v>30704.935392321961</v>
      </c>
      <c r="H3903" s="108">
        <v>0</v>
      </c>
      <c r="I3903" s="141">
        <f>ROUND((F3903*G3903),0)</f>
        <v>30705</v>
      </c>
      <c r="J3903" s="47"/>
      <c r="K3903" s="143"/>
    </row>
    <row r="3904" spans="2:11" ht="24.9" customHeight="1" thickBot="1" x14ac:dyDescent="0.25">
      <c r="B3904" s="250" t="s">
        <v>2527</v>
      </c>
      <c r="C3904" s="151" t="str">
        <f>+'LISTA DE INSUMOS'!A11</f>
        <v>MOB008</v>
      </c>
      <c r="D3904" s="146" t="str">
        <f>+'LISTA DE INSUMOS'!B11</f>
        <v>Oficial eléctrico (jornal + prestaciones)</v>
      </c>
      <c r="E3904" s="145" t="str">
        <f>+'LISTA DE INSUMOS'!C11</f>
        <v>Día</v>
      </c>
      <c r="F3904" s="147">
        <v>1</v>
      </c>
      <c r="G3904" s="148">
        <f>'LISTA DE INSUMOS'!E11</f>
        <v>163723</v>
      </c>
      <c r="H3904" s="145">
        <f>1/4</f>
        <v>0.25</v>
      </c>
      <c r="I3904" s="148">
        <f>ROUND((F3904*G3904*H3904),0)</f>
        <v>40931</v>
      </c>
      <c r="J3904" s="47"/>
      <c r="K3904" s="143"/>
    </row>
    <row r="3905" spans="2:11" s="317" customFormat="1" ht="24.9" hidden="1" customHeight="1" x14ac:dyDescent="0.2">
      <c r="B3905" s="319" t="s">
        <v>1494</v>
      </c>
      <c r="C3905" s="322"/>
      <c r="D3905" s="320" t="s">
        <v>1443</v>
      </c>
      <c r="E3905" s="319" t="s">
        <v>1435</v>
      </c>
      <c r="F3905" s="321"/>
      <c r="G3905" s="312">
        <f>ROUND(SUM(I3906:I3915),0)</f>
        <v>204192</v>
      </c>
      <c r="H3905" s="322"/>
      <c r="I3905" s="312"/>
      <c r="J3905" s="313"/>
      <c r="K3905" s="323"/>
    </row>
    <row r="3906" spans="2:11" s="317" customFormat="1" ht="24.9" hidden="1" customHeight="1" x14ac:dyDescent="0.2">
      <c r="B3906" s="691" t="s">
        <v>1035</v>
      </c>
      <c r="C3906" s="322" t="str">
        <f>+'LISTA DE INSUMOS'!A429</f>
        <v>MAT444</v>
      </c>
      <c r="D3906" s="324" t="str">
        <f>+'LISTA DE INSUMOS'!B429</f>
        <v>Cable de cobre THWN No.   8</v>
      </c>
      <c r="E3906" s="322" t="str">
        <f>+'LISTA DE INSUMOS'!C429</f>
        <v>M</v>
      </c>
      <c r="F3906" s="321">
        <v>12</v>
      </c>
      <c r="G3906" s="312">
        <f>+'LISTA DE INSUMOS'!E429</f>
        <v>5719.3914393758996</v>
      </c>
      <c r="H3906" s="349">
        <v>1.03</v>
      </c>
      <c r="I3906" s="312">
        <f>ROUND((F3906*G3906*H3906),0)</f>
        <v>70692</v>
      </c>
      <c r="J3906" s="313"/>
      <c r="K3906" s="323"/>
    </row>
    <row r="3907" spans="2:11" s="317" customFormat="1" ht="24.9" hidden="1" customHeight="1" x14ac:dyDescent="0.2">
      <c r="B3907" s="691"/>
      <c r="C3907" s="322" t="str">
        <f>+'LISTA DE INSUMOS'!A430</f>
        <v>MAT445</v>
      </c>
      <c r="D3907" s="324" t="str">
        <f>+'LISTA DE INSUMOS'!B430</f>
        <v>Curva conduit PVC de 3/4"</v>
      </c>
      <c r="E3907" s="322" t="str">
        <f>+'LISTA DE INSUMOS'!C430</f>
        <v>Un</v>
      </c>
      <c r="F3907" s="321">
        <v>1</v>
      </c>
      <c r="G3907" s="312">
        <f>'LISTA DE INSUMOS'!E430</f>
        <v>2702.18563692</v>
      </c>
      <c r="H3907" s="349">
        <v>0</v>
      </c>
      <c r="I3907" s="312">
        <f>ROUND((F3907*G3907),0)</f>
        <v>2702</v>
      </c>
      <c r="J3907" s="313"/>
      <c r="K3907" s="323"/>
    </row>
    <row r="3908" spans="2:11" s="317" customFormat="1" ht="24.9" hidden="1" customHeight="1" x14ac:dyDescent="0.2">
      <c r="B3908" s="691"/>
      <c r="C3908" s="322" t="str">
        <f>+'LISTA DE INSUMOS'!A431</f>
        <v>MAT446</v>
      </c>
      <c r="D3908" s="324" t="str">
        <f>+'LISTA DE INSUMOS'!B431</f>
        <v>Cinta bandit de 3/4"</v>
      </c>
      <c r="E3908" s="322" t="str">
        <f>+'LISTA DE INSUMOS'!C431</f>
        <v>M</v>
      </c>
      <c r="F3908" s="321">
        <v>2</v>
      </c>
      <c r="G3908" s="312">
        <f>'LISTA DE INSUMOS'!E431</f>
        <v>5815.573435979999</v>
      </c>
      <c r="H3908" s="349">
        <v>0</v>
      </c>
      <c r="I3908" s="312">
        <f>ROUND((F3908*G3908),0)</f>
        <v>11631</v>
      </c>
      <c r="J3908" s="313"/>
      <c r="K3908" s="323"/>
    </row>
    <row r="3909" spans="2:11" s="317" customFormat="1" ht="24.9" hidden="1" customHeight="1" x14ac:dyDescent="0.2">
      <c r="B3909" s="691"/>
      <c r="C3909" s="322" t="str">
        <f>+'LISTA DE INSUMOS'!A432</f>
        <v>MAT447</v>
      </c>
      <c r="D3909" s="324" t="str">
        <f>+'LISTA DE INSUMOS'!B432</f>
        <v>Hebillas bandit 3/4"</v>
      </c>
      <c r="E3909" s="322" t="str">
        <f>+'LISTA DE INSUMOS'!C432</f>
        <v>Un</v>
      </c>
      <c r="F3909" s="321">
        <v>2</v>
      </c>
      <c r="G3909" s="312">
        <f>'LISTA DE INSUMOS'!E432</f>
        <v>1057.37698836</v>
      </c>
      <c r="H3909" s="349">
        <v>0</v>
      </c>
      <c r="I3909" s="312">
        <f>ROUND((F3909*G3909),0)</f>
        <v>2115</v>
      </c>
      <c r="J3909" s="313"/>
      <c r="K3909" s="323"/>
    </row>
    <row r="3910" spans="2:11" s="317" customFormat="1" ht="24.9" hidden="1" customHeight="1" x14ac:dyDescent="0.2">
      <c r="B3910" s="691"/>
      <c r="C3910" s="322" t="str">
        <f>+'LISTA DE INSUMOS'!A433</f>
        <v>MAT448</v>
      </c>
      <c r="D3910" s="324" t="str">
        <f>+'LISTA DE INSUMOS'!B433</f>
        <v>Tubo EMT 3/4" (por 3 m)</v>
      </c>
      <c r="E3910" s="322" t="str">
        <f>+'LISTA DE INSUMOS'!C433</f>
        <v>Un</v>
      </c>
      <c r="F3910" s="321">
        <v>2</v>
      </c>
      <c r="G3910" s="312">
        <f>'LISTA DE INSUMOS'!E433</f>
        <v>36567.620847450002</v>
      </c>
      <c r="H3910" s="349">
        <v>1.05</v>
      </c>
      <c r="I3910" s="312">
        <f>ROUND((F3910*G3910*H3910),0)</f>
        <v>76792</v>
      </c>
      <c r="J3910" s="313"/>
      <c r="K3910" s="323"/>
    </row>
    <row r="3911" spans="2:11" s="317" customFormat="1" ht="24.9" hidden="1" customHeight="1" x14ac:dyDescent="0.2">
      <c r="B3911" s="691"/>
      <c r="C3911" s="322" t="str">
        <f>+'LISTA DE INSUMOS'!A434</f>
        <v>MAT449</v>
      </c>
      <c r="D3911" s="324" t="str">
        <f>+'LISTA DE INSUMOS'!B434</f>
        <v>Unión EMT 3/4"</v>
      </c>
      <c r="E3911" s="322" t="str">
        <f>+'LISTA DE INSUMOS'!C434</f>
        <v>Un</v>
      </c>
      <c r="F3911" s="321">
        <v>1</v>
      </c>
      <c r="G3911" s="312">
        <f>'LISTA DE INSUMOS'!E434</f>
        <v>4105.8381302399994</v>
      </c>
      <c r="H3911" s="349">
        <v>0</v>
      </c>
      <c r="I3911" s="312">
        <f>ROUND((F3911*G3911),0)</f>
        <v>4106</v>
      </c>
      <c r="J3911" s="313"/>
      <c r="K3911" s="323"/>
    </row>
    <row r="3912" spans="2:11" s="317" customFormat="1" ht="24.9" hidden="1" customHeight="1" x14ac:dyDescent="0.2">
      <c r="B3912" s="691"/>
      <c r="C3912" s="322" t="str">
        <f>+'LISTA DE INSUMOS'!A651</f>
        <v>MAT667</v>
      </c>
      <c r="D3912" s="324" t="str">
        <f>+'LISTA DE INSUMOS'!B651</f>
        <v>Limpiador removedor PVC 1/4</v>
      </c>
      <c r="E3912" s="322" t="str">
        <f>+'LISTA DE INSUMOS'!C651</f>
        <v>Un</v>
      </c>
      <c r="F3912" s="351">
        <v>0.01</v>
      </c>
      <c r="G3912" s="312">
        <f>+'LISTA DE INSUMOS'!E651</f>
        <v>55927.469152499994</v>
      </c>
      <c r="H3912" s="322">
        <v>1.03</v>
      </c>
      <c r="I3912" s="312">
        <f>ROUND((F3912*G3912*H3912),0)</f>
        <v>576</v>
      </c>
      <c r="J3912" s="313"/>
      <c r="K3912" s="323"/>
    </row>
    <row r="3913" spans="2:11" s="317" customFormat="1" ht="24.9" hidden="1" customHeight="1" thickBot="1" x14ac:dyDescent="0.25">
      <c r="B3913" s="692"/>
      <c r="C3913" s="322" t="str">
        <f>+'LISTA DE INSUMOS'!A650</f>
        <v>MAT666</v>
      </c>
      <c r="D3913" s="324" t="str">
        <f>+'LISTA DE INSUMOS'!B650</f>
        <v>Soldadura liquida para PVC 1/4 GL</v>
      </c>
      <c r="E3913" s="322" t="str">
        <f>+'LISTA DE INSUMOS'!C650</f>
        <v>Un</v>
      </c>
      <c r="F3913" s="351">
        <v>0.01</v>
      </c>
      <c r="G3913" s="312">
        <f>+'LISTA DE INSUMOS'!E650</f>
        <v>116100.56750324999</v>
      </c>
      <c r="H3913" s="322">
        <v>1.03</v>
      </c>
      <c r="I3913" s="312">
        <f>ROUND((F3913*G3913*H3913),0)</f>
        <v>1196</v>
      </c>
      <c r="J3913" s="313"/>
      <c r="K3913" s="323"/>
    </row>
    <row r="3914" spans="2:11" s="317" customFormat="1" ht="24.9" hidden="1" customHeight="1" thickTop="1" thickBot="1" x14ac:dyDescent="0.25">
      <c r="B3914" s="372" t="s">
        <v>1034</v>
      </c>
      <c r="C3914" s="322" t="str">
        <f>+'LISTA DE INSUMOS'!A11</f>
        <v>MOB008</v>
      </c>
      <c r="D3914" s="324" t="str">
        <f>+'LISTA DE INSUMOS'!B11</f>
        <v>Oficial eléctrico (jornal + prestaciones)</v>
      </c>
      <c r="E3914" s="322" t="str">
        <f>+'LISTA DE INSUMOS'!C11</f>
        <v>Día</v>
      </c>
      <c r="F3914" s="325">
        <v>1</v>
      </c>
      <c r="G3914" s="312">
        <f>'LISTA DE INSUMOS'!E11</f>
        <v>163723</v>
      </c>
      <c r="H3914" s="349">
        <f>1/5</f>
        <v>0.2</v>
      </c>
      <c r="I3914" s="312">
        <f>ROUND((F3914*G3914*H3914),0)</f>
        <v>32745</v>
      </c>
      <c r="J3914" s="313"/>
      <c r="K3914" s="323"/>
    </row>
    <row r="3915" spans="2:11" s="317" customFormat="1" ht="24.9" hidden="1" customHeight="1" thickTop="1" thickBot="1" x14ac:dyDescent="0.25">
      <c r="B3915" s="255" t="s">
        <v>1033</v>
      </c>
      <c r="C3915" s="327" t="str">
        <f>+'LISTA DE INSUMOS'!A758</f>
        <v>EQU002</v>
      </c>
      <c r="D3915" s="328" t="str">
        <f>+'LISTA DE INSUMOS'!B758</f>
        <v>Herramienta menor (% mano obra)</v>
      </c>
      <c r="E3915" s="329" t="str">
        <f>+'LISTA DE INSUMOS'!C758</f>
        <v>%MO</v>
      </c>
      <c r="F3915" s="362">
        <v>0.05</v>
      </c>
      <c r="G3915" s="331">
        <f>I3914</f>
        <v>32745</v>
      </c>
      <c r="H3915" s="350">
        <v>0</v>
      </c>
      <c r="I3915" s="331">
        <f>ROUND((F3915*G3915),0)</f>
        <v>1637</v>
      </c>
      <c r="J3915" s="313"/>
      <c r="K3915" s="323"/>
    </row>
    <row r="3916" spans="2:11" s="317" customFormat="1" ht="24.9" hidden="1" customHeight="1" x14ac:dyDescent="0.2">
      <c r="B3916" s="319" t="s">
        <v>1747</v>
      </c>
      <c r="C3916" s="322"/>
      <c r="D3916" s="320" t="s">
        <v>1444</v>
      </c>
      <c r="E3916" s="319" t="s">
        <v>1435</v>
      </c>
      <c r="F3916" s="321"/>
      <c r="G3916" s="312">
        <f>ROUND(SUM(I3917:I3926),0)</f>
        <v>182602</v>
      </c>
      <c r="H3916" s="322"/>
      <c r="I3916" s="312"/>
      <c r="J3916" s="313"/>
      <c r="K3916" s="323"/>
    </row>
    <row r="3917" spans="2:11" s="317" customFormat="1" ht="24.9" hidden="1" customHeight="1" x14ac:dyDescent="0.2">
      <c r="B3917" s="691" t="s">
        <v>1035</v>
      </c>
      <c r="C3917" s="322" t="str">
        <f>+'LISTA DE INSUMOS'!A435</f>
        <v>MAT450</v>
      </c>
      <c r="D3917" s="324" t="str">
        <f>+'LISTA DE INSUMOS'!B435</f>
        <v>Cable de cobre THWN No. 12</v>
      </c>
      <c r="E3917" s="322" t="str">
        <f>+'LISTA DE INSUMOS'!C435</f>
        <v>M</v>
      </c>
      <c r="F3917" s="321">
        <v>18</v>
      </c>
      <c r="G3917" s="312">
        <f>'LISTA DE INSUMOS'!E435</f>
        <v>2648.4113477249998</v>
      </c>
      <c r="H3917" s="349">
        <v>1.03</v>
      </c>
      <c r="I3917" s="312">
        <f>ROUND((F3917*G3917*H3917),0)</f>
        <v>49102</v>
      </c>
      <c r="J3917" s="313"/>
      <c r="K3917" s="323"/>
    </row>
    <row r="3918" spans="2:11" s="317" customFormat="1" ht="24.9" hidden="1" customHeight="1" x14ac:dyDescent="0.2">
      <c r="B3918" s="691"/>
      <c r="C3918" s="322" t="str">
        <f>+'LISTA DE INSUMOS'!A430</f>
        <v>MAT445</v>
      </c>
      <c r="D3918" s="324" t="str">
        <f>+'LISTA DE INSUMOS'!B430</f>
        <v>Curva conduit PVC de 3/4"</v>
      </c>
      <c r="E3918" s="322" t="str">
        <f>+'LISTA DE INSUMOS'!C430</f>
        <v>Un</v>
      </c>
      <c r="F3918" s="321">
        <v>1</v>
      </c>
      <c r="G3918" s="312">
        <f>'LISTA DE INSUMOS'!E430</f>
        <v>2702.18563692</v>
      </c>
      <c r="H3918" s="349">
        <v>0</v>
      </c>
      <c r="I3918" s="312">
        <f>ROUND((F3918*G3918),0)</f>
        <v>2702</v>
      </c>
      <c r="J3918" s="313"/>
      <c r="K3918" s="323"/>
    </row>
    <row r="3919" spans="2:11" s="317" customFormat="1" ht="24.9" hidden="1" customHeight="1" x14ac:dyDescent="0.2">
      <c r="B3919" s="691"/>
      <c r="C3919" s="322" t="str">
        <f>+'LISTA DE INSUMOS'!A431</f>
        <v>MAT446</v>
      </c>
      <c r="D3919" s="324" t="str">
        <f>+'LISTA DE INSUMOS'!B431</f>
        <v>Cinta bandit de 3/4"</v>
      </c>
      <c r="E3919" s="322" t="str">
        <f>+'LISTA DE INSUMOS'!C431</f>
        <v>M</v>
      </c>
      <c r="F3919" s="321">
        <v>2</v>
      </c>
      <c r="G3919" s="312">
        <f>'LISTA DE INSUMOS'!E431</f>
        <v>5815.573435979999</v>
      </c>
      <c r="H3919" s="349">
        <v>0</v>
      </c>
      <c r="I3919" s="312">
        <f>ROUND((F3919*G3919),0)</f>
        <v>11631</v>
      </c>
      <c r="J3919" s="313"/>
      <c r="K3919" s="323"/>
    </row>
    <row r="3920" spans="2:11" s="317" customFormat="1" ht="24.9" hidden="1" customHeight="1" x14ac:dyDescent="0.2">
      <c r="B3920" s="691"/>
      <c r="C3920" s="322" t="str">
        <f>+'LISTA DE INSUMOS'!A432</f>
        <v>MAT447</v>
      </c>
      <c r="D3920" s="324" t="str">
        <f>+'LISTA DE INSUMOS'!B432</f>
        <v>Hebillas bandit 3/4"</v>
      </c>
      <c r="E3920" s="322" t="str">
        <f>+'LISTA DE INSUMOS'!C432</f>
        <v>Un</v>
      </c>
      <c r="F3920" s="321">
        <v>2</v>
      </c>
      <c r="G3920" s="312">
        <f>'LISTA DE INSUMOS'!E432</f>
        <v>1057.37698836</v>
      </c>
      <c r="H3920" s="349">
        <v>0</v>
      </c>
      <c r="I3920" s="312">
        <f>ROUND((F3920*G3920),0)</f>
        <v>2115</v>
      </c>
      <c r="J3920" s="313"/>
      <c r="K3920" s="323"/>
    </row>
    <row r="3921" spans="2:11" s="317" customFormat="1" ht="24.9" hidden="1" customHeight="1" x14ac:dyDescent="0.2">
      <c r="B3921" s="691"/>
      <c r="C3921" s="322" t="str">
        <f>+'LISTA DE INSUMOS'!A433</f>
        <v>MAT448</v>
      </c>
      <c r="D3921" s="324" t="str">
        <f>+'LISTA DE INSUMOS'!B433</f>
        <v>Tubo EMT 3/4" (por 3 m)</v>
      </c>
      <c r="E3921" s="322" t="str">
        <f>+'LISTA DE INSUMOS'!C433</f>
        <v>Un</v>
      </c>
      <c r="F3921" s="321">
        <v>2</v>
      </c>
      <c r="G3921" s="312">
        <f>'LISTA DE INSUMOS'!E433</f>
        <v>36567.620847450002</v>
      </c>
      <c r="H3921" s="349">
        <v>1.05</v>
      </c>
      <c r="I3921" s="312">
        <f>ROUND((F3921*G3921*H3921),0)</f>
        <v>76792</v>
      </c>
      <c r="J3921" s="313"/>
      <c r="K3921" s="323"/>
    </row>
    <row r="3922" spans="2:11" s="317" customFormat="1" ht="24.9" hidden="1" customHeight="1" x14ac:dyDescent="0.2">
      <c r="B3922" s="691"/>
      <c r="C3922" s="322" t="str">
        <f>+'LISTA DE INSUMOS'!A434</f>
        <v>MAT449</v>
      </c>
      <c r="D3922" s="324" t="str">
        <f>+'LISTA DE INSUMOS'!B434</f>
        <v>Unión EMT 3/4"</v>
      </c>
      <c r="E3922" s="322" t="str">
        <f>+'LISTA DE INSUMOS'!C434</f>
        <v>Un</v>
      </c>
      <c r="F3922" s="321">
        <v>1</v>
      </c>
      <c r="G3922" s="312">
        <f>'LISTA DE INSUMOS'!E434</f>
        <v>4105.8381302399994</v>
      </c>
      <c r="H3922" s="349">
        <v>0</v>
      </c>
      <c r="I3922" s="312">
        <f>ROUND((F3922*G3922),0)</f>
        <v>4106</v>
      </c>
      <c r="J3922" s="313"/>
      <c r="K3922" s="323"/>
    </row>
    <row r="3923" spans="2:11" s="317" customFormat="1" ht="24.9" hidden="1" customHeight="1" x14ac:dyDescent="0.2">
      <c r="B3923" s="691"/>
      <c r="C3923" s="322" t="str">
        <f>+'LISTA DE INSUMOS'!A651</f>
        <v>MAT667</v>
      </c>
      <c r="D3923" s="324" t="str">
        <f>+'LISTA DE INSUMOS'!B651</f>
        <v>Limpiador removedor PVC 1/4</v>
      </c>
      <c r="E3923" s="322" t="str">
        <f>+'LISTA DE INSUMOS'!C651</f>
        <v>Un</v>
      </c>
      <c r="F3923" s="351">
        <v>0.01</v>
      </c>
      <c r="G3923" s="312">
        <f>+'LISTA DE INSUMOS'!E651</f>
        <v>55927.469152499994</v>
      </c>
      <c r="H3923" s="322">
        <v>1.03</v>
      </c>
      <c r="I3923" s="312">
        <f>ROUND((F3923*G3923*H3923),0)</f>
        <v>576</v>
      </c>
      <c r="J3923" s="313"/>
      <c r="K3923" s="323"/>
    </row>
    <row r="3924" spans="2:11" s="317" customFormat="1" ht="24.9" hidden="1" customHeight="1" thickBot="1" x14ac:dyDescent="0.25">
      <c r="B3924" s="692"/>
      <c r="C3924" s="322" t="str">
        <f>+'LISTA DE INSUMOS'!A650</f>
        <v>MAT666</v>
      </c>
      <c r="D3924" s="324" t="str">
        <f>+'LISTA DE INSUMOS'!B650</f>
        <v>Soldadura liquida para PVC 1/4 GL</v>
      </c>
      <c r="E3924" s="322" t="str">
        <f>+'LISTA DE INSUMOS'!C650</f>
        <v>Un</v>
      </c>
      <c r="F3924" s="351">
        <v>0.01</v>
      </c>
      <c r="G3924" s="312">
        <f>+'LISTA DE INSUMOS'!E650</f>
        <v>116100.56750324999</v>
      </c>
      <c r="H3924" s="322">
        <v>1.03</v>
      </c>
      <c r="I3924" s="312">
        <f>ROUND((F3924*G3924*H3924),0)</f>
        <v>1196</v>
      </c>
      <c r="J3924" s="313"/>
      <c r="K3924" s="323"/>
    </row>
    <row r="3925" spans="2:11" s="317" customFormat="1" ht="24.9" hidden="1" customHeight="1" thickTop="1" thickBot="1" x14ac:dyDescent="0.25">
      <c r="B3925" s="372" t="s">
        <v>1034</v>
      </c>
      <c r="C3925" s="322" t="str">
        <f>+'LISTA DE INSUMOS'!A11</f>
        <v>MOB008</v>
      </c>
      <c r="D3925" s="324" t="str">
        <f>+'LISTA DE INSUMOS'!B11</f>
        <v>Oficial eléctrico (jornal + prestaciones)</v>
      </c>
      <c r="E3925" s="322" t="str">
        <f>+'LISTA DE INSUMOS'!C11</f>
        <v>Día</v>
      </c>
      <c r="F3925" s="325">
        <v>1</v>
      </c>
      <c r="G3925" s="312">
        <f>'LISTA DE INSUMOS'!E11</f>
        <v>163723</v>
      </c>
      <c r="H3925" s="349">
        <f>1/5</f>
        <v>0.2</v>
      </c>
      <c r="I3925" s="312">
        <f>ROUND((F3925*G3925*H3925),0)</f>
        <v>32745</v>
      </c>
      <c r="J3925" s="313"/>
      <c r="K3925" s="323"/>
    </row>
    <row r="3926" spans="2:11" s="317" customFormat="1" ht="24.9" hidden="1" customHeight="1" thickTop="1" thickBot="1" x14ac:dyDescent="0.25">
      <c r="B3926" s="255" t="s">
        <v>1033</v>
      </c>
      <c r="C3926" s="327" t="str">
        <f>+'LISTA DE INSUMOS'!A758</f>
        <v>EQU002</v>
      </c>
      <c r="D3926" s="328" t="str">
        <f>+'LISTA DE INSUMOS'!B758</f>
        <v>Herramienta menor (% mano obra)</v>
      </c>
      <c r="E3926" s="329" t="str">
        <f>+'LISTA DE INSUMOS'!C758</f>
        <v>%MO</v>
      </c>
      <c r="F3926" s="362">
        <v>0.05</v>
      </c>
      <c r="G3926" s="331">
        <f>I3925</f>
        <v>32745</v>
      </c>
      <c r="H3926" s="350">
        <v>0</v>
      </c>
      <c r="I3926" s="331">
        <f>ROUND((F3926*G3926),0)</f>
        <v>1637</v>
      </c>
      <c r="J3926" s="313"/>
      <c r="K3926" s="323"/>
    </row>
    <row r="3927" spans="2:11" ht="24.9" customHeight="1" x14ac:dyDescent="0.2">
      <c r="B3927" s="230" t="s">
        <v>2991</v>
      </c>
      <c r="C3927" s="120"/>
      <c r="D3927" s="112" t="s">
        <v>1369</v>
      </c>
      <c r="E3927" s="117" t="s">
        <v>1435</v>
      </c>
      <c r="F3927" s="118"/>
      <c r="G3927" s="119">
        <f>ROUND(SUM(I3928:I3935),0)</f>
        <v>1122871</v>
      </c>
      <c r="H3927" s="120"/>
      <c r="I3927" s="119"/>
      <c r="J3927" s="47"/>
      <c r="K3927" s="143"/>
    </row>
    <row r="3928" spans="2:11" ht="24.9" customHeight="1" x14ac:dyDescent="0.2">
      <c r="B3928" s="672" t="s">
        <v>1035</v>
      </c>
      <c r="C3928" s="108" t="str">
        <f>+'LISTA DE INSUMOS'!A436</f>
        <v>MAT451</v>
      </c>
      <c r="D3928" s="139" t="str">
        <f>+'LISTA DE INSUMOS'!B436</f>
        <v>Poste de concreto 12 x 510 kg. Incluye transporte</v>
      </c>
      <c r="E3928" s="108" t="str">
        <f>+'LISTA DE INSUMOS'!C436</f>
        <v>Un</v>
      </c>
      <c r="F3928" s="176">
        <v>1</v>
      </c>
      <c r="G3928" s="141">
        <f>'LISTA DE INSUMOS'!E436</f>
        <v>936274.93279625976</v>
      </c>
      <c r="H3928" s="205">
        <v>0</v>
      </c>
      <c r="I3928" s="141">
        <f>ROUND((F3928*G3928),0)</f>
        <v>936275</v>
      </c>
      <c r="J3928" s="47"/>
      <c r="K3928" s="143"/>
    </row>
    <row r="3929" spans="2:11" ht="24.9" customHeight="1" x14ac:dyDescent="0.2">
      <c r="B3929" s="672"/>
      <c r="C3929" s="108" t="str">
        <f>+'LISTA DE INSUMOS'!A431</f>
        <v>MAT446</v>
      </c>
      <c r="D3929" s="139" t="str">
        <f>+'LISTA DE INSUMOS'!B431</f>
        <v>Cinta bandit de 3/4"</v>
      </c>
      <c r="E3929" s="108" t="str">
        <f>+'LISTA DE INSUMOS'!C431</f>
        <v>M</v>
      </c>
      <c r="F3929" s="176">
        <v>2</v>
      </c>
      <c r="G3929" s="141">
        <f>'LISTA DE INSUMOS'!E431</f>
        <v>5815.573435979999</v>
      </c>
      <c r="H3929" s="205">
        <v>0</v>
      </c>
      <c r="I3929" s="141">
        <f>ROUND((F3929*G3929),0)</f>
        <v>11631</v>
      </c>
      <c r="J3929" s="47"/>
      <c r="K3929" s="143"/>
    </row>
    <row r="3930" spans="2:11" ht="24.9" customHeight="1" x14ac:dyDescent="0.2">
      <c r="B3930" s="672"/>
      <c r="C3930" s="108" t="str">
        <f>+'LISTA DE INSUMOS'!A432</f>
        <v>MAT447</v>
      </c>
      <c r="D3930" s="139" t="str">
        <f>+'LISTA DE INSUMOS'!B432</f>
        <v>Hebillas bandit 3/4"</v>
      </c>
      <c r="E3930" s="108" t="str">
        <f>+'LISTA DE INSUMOS'!C432</f>
        <v>Un</v>
      </c>
      <c r="F3930" s="176">
        <v>2</v>
      </c>
      <c r="G3930" s="141">
        <f>'LISTA DE INSUMOS'!E432</f>
        <v>1057.37698836</v>
      </c>
      <c r="H3930" s="205">
        <v>0</v>
      </c>
      <c r="I3930" s="141">
        <f>ROUND((F3930*G3930),0)</f>
        <v>2115</v>
      </c>
      <c r="J3930" s="47"/>
      <c r="K3930" s="143"/>
    </row>
    <row r="3931" spans="2:11" ht="24.9" customHeight="1" x14ac:dyDescent="0.2">
      <c r="B3931" s="672"/>
      <c r="C3931" s="108" t="str">
        <f>+'LISTA DE INSUMOS'!A437</f>
        <v>MAT452</v>
      </c>
      <c r="D3931" s="139" t="str">
        <f>+'LISTA DE INSUMOS'!B437</f>
        <v>Percha de 2 puestos</v>
      </c>
      <c r="E3931" s="108" t="str">
        <f>+'LISTA DE INSUMOS'!C437</f>
        <v>M</v>
      </c>
      <c r="F3931" s="176">
        <v>2</v>
      </c>
      <c r="G3931" s="141">
        <f>'LISTA DE INSUMOS'!E437</f>
        <v>24780.016190414099</v>
      </c>
      <c r="H3931" s="205">
        <v>0</v>
      </c>
      <c r="I3931" s="141">
        <f>ROUND((F3931*G3931),0)</f>
        <v>49560</v>
      </c>
      <c r="J3931" s="47"/>
      <c r="K3931" s="143"/>
    </row>
    <row r="3932" spans="2:11" ht="24.9" customHeight="1" thickBot="1" x14ac:dyDescent="0.25">
      <c r="B3932" s="673"/>
      <c r="C3932" s="108" t="str">
        <f>+'LISTA DE INSUMOS'!A438</f>
        <v>MAT453</v>
      </c>
      <c r="D3932" s="139" t="str">
        <f>+'LISTA DE INSUMOS'!B438</f>
        <v>Aislador yoyo de 2 1/2"</v>
      </c>
      <c r="E3932" s="108" t="str">
        <f>+'LISTA DE INSUMOS'!C438</f>
        <v>M</v>
      </c>
      <c r="F3932" s="176">
        <v>2</v>
      </c>
      <c r="G3932" s="141">
        <f>'LISTA DE INSUMOS'!E438</f>
        <v>4371.7282501199998</v>
      </c>
      <c r="H3932" s="205">
        <v>0</v>
      </c>
      <c r="I3932" s="141">
        <f>ROUND((F3932*G3932),0)</f>
        <v>8743</v>
      </c>
      <c r="J3932" s="47"/>
      <c r="K3932" s="143"/>
    </row>
    <row r="3933" spans="2:11" ht="24.9" customHeight="1" thickTop="1" thickBot="1" x14ac:dyDescent="0.25">
      <c r="B3933" s="250" t="s">
        <v>1034</v>
      </c>
      <c r="C3933" s="125" t="str">
        <f>+'LISTA DE INSUMOS'!A24</f>
        <v>MOB021</v>
      </c>
      <c r="D3933" s="225" t="str">
        <f>+'LISTA DE INSUMOS'!B24</f>
        <v>Cuadrilla K (1Of eléctrico+2Ay eléctricos) (jornal + prestaciones)</v>
      </c>
      <c r="E3933" s="125" t="str">
        <f>+'LISTA DE INSUMOS'!C24</f>
        <v>Día</v>
      </c>
      <c r="F3933" s="176">
        <v>1</v>
      </c>
      <c r="G3933" s="141">
        <f>'LISTA DE INSUMOS'!E24</f>
        <v>425679</v>
      </c>
      <c r="H3933" s="205">
        <f>1/6</f>
        <v>0.16666666666666666</v>
      </c>
      <c r="I3933" s="141">
        <f>ROUND((F3933*G3933*H3933),0)</f>
        <v>70947</v>
      </c>
      <c r="J3933" s="47"/>
      <c r="K3933" s="143"/>
    </row>
    <row r="3934" spans="2:11" ht="24.9" customHeight="1" thickTop="1" x14ac:dyDescent="0.2">
      <c r="B3934" s="647" t="s">
        <v>1033</v>
      </c>
      <c r="C3934" s="125" t="str">
        <f>+'LISTA DE INSUMOS'!A795</f>
        <v>EQU038</v>
      </c>
      <c r="D3934" s="155" t="str">
        <f>+'LISTA DE INSUMOS'!B795</f>
        <v>Grua montacarga</v>
      </c>
      <c r="E3934" s="125" t="str">
        <f>+'LISTA DE INSUMOS'!C795</f>
        <v>Hr</v>
      </c>
      <c r="F3934" s="176">
        <v>1</v>
      </c>
      <c r="G3934" s="141">
        <f>'LISTA DE INSUMOS'!E795</f>
        <v>80105.478023999996</v>
      </c>
      <c r="H3934" s="205">
        <f>1/2</f>
        <v>0.5</v>
      </c>
      <c r="I3934" s="141">
        <f>ROUND((F3934*G3934*H3934),0)</f>
        <v>40053</v>
      </c>
      <c r="J3934" s="47"/>
      <c r="K3934" s="143"/>
    </row>
    <row r="3935" spans="2:11" ht="24.9" customHeight="1" thickBot="1" x14ac:dyDescent="0.25">
      <c r="B3935" s="704"/>
      <c r="C3935" s="145" t="str">
        <f>+'LISTA DE INSUMOS'!A758</f>
        <v>EQU002</v>
      </c>
      <c r="D3935" s="146" t="str">
        <f>+'LISTA DE INSUMOS'!B758</f>
        <v>Herramienta menor (% mano obra)</v>
      </c>
      <c r="E3935" s="145" t="str">
        <f>+'LISTA DE INSUMOS'!C758</f>
        <v>%MO</v>
      </c>
      <c r="F3935" s="229">
        <v>0.05</v>
      </c>
      <c r="G3935" s="148">
        <f>I3933</f>
        <v>70947</v>
      </c>
      <c r="H3935" s="206">
        <v>0</v>
      </c>
      <c r="I3935" s="148">
        <f>ROUND((F3935*G3935),0)</f>
        <v>3547</v>
      </c>
      <c r="J3935" s="47"/>
      <c r="K3935" s="143"/>
    </row>
    <row r="3936" spans="2:11" s="317" customFormat="1" ht="24.9" hidden="1" customHeight="1" x14ac:dyDescent="0.2">
      <c r="B3936" s="353" t="s">
        <v>1873</v>
      </c>
      <c r="C3936" s="322"/>
      <c r="D3936" s="320" t="s">
        <v>1442</v>
      </c>
      <c r="E3936" s="319" t="s">
        <v>1435</v>
      </c>
      <c r="F3936" s="321"/>
      <c r="G3936" s="312">
        <f>ROUND(SUM(I3937:I3944),0)</f>
        <v>506081</v>
      </c>
      <c r="H3936" s="322"/>
      <c r="I3936" s="312"/>
      <c r="J3936" s="313"/>
      <c r="K3936" s="323"/>
    </row>
    <row r="3937" spans="2:11" s="317" customFormat="1" ht="24.9" hidden="1" customHeight="1" x14ac:dyDescent="0.2">
      <c r="B3937" s="691" t="s">
        <v>1035</v>
      </c>
      <c r="C3937" s="322" t="str">
        <f>+'LISTA DE INSUMOS'!A439</f>
        <v>MAT454</v>
      </c>
      <c r="D3937" s="324" t="str">
        <f>+'LISTA DE INSUMOS'!B439</f>
        <v>Soldadura Exotermica</v>
      </c>
      <c r="E3937" s="322" t="str">
        <f>+'LISTA DE INSUMOS'!C439</f>
        <v>Un</v>
      </c>
      <c r="F3937" s="321">
        <v>1</v>
      </c>
      <c r="G3937" s="312">
        <f>'LISTA DE INSUMOS'!E439</f>
        <v>39550.768863952493</v>
      </c>
      <c r="H3937" s="349">
        <v>0</v>
      </c>
      <c r="I3937" s="312">
        <f>ROUND((F3937*G3937),0)</f>
        <v>39551</v>
      </c>
      <c r="J3937" s="313"/>
      <c r="K3937" s="323"/>
    </row>
    <row r="3938" spans="2:11" s="317" customFormat="1" ht="24.9" hidden="1" customHeight="1" x14ac:dyDescent="0.2">
      <c r="B3938" s="691"/>
      <c r="C3938" s="322" t="str">
        <f>+'LISTA DE INSUMOS'!A285</f>
        <v>MAT258</v>
      </c>
      <c r="D3938" s="324" t="str">
        <f>+'LISTA DE INSUMOS'!B285</f>
        <v>Cable de cobre # 4 desnudo  AWG</v>
      </c>
      <c r="E3938" s="322" t="str">
        <f>+'LISTA DE INSUMOS'!C285</f>
        <v>M</v>
      </c>
      <c r="F3938" s="321">
        <v>8</v>
      </c>
      <c r="G3938" s="312">
        <f>'LISTA DE INSUMOS'!E285</f>
        <v>14419.128448724998</v>
      </c>
      <c r="H3938" s="349">
        <v>1.03</v>
      </c>
      <c r="I3938" s="312">
        <f>ROUND((F3938*G3938*H3938),0)</f>
        <v>118814</v>
      </c>
      <c r="J3938" s="313"/>
      <c r="K3938" s="323"/>
    </row>
    <row r="3939" spans="2:11" s="317" customFormat="1" ht="24.9" hidden="1" customHeight="1" x14ac:dyDescent="0.2">
      <c r="B3939" s="691"/>
      <c r="C3939" s="322" t="str">
        <f>+'LISTA DE INSUMOS'!A440</f>
        <v>MAT455</v>
      </c>
      <c r="D3939" s="324" t="str">
        <f>+'LISTA DE INSUMOS'!B440</f>
        <v>Varilla de cobre 5/8" x 2,40 m + conector</v>
      </c>
      <c r="E3939" s="322" t="str">
        <f>+'LISTA DE INSUMOS'!C440</f>
        <v>Un</v>
      </c>
      <c r="F3939" s="321">
        <v>1</v>
      </c>
      <c r="G3939" s="312">
        <f>'LISTA DE INSUMOS'!E440</f>
        <v>265724.71149146993</v>
      </c>
      <c r="H3939" s="349">
        <v>0</v>
      </c>
      <c r="I3939" s="312">
        <f>ROUND((F3939*G3939),0)</f>
        <v>265725</v>
      </c>
      <c r="J3939" s="313"/>
      <c r="K3939" s="323"/>
    </row>
    <row r="3940" spans="2:11" s="317" customFormat="1" ht="24.9" hidden="1" customHeight="1" x14ac:dyDescent="0.2">
      <c r="B3940" s="691"/>
      <c r="C3940" s="322" t="str">
        <f>+'LISTA DE INSUMOS'!A431</f>
        <v>MAT446</v>
      </c>
      <c r="D3940" s="324" t="str">
        <f>+'LISTA DE INSUMOS'!B431</f>
        <v>Cinta bandit de 3/4"</v>
      </c>
      <c r="E3940" s="322" t="str">
        <f>+'LISTA DE INSUMOS'!C431</f>
        <v>M</v>
      </c>
      <c r="F3940" s="321">
        <v>1.5</v>
      </c>
      <c r="G3940" s="312">
        <f>'LISTA DE INSUMOS'!E431</f>
        <v>5815.573435979999</v>
      </c>
      <c r="H3940" s="349">
        <v>0</v>
      </c>
      <c r="I3940" s="312">
        <f>ROUND((F3940*G3940),0)</f>
        <v>8723</v>
      </c>
      <c r="J3940" s="313"/>
      <c r="K3940" s="323"/>
    </row>
    <row r="3941" spans="2:11" s="317" customFormat="1" ht="24.9" hidden="1" customHeight="1" x14ac:dyDescent="0.2">
      <c r="B3941" s="691"/>
      <c r="C3941" s="322" t="str">
        <f>+'LISTA DE INSUMOS'!A432</f>
        <v>MAT447</v>
      </c>
      <c r="D3941" s="324" t="str">
        <f>+'LISTA DE INSUMOS'!B432</f>
        <v>Hebillas bandit 3/4"</v>
      </c>
      <c r="E3941" s="322" t="str">
        <f>+'LISTA DE INSUMOS'!C432</f>
        <v>Un</v>
      </c>
      <c r="F3941" s="321">
        <v>2</v>
      </c>
      <c r="G3941" s="312">
        <f>'LISTA DE INSUMOS'!E432</f>
        <v>1057.37698836</v>
      </c>
      <c r="H3941" s="349">
        <v>0</v>
      </c>
      <c r="I3941" s="312">
        <f>ROUND((F3941*G3941),0)</f>
        <v>2115</v>
      </c>
      <c r="J3941" s="313"/>
      <c r="K3941" s="323"/>
    </row>
    <row r="3942" spans="2:11" s="317" customFormat="1" ht="24.9" hidden="1" customHeight="1" thickBot="1" x14ac:dyDescent="0.25">
      <c r="B3942" s="692"/>
      <c r="C3942" s="322" t="str">
        <f>+'LISTA DE INSUMOS'!A441</f>
        <v>MAT456</v>
      </c>
      <c r="D3942" s="324" t="str">
        <f>+'LISTA DE INSUMOS'!B441</f>
        <v>Tubo EMT 1/2" (por 3 m)</v>
      </c>
      <c r="E3942" s="322" t="str">
        <f>+'LISTA DE INSUMOS'!C441</f>
        <v>Un</v>
      </c>
      <c r="F3942" s="321">
        <v>2</v>
      </c>
      <c r="G3942" s="312">
        <f>'LISTA DE INSUMOS'!E441</f>
        <v>22967.032041029997</v>
      </c>
      <c r="H3942" s="349">
        <v>1.05</v>
      </c>
      <c r="I3942" s="312">
        <f>ROUND((F3942*G3942*H3942),0)</f>
        <v>48231</v>
      </c>
      <c r="J3942" s="313"/>
      <c r="K3942" s="323"/>
    </row>
    <row r="3943" spans="2:11" s="317" customFormat="1" ht="24.9" hidden="1" customHeight="1" thickTop="1" thickBot="1" x14ac:dyDescent="0.25">
      <c r="B3943" s="372" t="s">
        <v>1034</v>
      </c>
      <c r="C3943" s="322" t="str">
        <f>+'LISTA DE INSUMOS'!A22</f>
        <v>MOB019</v>
      </c>
      <c r="D3943" s="324" t="str">
        <f>+'LISTA DE INSUMOS'!B22</f>
        <v>Ayudante eléctrico (jornal + prestaciones)</v>
      </c>
      <c r="E3943" s="322" t="str">
        <f>+'LISTA DE INSUMOS'!C22</f>
        <v>Día</v>
      </c>
      <c r="F3943" s="321">
        <v>1</v>
      </c>
      <c r="G3943" s="312">
        <f>'LISTA DE INSUMOS'!E22</f>
        <v>130978</v>
      </c>
      <c r="H3943" s="349">
        <f>1/6</f>
        <v>0.16666666666666666</v>
      </c>
      <c r="I3943" s="312">
        <f>ROUND((F3943*G3943*H3943),0)</f>
        <v>21830</v>
      </c>
      <c r="J3943" s="313"/>
      <c r="K3943" s="323"/>
    </row>
    <row r="3944" spans="2:11" s="317" customFormat="1" ht="24.9" hidden="1" customHeight="1" thickTop="1" thickBot="1" x14ac:dyDescent="0.25">
      <c r="B3944" s="255" t="s">
        <v>1033</v>
      </c>
      <c r="C3944" s="327" t="str">
        <f>+'LISTA DE INSUMOS'!A758</f>
        <v>EQU002</v>
      </c>
      <c r="D3944" s="328" t="str">
        <f>+'LISTA DE INSUMOS'!B758</f>
        <v>Herramienta menor (% mano obra)</v>
      </c>
      <c r="E3944" s="329" t="str">
        <f>+'LISTA DE INSUMOS'!C758</f>
        <v>%MO</v>
      </c>
      <c r="F3944" s="362">
        <v>0.05</v>
      </c>
      <c r="G3944" s="331">
        <f>I3943</f>
        <v>21830</v>
      </c>
      <c r="H3944" s="350">
        <v>0</v>
      </c>
      <c r="I3944" s="331">
        <f>ROUND((F3944*G3944),0)</f>
        <v>1092</v>
      </c>
      <c r="J3944" s="313"/>
      <c r="K3944" s="323"/>
    </row>
    <row r="3945" spans="2:11" ht="24.9" customHeight="1" x14ac:dyDescent="0.2">
      <c r="B3945" s="117" t="s">
        <v>2992</v>
      </c>
      <c r="C3945" s="120"/>
      <c r="D3945" s="112" t="s">
        <v>1703</v>
      </c>
      <c r="E3945" s="117" t="s">
        <v>1435</v>
      </c>
      <c r="F3945" s="118"/>
      <c r="G3945" s="119">
        <f>ROUND(SUM(I3946:I3947),0)</f>
        <v>154406</v>
      </c>
      <c r="H3945" s="120"/>
      <c r="I3945" s="119"/>
      <c r="J3945" s="47"/>
      <c r="K3945" s="143"/>
    </row>
    <row r="3946" spans="2:11" ht="24.9" customHeight="1" thickBot="1" x14ac:dyDescent="0.25">
      <c r="B3946" s="175" t="s">
        <v>1325</v>
      </c>
      <c r="C3946" s="108" t="str">
        <f>+'LISTA DE INSUMOS'!A468</f>
        <v>MAT486</v>
      </c>
      <c r="D3946" s="139" t="str">
        <f>+'LISTA DE INSUMOS'!B468</f>
        <v>Lámpara fluorescente de incrustar celda T8 2 x 32"</v>
      </c>
      <c r="E3946" s="108" t="str">
        <f>+'LISTA DE INSUMOS'!C468</f>
        <v>Un</v>
      </c>
      <c r="F3946" s="176">
        <v>1</v>
      </c>
      <c r="G3946" s="141">
        <f>'LISTA DE INSUMOS'!E468</f>
        <v>113474.7612324942</v>
      </c>
      <c r="H3946" s="205">
        <v>0</v>
      </c>
      <c r="I3946" s="141">
        <f>ROUND((F3946*G3946),0)</f>
        <v>113475</v>
      </c>
      <c r="J3946" s="47"/>
      <c r="K3946" s="143"/>
    </row>
    <row r="3947" spans="2:11" ht="24.9" customHeight="1" thickTop="1" thickBot="1" x14ac:dyDescent="0.25">
      <c r="B3947" s="153" t="s">
        <v>1034</v>
      </c>
      <c r="C3947" s="145" t="str">
        <f>+'LISTA DE INSUMOS'!A11</f>
        <v>MOB008</v>
      </c>
      <c r="D3947" s="146" t="str">
        <f>+'LISTA DE INSUMOS'!B11</f>
        <v>Oficial eléctrico (jornal + prestaciones)</v>
      </c>
      <c r="E3947" s="145" t="str">
        <f>+'LISTA DE INSUMOS'!C11</f>
        <v>Día</v>
      </c>
      <c r="F3947" s="147">
        <v>1</v>
      </c>
      <c r="G3947" s="148">
        <f>'LISTA DE INSUMOS'!E11</f>
        <v>163723</v>
      </c>
      <c r="H3947" s="206">
        <f>1/4</f>
        <v>0.25</v>
      </c>
      <c r="I3947" s="148">
        <f>ROUND((F3947*G3947*H3947),0)</f>
        <v>40931</v>
      </c>
      <c r="J3947" s="47"/>
      <c r="K3947" s="143"/>
    </row>
    <row r="3948" spans="2:11" s="317" customFormat="1" ht="24.9" hidden="1" customHeight="1" x14ac:dyDescent="0.2">
      <c r="B3948" s="319" t="s">
        <v>1729</v>
      </c>
      <c r="C3948" s="322"/>
      <c r="D3948" s="320" t="s">
        <v>1788</v>
      </c>
      <c r="E3948" s="319" t="s">
        <v>1435</v>
      </c>
      <c r="F3948" s="321"/>
      <c r="G3948" s="312">
        <f>ROUND(SUM(I3949:I3950),0)</f>
        <v>36503</v>
      </c>
      <c r="H3948" s="322"/>
      <c r="I3948" s="312"/>
      <c r="J3948" s="313"/>
      <c r="K3948" s="323"/>
    </row>
    <row r="3949" spans="2:11" s="317" customFormat="1" ht="24.9" hidden="1" customHeight="1" thickBot="1" x14ac:dyDescent="0.25">
      <c r="B3949" s="347" t="s">
        <v>1325</v>
      </c>
      <c r="C3949" s="322" t="str">
        <f>+'LISTA DE INSUMOS'!A471</f>
        <v>MAT489</v>
      </c>
      <c r="D3949" s="324" t="str">
        <f>+'LISTA DE INSUMOS'!B471</f>
        <v>Ojo de buey dirigible blanco o níquel</v>
      </c>
      <c r="E3949" s="322" t="str">
        <f>+'LISTA DE INSUMOS'!C471</f>
        <v>Un</v>
      </c>
      <c r="F3949" s="321">
        <v>1</v>
      </c>
      <c r="G3949" s="312">
        <f>'LISTA DE INSUMOS'!E471</f>
        <v>16037.532044159005</v>
      </c>
      <c r="H3949" s="349">
        <v>0</v>
      </c>
      <c r="I3949" s="312">
        <f>ROUND((F3949*G3949),0)</f>
        <v>16038</v>
      </c>
      <c r="J3949" s="313"/>
      <c r="K3949" s="323"/>
    </row>
    <row r="3950" spans="2:11" s="317" customFormat="1" ht="24.9" hidden="1" customHeight="1" thickTop="1" thickBot="1" x14ac:dyDescent="0.25">
      <c r="B3950" s="363" t="s">
        <v>1034</v>
      </c>
      <c r="C3950" s="329" t="str">
        <f>+'LISTA DE INSUMOS'!A11</f>
        <v>MOB008</v>
      </c>
      <c r="D3950" s="328" t="str">
        <f>+'LISTA DE INSUMOS'!B11</f>
        <v>Oficial eléctrico (jornal + prestaciones)</v>
      </c>
      <c r="E3950" s="329" t="str">
        <f>+'LISTA DE INSUMOS'!C11</f>
        <v>Día</v>
      </c>
      <c r="F3950" s="330">
        <v>1</v>
      </c>
      <c r="G3950" s="331">
        <f>'LISTA DE INSUMOS'!E11</f>
        <v>163723</v>
      </c>
      <c r="H3950" s="350">
        <f>1/8</f>
        <v>0.125</v>
      </c>
      <c r="I3950" s="331">
        <f>ROUND((F3950*G3950*H3950),0)</f>
        <v>20465</v>
      </c>
      <c r="J3950" s="313"/>
      <c r="K3950" s="323"/>
    </row>
    <row r="3951" spans="2:11" ht="24.9" customHeight="1" x14ac:dyDescent="0.2">
      <c r="B3951" s="117" t="s">
        <v>2993</v>
      </c>
      <c r="C3951" s="120"/>
      <c r="D3951" s="112" t="s">
        <v>1371</v>
      </c>
      <c r="E3951" s="117" t="s">
        <v>1435</v>
      </c>
      <c r="F3951" s="118"/>
      <c r="G3951" s="119">
        <f>ROUND(SUM(I3952:I3962),0)</f>
        <v>147965</v>
      </c>
      <c r="H3951" s="120"/>
      <c r="I3951" s="119"/>
      <c r="J3951" s="47"/>
      <c r="K3951" s="143"/>
    </row>
    <row r="3952" spans="2:11" ht="24.9" customHeight="1" x14ac:dyDescent="0.2">
      <c r="B3952" s="672" t="s">
        <v>1035</v>
      </c>
      <c r="C3952" s="108" t="str">
        <f>+'LISTA DE INSUMOS'!A86</f>
        <v>MAT047</v>
      </c>
      <c r="D3952" s="139" t="str">
        <f>+'LISTA DE INSUMOS'!B86</f>
        <v>Cinta aislante 3/4 15m 18mm</v>
      </c>
      <c r="E3952" s="108" t="str">
        <f>+'LISTA DE INSUMOS'!C86</f>
        <v>un</v>
      </c>
      <c r="F3952" s="176">
        <v>3</v>
      </c>
      <c r="G3952" s="141">
        <f>'LISTA DE INSUMOS'!E86</f>
        <v>4433.0849999999991</v>
      </c>
      <c r="H3952" s="205">
        <v>0</v>
      </c>
      <c r="I3952" s="141">
        <f t="shared" ref="I3952:I3959" si="32">ROUND((F3952*G3952),0)</f>
        <v>13299</v>
      </c>
      <c r="J3952" s="47"/>
      <c r="K3952" s="143"/>
    </row>
    <row r="3953" spans="2:11" ht="24.9" customHeight="1" x14ac:dyDescent="0.2">
      <c r="B3953" s="672"/>
      <c r="C3953" s="108" t="str">
        <f>+'LISTA DE INSUMOS'!A283</f>
        <v>MAT255</v>
      </c>
      <c r="D3953" s="139" t="str">
        <f>+'LISTA DE INSUMOS'!B283</f>
        <v>Tubería PVC conduit de 1/2"</v>
      </c>
      <c r="E3953" s="108" t="str">
        <f>+'LISTA DE INSUMOS'!C283</f>
        <v>M</v>
      </c>
      <c r="F3953" s="176">
        <v>6</v>
      </c>
      <c r="G3953" s="141">
        <f>'LISTA DE INSUMOS'!E283</f>
        <v>1172.98353908736</v>
      </c>
      <c r="H3953" s="205">
        <v>1.03</v>
      </c>
      <c r="I3953" s="141">
        <f>ROUND((F3953*G3953*H3953),0)</f>
        <v>7249</v>
      </c>
      <c r="J3953" s="47"/>
      <c r="K3953" s="143"/>
    </row>
    <row r="3954" spans="2:11" ht="24.9" customHeight="1" x14ac:dyDescent="0.2">
      <c r="B3954" s="672"/>
      <c r="C3954" s="108" t="str">
        <f>+'LISTA DE INSUMOS'!A341</f>
        <v>MAT328</v>
      </c>
      <c r="D3954" s="139" t="str">
        <f>+'LISTA DE INSUMOS'!B341</f>
        <v>Adaptador PVC terminal de 1/2" conduit</v>
      </c>
      <c r="E3954" s="108" t="str">
        <f>+'LISTA DE INSUMOS'!C341</f>
        <v>Un</v>
      </c>
      <c r="F3954" s="176">
        <v>2</v>
      </c>
      <c r="G3954" s="141">
        <f>'LISTA DE INSUMOS'!E341</f>
        <v>4195.9404299999997</v>
      </c>
      <c r="H3954" s="205">
        <v>0</v>
      </c>
      <c r="I3954" s="141">
        <f t="shared" si="32"/>
        <v>8392</v>
      </c>
      <c r="J3954" s="47"/>
      <c r="K3954" s="143"/>
    </row>
    <row r="3955" spans="2:11" ht="24.9" customHeight="1" x14ac:dyDescent="0.2">
      <c r="B3955" s="672"/>
      <c r="C3955" s="108" t="str">
        <f>+'LISTA DE INSUMOS'!A284</f>
        <v>MAT256</v>
      </c>
      <c r="D3955" s="139" t="str">
        <f>+'LISTA DE INSUMOS'!B284</f>
        <v>Alambre cobre # 12 AWG</v>
      </c>
      <c r="E3955" s="108" t="str">
        <f>+'LISTA DE INSUMOS'!C284</f>
        <v>M</v>
      </c>
      <c r="F3955" s="176">
        <v>18</v>
      </c>
      <c r="G3955" s="141">
        <f>'LISTA DE INSUMOS'!E284</f>
        <v>2176.4055919748998</v>
      </c>
      <c r="H3955" s="205">
        <v>1.03</v>
      </c>
      <c r="I3955" s="141">
        <f>ROUND((F3955*G3955*H3955),0)</f>
        <v>40351</v>
      </c>
      <c r="J3955" s="47"/>
      <c r="K3955" s="143"/>
    </row>
    <row r="3956" spans="2:11" ht="24.9" customHeight="1" x14ac:dyDescent="0.2">
      <c r="B3956" s="672"/>
      <c r="C3956" s="108" t="str">
        <f>+'LISTA DE INSUMOS'!A260</f>
        <v>MAT230</v>
      </c>
      <c r="D3956" s="139" t="str">
        <f>+'LISTA DE INSUMOS'!B260</f>
        <v>Toma corriente doble tipo GFCI polo a tierra tipo luminex</v>
      </c>
      <c r="E3956" s="108" t="str">
        <f>+'LISTA DE INSUMOS'!C260</f>
        <v>Un</v>
      </c>
      <c r="F3956" s="176">
        <v>1</v>
      </c>
      <c r="G3956" s="141">
        <f>'LISTA DE INSUMOS'!E260</f>
        <v>46369.505529547198</v>
      </c>
      <c r="H3956" s="205">
        <v>0</v>
      </c>
      <c r="I3956" s="141">
        <f t="shared" si="32"/>
        <v>46370</v>
      </c>
      <c r="J3956" s="47"/>
      <c r="K3956" s="143"/>
    </row>
    <row r="3957" spans="2:11" ht="24.9" customHeight="1" x14ac:dyDescent="0.2">
      <c r="B3957" s="672"/>
      <c r="C3957" s="108" t="str">
        <f>+'LISTA DE INSUMOS'!A651</f>
        <v>MAT667</v>
      </c>
      <c r="D3957" s="139" t="str">
        <f>+'LISTA DE INSUMOS'!B651</f>
        <v>Limpiador removedor PVC 1/4</v>
      </c>
      <c r="E3957" s="108" t="str">
        <f>+'LISTA DE INSUMOS'!C651</f>
        <v>Un</v>
      </c>
      <c r="F3957" s="152">
        <v>3.5999999999999997E-2</v>
      </c>
      <c r="G3957" s="141">
        <f>+'LISTA DE INSUMOS'!E651</f>
        <v>55927.469152499994</v>
      </c>
      <c r="H3957" s="108">
        <v>1.03</v>
      </c>
      <c r="I3957" s="141">
        <f>ROUND((F3957*G3957*H3957),0)</f>
        <v>2074</v>
      </c>
      <c r="J3957" s="47"/>
      <c r="K3957" s="143"/>
    </row>
    <row r="3958" spans="2:11" ht="24.9" customHeight="1" x14ac:dyDescent="0.2">
      <c r="B3958" s="672"/>
      <c r="C3958" s="108" t="str">
        <f>+'LISTA DE INSUMOS'!A650</f>
        <v>MAT666</v>
      </c>
      <c r="D3958" s="139" t="str">
        <f>+'LISTA DE INSUMOS'!B650</f>
        <v>Soldadura liquida para PVC 1/4 GL</v>
      </c>
      <c r="E3958" s="108" t="str">
        <f>+'LISTA DE INSUMOS'!C650</f>
        <v>Un</v>
      </c>
      <c r="F3958" s="152">
        <v>3.5999999999999997E-2</v>
      </c>
      <c r="G3958" s="141">
        <f>+'LISTA DE INSUMOS'!E650</f>
        <v>116100.56750324999</v>
      </c>
      <c r="H3958" s="108">
        <v>1.03</v>
      </c>
      <c r="I3958" s="141">
        <f>ROUND((F3958*G3958*H3958),0)</f>
        <v>4305</v>
      </c>
      <c r="J3958" s="47"/>
      <c r="K3958" s="143"/>
    </row>
    <row r="3959" spans="2:11" ht="24.9" customHeight="1" thickBot="1" x14ac:dyDescent="0.25">
      <c r="B3959" s="673"/>
      <c r="C3959" s="108" t="str">
        <f>+'LISTA DE INSUMOS'!A290</f>
        <v>MAT259</v>
      </c>
      <c r="D3959" s="139" t="str">
        <f>+'LISTA DE INSUMOS'!B290</f>
        <v>Caja plástica conduit doble cumple norma Retie</v>
      </c>
      <c r="E3959" s="108" t="str">
        <f>+'LISTA DE INSUMOS'!C290</f>
        <v>Un</v>
      </c>
      <c r="F3959" s="176">
        <v>1</v>
      </c>
      <c r="G3959" s="141">
        <f>'LISTA DE INSUMOS'!E290</f>
        <v>1997.2676446799999</v>
      </c>
      <c r="H3959" s="205">
        <v>0</v>
      </c>
      <c r="I3959" s="141">
        <f t="shared" si="32"/>
        <v>1997</v>
      </c>
      <c r="J3959" s="47"/>
      <c r="K3959" s="143"/>
    </row>
    <row r="3960" spans="2:11" ht="24.9" customHeight="1" thickTop="1" thickBot="1" x14ac:dyDescent="0.25">
      <c r="B3960" s="191" t="s">
        <v>1310</v>
      </c>
      <c r="C3960" s="108" t="str">
        <f>+B574</f>
        <v>ITE96</v>
      </c>
      <c r="D3960" s="139" t="str">
        <f>+D574</f>
        <v>Mortero 1:3 (producción)</v>
      </c>
      <c r="E3960" s="108" t="str">
        <f>+E574</f>
        <v>M3</v>
      </c>
      <c r="F3960" s="176">
        <v>4.0000000000000001E-3</v>
      </c>
      <c r="G3960" s="141">
        <f>G574</f>
        <v>580906</v>
      </c>
      <c r="H3960" s="205">
        <v>1.05</v>
      </c>
      <c r="I3960" s="141">
        <f>ROUND((F3960*G3960*H3960),0)</f>
        <v>2440</v>
      </c>
      <c r="J3960" s="47"/>
      <c r="K3960" s="143"/>
    </row>
    <row r="3961" spans="2:11" ht="24.9" customHeight="1" thickTop="1" thickBot="1" x14ac:dyDescent="0.25">
      <c r="B3961" s="250" t="s">
        <v>1034</v>
      </c>
      <c r="C3961" s="108" t="str">
        <f>+'LISTA DE INSUMOS'!A11</f>
        <v>MOB008</v>
      </c>
      <c r="D3961" s="139" t="str">
        <f>+'LISTA DE INSUMOS'!B11</f>
        <v>Oficial eléctrico (jornal + prestaciones)</v>
      </c>
      <c r="E3961" s="108" t="str">
        <f>+'LISTA DE INSUMOS'!C11</f>
        <v>Día</v>
      </c>
      <c r="F3961" s="140">
        <v>1</v>
      </c>
      <c r="G3961" s="141">
        <f>'LISTA DE INSUMOS'!E11</f>
        <v>163723</v>
      </c>
      <c r="H3961" s="205">
        <f>1/8</f>
        <v>0.125</v>
      </c>
      <c r="I3961" s="141">
        <f>ROUND((F3961*G3961*H3961),0)</f>
        <v>20465</v>
      </c>
      <c r="J3961" s="47"/>
      <c r="K3961" s="143"/>
    </row>
    <row r="3962" spans="2:11" ht="24.9" customHeight="1" thickTop="1" thickBot="1" x14ac:dyDescent="0.25">
      <c r="B3962" s="150" t="s">
        <v>1033</v>
      </c>
      <c r="C3962" s="151" t="str">
        <f>+'LISTA DE INSUMOS'!A758</f>
        <v>EQU002</v>
      </c>
      <c r="D3962" s="146" t="str">
        <f>+'LISTA DE INSUMOS'!B758</f>
        <v>Herramienta menor (% mano obra)</v>
      </c>
      <c r="E3962" s="145" t="str">
        <f>+'LISTA DE INSUMOS'!C758</f>
        <v>%MO</v>
      </c>
      <c r="F3962" s="229">
        <v>0.05</v>
      </c>
      <c r="G3962" s="148">
        <f>I3961</f>
        <v>20465</v>
      </c>
      <c r="H3962" s="206">
        <v>0</v>
      </c>
      <c r="I3962" s="148">
        <f>ROUND((F3962*G3962),0)</f>
        <v>1023</v>
      </c>
      <c r="J3962" s="47"/>
      <c r="K3962" s="143"/>
    </row>
    <row r="3963" spans="2:11" ht="24.9" customHeight="1" x14ac:dyDescent="0.2">
      <c r="B3963" s="117" t="s">
        <v>2994</v>
      </c>
      <c r="C3963" s="120"/>
      <c r="D3963" s="112" t="s">
        <v>1372</v>
      </c>
      <c r="E3963" s="117" t="s">
        <v>1435</v>
      </c>
      <c r="F3963" s="118"/>
      <c r="G3963" s="119">
        <f>ROUND(SUM(I3964:I3973),0)</f>
        <v>126110</v>
      </c>
      <c r="H3963" s="120"/>
      <c r="I3963" s="119"/>
      <c r="J3963" s="47"/>
      <c r="K3963" s="143"/>
    </row>
    <row r="3964" spans="2:11" ht="24.9" customHeight="1" x14ac:dyDescent="0.2">
      <c r="B3964" s="672" t="s">
        <v>1035</v>
      </c>
      <c r="C3964" s="108" t="str">
        <f>+'LISTA DE INSUMOS'!A86</f>
        <v>MAT047</v>
      </c>
      <c r="D3964" s="139" t="str">
        <f>+'LISTA DE INSUMOS'!B86</f>
        <v>Cinta aislante 3/4 15m 18mm</v>
      </c>
      <c r="E3964" s="108" t="str">
        <f>+'LISTA DE INSUMOS'!C86</f>
        <v>un</v>
      </c>
      <c r="F3964" s="176">
        <v>3</v>
      </c>
      <c r="G3964" s="141">
        <f>'LISTA DE INSUMOS'!E86</f>
        <v>4433.0849999999991</v>
      </c>
      <c r="H3964" s="205">
        <v>0</v>
      </c>
      <c r="I3964" s="141">
        <f t="shared" ref="I3964:I3971" si="33">ROUND((F3964*G3964),0)</f>
        <v>13299</v>
      </c>
      <c r="J3964" s="47"/>
      <c r="K3964" s="143"/>
    </row>
    <row r="3965" spans="2:11" ht="24.9" customHeight="1" x14ac:dyDescent="0.2">
      <c r="B3965" s="672"/>
      <c r="C3965" s="108" t="str">
        <f>+'LISTA DE INSUMOS'!A283</f>
        <v>MAT255</v>
      </c>
      <c r="D3965" s="139" t="str">
        <f>+'LISTA DE INSUMOS'!B283</f>
        <v>Tubería PVC conduit de 1/2"</v>
      </c>
      <c r="E3965" s="108" t="str">
        <f>+'LISTA DE INSUMOS'!C283</f>
        <v>M</v>
      </c>
      <c r="F3965" s="176">
        <v>6</v>
      </c>
      <c r="G3965" s="141">
        <f>'LISTA DE INSUMOS'!E283</f>
        <v>1172.98353908736</v>
      </c>
      <c r="H3965" s="205">
        <v>1.03</v>
      </c>
      <c r="I3965" s="141">
        <f>ROUND((F3965*G3965*H3965),0)</f>
        <v>7249</v>
      </c>
      <c r="J3965" s="47"/>
      <c r="K3965" s="143"/>
    </row>
    <row r="3966" spans="2:11" ht="24.9" customHeight="1" x14ac:dyDescent="0.2">
      <c r="B3966" s="672"/>
      <c r="C3966" s="108" t="str">
        <f>+'LISTA DE INSUMOS'!A341</f>
        <v>MAT328</v>
      </c>
      <c r="D3966" s="139" t="str">
        <f>+'LISTA DE INSUMOS'!B341</f>
        <v>Adaptador PVC terminal de 1/2" conduit</v>
      </c>
      <c r="E3966" s="108" t="str">
        <f>+'LISTA DE INSUMOS'!C341</f>
        <v>Un</v>
      </c>
      <c r="F3966" s="176">
        <v>2</v>
      </c>
      <c r="G3966" s="141">
        <f>+'LISTA DE INSUMOS'!E341</f>
        <v>4195.9404299999997</v>
      </c>
      <c r="H3966" s="205">
        <v>0</v>
      </c>
      <c r="I3966" s="141">
        <f t="shared" si="33"/>
        <v>8392</v>
      </c>
      <c r="J3966" s="47"/>
      <c r="K3966" s="143"/>
    </row>
    <row r="3967" spans="2:11" ht="24.9" customHeight="1" x14ac:dyDescent="0.2">
      <c r="B3967" s="672"/>
      <c r="C3967" s="108" t="str">
        <f>+'LISTA DE INSUMOS'!A284</f>
        <v>MAT256</v>
      </c>
      <c r="D3967" s="139" t="str">
        <f>+'LISTA DE INSUMOS'!B284</f>
        <v>Alambre cobre # 12 AWG</v>
      </c>
      <c r="E3967" s="108" t="str">
        <f>+'LISTA DE INSUMOS'!C284</f>
        <v>M</v>
      </c>
      <c r="F3967" s="176">
        <v>18</v>
      </c>
      <c r="G3967" s="141">
        <f>'LISTA DE INSUMOS'!E284</f>
        <v>2176.4055919748998</v>
      </c>
      <c r="H3967" s="205">
        <v>1.03</v>
      </c>
      <c r="I3967" s="141">
        <f>ROUND((F3967*G3967*H3967),0)</f>
        <v>40351</v>
      </c>
      <c r="J3967" s="47"/>
      <c r="K3967" s="143"/>
    </row>
    <row r="3968" spans="2:11" ht="24.9" customHeight="1" x14ac:dyDescent="0.2">
      <c r="B3968" s="672"/>
      <c r="C3968" s="108" t="str">
        <f>+'LISTA DE INSUMOS'!A295</f>
        <v>MAT266</v>
      </c>
      <c r="D3968" s="139" t="str">
        <f>+'LISTA DE INSUMOS'!B295</f>
        <v>Toma corriente doble polo regulado a tierra</v>
      </c>
      <c r="E3968" s="108" t="str">
        <f>+'LISTA DE INSUMOS'!C295</f>
        <v>Un</v>
      </c>
      <c r="F3968" s="176">
        <v>1</v>
      </c>
      <c r="G3968" s="141">
        <f>'LISTA DE INSUMOS'!E295</f>
        <v>26954.942161290001</v>
      </c>
      <c r="H3968" s="205">
        <v>0</v>
      </c>
      <c r="I3968" s="141">
        <f t="shared" si="33"/>
        <v>26955</v>
      </c>
      <c r="J3968" s="47"/>
      <c r="K3968" s="143"/>
    </row>
    <row r="3969" spans="1:11" ht="24.9" customHeight="1" x14ac:dyDescent="0.2">
      <c r="B3969" s="672"/>
      <c r="C3969" s="108" t="str">
        <f>+'LISTA DE INSUMOS'!A651</f>
        <v>MAT667</v>
      </c>
      <c r="D3969" s="139" t="str">
        <f>+'LISTA DE INSUMOS'!B651</f>
        <v>Limpiador removedor PVC 1/4</v>
      </c>
      <c r="E3969" s="108" t="str">
        <f>+'LISTA DE INSUMOS'!C651</f>
        <v>Un</v>
      </c>
      <c r="F3969" s="152">
        <v>3.5999999999999997E-2</v>
      </c>
      <c r="G3969" s="141">
        <f>+'LISTA DE INSUMOS'!E651</f>
        <v>55927.469152499994</v>
      </c>
      <c r="H3969" s="108">
        <v>1.03</v>
      </c>
      <c r="I3969" s="141">
        <f>ROUND((F3969*G3969*H3969),0)</f>
        <v>2074</v>
      </c>
      <c r="J3969" s="47"/>
      <c r="K3969" s="143"/>
    </row>
    <row r="3970" spans="1:11" ht="24.9" customHeight="1" x14ac:dyDescent="0.2">
      <c r="B3970" s="672"/>
      <c r="C3970" s="108" t="str">
        <f>+'LISTA DE INSUMOS'!A650</f>
        <v>MAT666</v>
      </c>
      <c r="D3970" s="139" t="str">
        <f>+'LISTA DE INSUMOS'!B650</f>
        <v>Soldadura liquida para PVC 1/4 GL</v>
      </c>
      <c r="E3970" s="108" t="str">
        <f>+'LISTA DE INSUMOS'!C650</f>
        <v>Un</v>
      </c>
      <c r="F3970" s="152">
        <v>3.5999999999999997E-2</v>
      </c>
      <c r="G3970" s="141">
        <f>+'LISTA DE INSUMOS'!E650</f>
        <v>116100.56750324999</v>
      </c>
      <c r="H3970" s="108">
        <v>1.03</v>
      </c>
      <c r="I3970" s="141">
        <f>ROUND((F3970*G3970*H3970),0)</f>
        <v>4305</v>
      </c>
      <c r="J3970" s="47"/>
      <c r="K3970" s="143"/>
    </row>
    <row r="3971" spans="1:11" ht="24.9" customHeight="1" thickBot="1" x14ac:dyDescent="0.25">
      <c r="B3971" s="673"/>
      <c r="C3971" s="108" t="str">
        <f>+'LISTA DE INSUMOS'!A290</f>
        <v>MAT259</v>
      </c>
      <c r="D3971" s="139" t="str">
        <f>+'LISTA DE INSUMOS'!B290</f>
        <v>Caja plástica conduit doble cumple norma Retie</v>
      </c>
      <c r="E3971" s="108" t="str">
        <f>+'LISTA DE INSUMOS'!C290</f>
        <v>Un</v>
      </c>
      <c r="F3971" s="176">
        <v>1</v>
      </c>
      <c r="G3971" s="141">
        <f>'LISTA DE INSUMOS'!E290</f>
        <v>1997.2676446799999</v>
      </c>
      <c r="H3971" s="205">
        <v>0</v>
      </c>
      <c r="I3971" s="141">
        <f t="shared" si="33"/>
        <v>1997</v>
      </c>
      <c r="J3971" s="47"/>
      <c r="K3971" s="143"/>
    </row>
    <row r="3972" spans="1:11" ht="24.9" customHeight="1" thickTop="1" thickBot="1" x14ac:dyDescent="0.25">
      <c r="B3972" s="250" t="s">
        <v>1034</v>
      </c>
      <c r="C3972" s="108" t="str">
        <f>+'LISTA DE INSUMOS'!A11</f>
        <v>MOB008</v>
      </c>
      <c r="D3972" s="139" t="str">
        <f>+'LISTA DE INSUMOS'!B11</f>
        <v>Oficial eléctrico (jornal + prestaciones)</v>
      </c>
      <c r="E3972" s="108" t="str">
        <f>+'LISTA DE INSUMOS'!C11</f>
        <v>Día</v>
      </c>
      <c r="F3972" s="140">
        <v>1</v>
      </c>
      <c r="G3972" s="141">
        <f>'LISTA DE INSUMOS'!E11</f>
        <v>163723</v>
      </c>
      <c r="H3972" s="205">
        <f>1/8</f>
        <v>0.125</v>
      </c>
      <c r="I3972" s="141">
        <f>ROUND((F3972*G3972*H3972),0)</f>
        <v>20465</v>
      </c>
      <c r="J3972" s="47"/>
      <c r="K3972" s="143"/>
    </row>
    <row r="3973" spans="1:11" ht="24.9" customHeight="1" thickTop="1" thickBot="1" x14ac:dyDescent="0.25">
      <c r="B3973" s="150" t="s">
        <v>1033</v>
      </c>
      <c r="C3973" s="151" t="str">
        <f>+'LISTA DE INSUMOS'!A758</f>
        <v>EQU002</v>
      </c>
      <c r="D3973" s="146" t="str">
        <f>+'LISTA DE INSUMOS'!B758</f>
        <v>Herramienta menor (% mano obra)</v>
      </c>
      <c r="E3973" s="145" t="str">
        <f>+'LISTA DE INSUMOS'!C758</f>
        <v>%MO</v>
      </c>
      <c r="F3973" s="229">
        <v>0.05</v>
      </c>
      <c r="G3973" s="148">
        <f>I3972</f>
        <v>20465</v>
      </c>
      <c r="H3973" s="206">
        <v>0</v>
      </c>
      <c r="I3973" s="148">
        <f>ROUND((F3973*G3973),0)</f>
        <v>1023</v>
      </c>
      <c r="J3973" s="47"/>
      <c r="K3973" s="143"/>
    </row>
    <row r="3974" spans="1:11" s="317" customFormat="1" ht="24.9" hidden="1" customHeight="1" x14ac:dyDescent="0.2">
      <c r="B3974" s="319" t="s">
        <v>1872</v>
      </c>
      <c r="C3974" s="322"/>
      <c r="D3974" s="320" t="s">
        <v>1749</v>
      </c>
      <c r="E3974" s="319" t="s">
        <v>1435</v>
      </c>
      <c r="F3974" s="321"/>
      <c r="G3974" s="312">
        <f>ROUND(SUM(I3975:I3979),0)</f>
        <v>2056829</v>
      </c>
      <c r="H3974" s="322"/>
      <c r="I3974" s="312"/>
      <c r="J3974" s="313"/>
      <c r="K3974" s="323"/>
    </row>
    <row r="3975" spans="1:11" s="317" customFormat="1" ht="24.9" hidden="1" customHeight="1" x14ac:dyDescent="0.2">
      <c r="B3975" s="691" t="s">
        <v>1035</v>
      </c>
      <c r="C3975" s="322" t="str">
        <f>+'LISTA DE INSUMOS'!A480</f>
        <v>MAT499</v>
      </c>
      <c r="D3975" s="324" t="str">
        <f>+'LISTA DE INSUMOS'!B480</f>
        <v xml:space="preserve">Caja metálica C.18 con espacio para medidor electrónico  y totalizador </v>
      </c>
      <c r="E3975" s="322" t="str">
        <f>+'LISTA DE INSUMOS'!C480</f>
        <v>Un</v>
      </c>
      <c r="F3975" s="321">
        <v>1</v>
      </c>
      <c r="G3975" s="312">
        <f>'LISTA DE INSUMOS'!E480</f>
        <v>296405.29181257274</v>
      </c>
      <c r="H3975" s="349">
        <v>0</v>
      </c>
      <c r="I3975" s="312">
        <f>ROUND((F3975*G3975),0)</f>
        <v>296405</v>
      </c>
      <c r="J3975" s="313"/>
      <c r="K3975" s="323"/>
    </row>
    <row r="3976" spans="1:11" s="317" customFormat="1" ht="24.9" hidden="1" customHeight="1" x14ac:dyDescent="0.2">
      <c r="B3976" s="691"/>
      <c r="C3976" s="322" t="str">
        <f>+'LISTA DE INSUMOS'!A481</f>
        <v>MAT500</v>
      </c>
      <c r="D3976" s="324" t="str">
        <f>+'LISTA DE INSUMOS'!B481</f>
        <v>Medidor electrónico trifásico medición directa</v>
      </c>
      <c r="E3976" s="322" t="str">
        <f>+'LISTA DE INSUMOS'!C481</f>
        <v>Un</v>
      </c>
      <c r="F3976" s="321">
        <v>1</v>
      </c>
      <c r="G3976" s="312">
        <f>+'LISTA DE INSUMOS'!E481</f>
        <v>1199967.4404148832</v>
      </c>
      <c r="H3976" s="349">
        <v>0</v>
      </c>
      <c r="I3976" s="312">
        <f>ROUND((F3976*G3976),0)</f>
        <v>1199967</v>
      </c>
      <c r="J3976" s="313"/>
      <c r="K3976" s="323"/>
    </row>
    <row r="3977" spans="1:11" s="317" customFormat="1" ht="24.9" hidden="1" customHeight="1" thickBot="1" x14ac:dyDescent="0.25">
      <c r="B3977" s="692"/>
      <c r="C3977" s="322" t="str">
        <f>+'LISTA DE INSUMOS'!A482</f>
        <v>MAT501</v>
      </c>
      <c r="D3977" s="324" t="str">
        <f>+'LISTA DE INSUMOS'!B482</f>
        <v>Totalizador trifásico regulable 3 x 100 Amp de incrustar</v>
      </c>
      <c r="E3977" s="322" t="str">
        <f>+'LISTA DE INSUMOS'!C482</f>
        <v>Un</v>
      </c>
      <c r="F3977" s="321">
        <v>1</v>
      </c>
      <c r="G3977" s="312">
        <f>'LISTA DE INSUMOS'!E482</f>
        <v>388548.15388021711</v>
      </c>
      <c r="H3977" s="349">
        <v>0</v>
      </c>
      <c r="I3977" s="312">
        <f>ROUND((F3977*G3977),0)</f>
        <v>388548</v>
      </c>
      <c r="J3977" s="313"/>
      <c r="K3977" s="323"/>
    </row>
    <row r="3978" spans="1:11" s="317" customFormat="1" ht="24.9" hidden="1" customHeight="1" thickTop="1" thickBot="1" x14ac:dyDescent="0.25">
      <c r="B3978" s="372" t="s">
        <v>1034</v>
      </c>
      <c r="C3978" s="322" t="str">
        <f>+'LISTA DE INSUMOS'!A11</f>
        <v>MOB008</v>
      </c>
      <c r="D3978" s="324" t="str">
        <f>+'LISTA DE INSUMOS'!B11</f>
        <v>Oficial eléctrico (jornal + prestaciones)</v>
      </c>
      <c r="E3978" s="322" t="str">
        <f>+'LISTA DE INSUMOS'!C11</f>
        <v>Día</v>
      </c>
      <c r="F3978" s="325">
        <v>1</v>
      </c>
      <c r="G3978" s="312">
        <f>'LISTA DE INSUMOS'!E11</f>
        <v>163723</v>
      </c>
      <c r="H3978" s="349">
        <f>1</f>
        <v>1</v>
      </c>
      <c r="I3978" s="312">
        <f>ROUND((F3978*G3978*H3978),0)</f>
        <v>163723</v>
      </c>
      <c r="J3978" s="313"/>
      <c r="K3978" s="323"/>
    </row>
    <row r="3979" spans="1:11" s="317" customFormat="1" ht="24.9" hidden="1" customHeight="1" thickTop="1" thickBot="1" x14ac:dyDescent="0.25">
      <c r="B3979" s="255" t="s">
        <v>1033</v>
      </c>
      <c r="C3979" s="327" t="str">
        <f>+'LISTA DE INSUMOS'!A758</f>
        <v>EQU002</v>
      </c>
      <c r="D3979" s="328" t="str">
        <f>+'LISTA DE INSUMOS'!B758</f>
        <v>Herramienta menor (% mano obra)</v>
      </c>
      <c r="E3979" s="329" t="str">
        <f>+'LISTA DE INSUMOS'!C758</f>
        <v>%MO</v>
      </c>
      <c r="F3979" s="362">
        <v>0.05</v>
      </c>
      <c r="G3979" s="331">
        <f>I3978</f>
        <v>163723</v>
      </c>
      <c r="H3979" s="350">
        <v>0</v>
      </c>
      <c r="I3979" s="331">
        <f>ROUND((F3979*G3979),0)</f>
        <v>8186</v>
      </c>
      <c r="J3979" s="313"/>
      <c r="K3979" s="323"/>
    </row>
    <row r="3980" spans="1:11" ht="24.9" customHeight="1" x14ac:dyDescent="0.2">
      <c r="B3980" s="117" t="s">
        <v>1815</v>
      </c>
      <c r="C3980" s="120"/>
      <c r="D3980" s="112" t="s">
        <v>1948</v>
      </c>
      <c r="E3980" s="117" t="s">
        <v>1435</v>
      </c>
      <c r="F3980" s="118"/>
      <c r="G3980" s="119">
        <f>ROUND(SUM(I3981:I3987),0)</f>
        <v>450139</v>
      </c>
      <c r="H3980" s="120"/>
      <c r="I3980" s="119"/>
      <c r="J3980" s="47"/>
      <c r="K3980" s="143"/>
    </row>
    <row r="3981" spans="1:11" ht="24.9" customHeight="1" x14ac:dyDescent="0.2">
      <c r="B3981" s="672" t="s">
        <v>1035</v>
      </c>
      <c r="C3981" s="108" t="str">
        <f>+'LISTA DE INSUMOS'!A483</f>
        <v>MAT502</v>
      </c>
      <c r="D3981" s="139" t="str">
        <f>+'LISTA DE INSUMOS'!B483</f>
        <v>Tablero de 8 circuitos trifilar con tapa</v>
      </c>
      <c r="E3981" s="108" t="str">
        <f>+'LISTA DE INSUMOS'!C483</f>
        <v>Un</v>
      </c>
      <c r="F3981" s="176">
        <v>1</v>
      </c>
      <c r="G3981" s="141">
        <f>'LISTA DE INSUMOS'!E483</f>
        <v>112669.39242635999</v>
      </c>
      <c r="H3981" s="205">
        <v>0</v>
      </c>
      <c r="I3981" s="141">
        <f>ROUND((F3981*G3981),0)</f>
        <v>112669</v>
      </c>
      <c r="J3981" s="47"/>
      <c r="K3981" s="143"/>
    </row>
    <row r="3982" spans="1:11" ht="24.9" customHeight="1" x14ac:dyDescent="0.2">
      <c r="B3982" s="672"/>
      <c r="C3982" s="108" t="str">
        <f>+'LISTA DE INSUMOS'!A484</f>
        <v>MAT503</v>
      </c>
      <c r="D3982" s="139" t="str">
        <f>+'LISTA DE INSUMOS'!B484</f>
        <v>Breaker monofásico de 60A</v>
      </c>
      <c r="E3982" s="108" t="str">
        <f>+'LISTA DE INSUMOS'!C484</f>
        <v>Un</v>
      </c>
      <c r="F3982" s="176">
        <v>8</v>
      </c>
      <c r="G3982" s="141">
        <f>'LISTA DE INSUMOS'!E484</f>
        <v>24946.401570547379</v>
      </c>
      <c r="H3982" s="205">
        <v>0</v>
      </c>
      <c r="I3982" s="141">
        <f>ROUND((F3982*G3982),0)</f>
        <v>199571</v>
      </c>
      <c r="J3982" s="47"/>
      <c r="K3982" s="143"/>
    </row>
    <row r="3983" spans="1:11" ht="24.9" customHeight="1" x14ac:dyDescent="0.2">
      <c r="B3983" s="672"/>
      <c r="C3983" s="108" t="str">
        <f>+'LISTA DE INSUMOS'!A283</f>
        <v>MAT255</v>
      </c>
      <c r="D3983" s="139" t="str">
        <f>+'LISTA DE INSUMOS'!B283</f>
        <v>Tubería PVC conduit de 1/2"</v>
      </c>
      <c r="E3983" s="108" t="str">
        <f>+'LISTA DE INSUMOS'!C283</f>
        <v>M</v>
      </c>
      <c r="F3983" s="176">
        <v>6</v>
      </c>
      <c r="G3983" s="141">
        <f>'LISTA DE INSUMOS'!E283</f>
        <v>1172.98353908736</v>
      </c>
      <c r="H3983" s="205">
        <v>1.03</v>
      </c>
      <c r="I3983" s="141">
        <f>ROUND((F3983*G3983*H3983),0)</f>
        <v>7249</v>
      </c>
      <c r="J3983" s="47"/>
      <c r="K3983" s="143"/>
    </row>
    <row r="3984" spans="1:11" ht="24.9" customHeight="1" x14ac:dyDescent="0.2">
      <c r="A3984" s="735"/>
      <c r="B3984" s="672"/>
      <c r="C3984" s="108" t="str">
        <f>+'LISTA DE INSUMOS'!A351</f>
        <v>MAT344</v>
      </c>
      <c r="D3984" s="139" t="str">
        <f>+'LISTA DE INSUMOS'!B351</f>
        <v>Alambre cobre #   8 AWG</v>
      </c>
      <c r="E3984" s="108" t="str">
        <f>+'LISTA DE INSUMOS'!C351</f>
        <v>M</v>
      </c>
      <c r="F3984" s="176">
        <v>6</v>
      </c>
      <c r="G3984" s="141">
        <f>'LISTA DE INSUMOS'!E351</f>
        <v>5719.3914393758996</v>
      </c>
      <c r="H3984" s="205">
        <v>1.03</v>
      </c>
      <c r="I3984" s="141">
        <f>ROUND((F3984*G3984*H3984),0)</f>
        <v>35346</v>
      </c>
      <c r="J3984" s="47"/>
      <c r="K3984" s="143"/>
    </row>
    <row r="3985" spans="1:11" ht="24.9" customHeight="1" thickBot="1" x14ac:dyDescent="0.25">
      <c r="A3985" s="735"/>
      <c r="B3985" s="673"/>
      <c r="C3985" s="108" t="str">
        <f>+'LISTA DE INSUMOS'!A197</f>
        <v>MAT157</v>
      </c>
      <c r="D3985" s="139" t="str">
        <f>+'LISTA DE INSUMOS'!B197</f>
        <v>Alambre cobre # 10 AWG</v>
      </c>
      <c r="E3985" s="108" t="str">
        <f>+'LISTA DE INSUMOS'!C197</f>
        <v>M</v>
      </c>
      <c r="F3985" s="176">
        <v>3</v>
      </c>
      <c r="G3985" s="141">
        <f>'LISTA DE INSUMOS'!E197</f>
        <v>3025.7078999999999</v>
      </c>
      <c r="H3985" s="205">
        <v>1.03</v>
      </c>
      <c r="I3985" s="141">
        <f>ROUND((F3985*G3985*H3985),0)</f>
        <v>9349</v>
      </c>
      <c r="J3985" s="47"/>
      <c r="K3985" s="143"/>
    </row>
    <row r="3986" spans="1:11" ht="24.9" customHeight="1" thickTop="1" thickBot="1" x14ac:dyDescent="0.25">
      <c r="A3986" s="735"/>
      <c r="B3986" s="250" t="s">
        <v>1034</v>
      </c>
      <c r="C3986" s="108" t="str">
        <f>+'LISTA DE INSUMOS'!A11</f>
        <v>MOB008</v>
      </c>
      <c r="D3986" s="139" t="str">
        <f>+'LISTA DE INSUMOS'!B11</f>
        <v>Oficial eléctrico (jornal + prestaciones)</v>
      </c>
      <c r="E3986" s="108" t="str">
        <f>+'LISTA DE INSUMOS'!C11</f>
        <v>Día</v>
      </c>
      <c r="F3986" s="140">
        <v>1</v>
      </c>
      <c r="G3986" s="141">
        <f>'LISTA DE INSUMOS'!E11</f>
        <v>163723</v>
      </c>
      <c r="H3986" s="205">
        <f>1/2</f>
        <v>0.5</v>
      </c>
      <c r="I3986" s="141">
        <f>ROUND((F3986*G3986*H3986),0)</f>
        <v>81862</v>
      </c>
      <c r="J3986" s="47"/>
      <c r="K3986" s="143"/>
    </row>
    <row r="3987" spans="1:11" ht="24.9" customHeight="1" thickTop="1" thickBot="1" x14ac:dyDescent="0.25">
      <c r="A3987" s="735"/>
      <c r="B3987" s="150" t="s">
        <v>1033</v>
      </c>
      <c r="C3987" s="151" t="str">
        <f>+'LISTA DE INSUMOS'!A758</f>
        <v>EQU002</v>
      </c>
      <c r="D3987" s="146" t="str">
        <f>+'LISTA DE INSUMOS'!B758</f>
        <v>Herramienta menor (% mano obra)</v>
      </c>
      <c r="E3987" s="145" t="str">
        <f>+'LISTA DE INSUMOS'!C758</f>
        <v>%MO</v>
      </c>
      <c r="F3987" s="229">
        <v>0.05</v>
      </c>
      <c r="G3987" s="148">
        <f>I3986</f>
        <v>81862</v>
      </c>
      <c r="H3987" s="206">
        <v>0</v>
      </c>
      <c r="I3987" s="148">
        <f>ROUND((F3987*G3987),0)</f>
        <v>4093</v>
      </c>
      <c r="J3987" s="47"/>
      <c r="K3987" s="143"/>
    </row>
    <row r="3988" spans="1:11" s="317" customFormat="1" ht="24.9" hidden="1" customHeight="1" x14ac:dyDescent="0.2">
      <c r="A3988" s="735"/>
      <c r="B3988" s="319" t="s">
        <v>1874</v>
      </c>
      <c r="C3988" s="322"/>
      <c r="D3988" s="320" t="s">
        <v>2556</v>
      </c>
      <c r="E3988" s="319" t="s">
        <v>1435</v>
      </c>
      <c r="F3988" s="321"/>
      <c r="G3988" s="312">
        <f>ROUND(SUM(I3989:I3990),0)</f>
        <v>190799</v>
      </c>
      <c r="H3988" s="322"/>
      <c r="I3988" s="312"/>
      <c r="J3988" s="313"/>
      <c r="K3988" s="323"/>
    </row>
    <row r="3989" spans="1:11" s="317" customFormat="1" ht="24.9" hidden="1" customHeight="1" thickBot="1" x14ac:dyDescent="0.25">
      <c r="A3989" s="735"/>
      <c r="B3989" s="347" t="s">
        <v>1325</v>
      </c>
      <c r="C3989" s="322" t="str">
        <f>+'LISTA DE INSUMOS'!A485</f>
        <v>MAT504</v>
      </c>
      <c r="D3989" s="324" t="str">
        <f>+'LISTA DE INSUMOS'!B485</f>
        <v>Lampara Panel Led Incrustar 60x60 46W Blanca</v>
      </c>
      <c r="E3989" s="322" t="str">
        <f>+'LISTA DE INSUMOS'!C485</f>
        <v>Un</v>
      </c>
      <c r="F3989" s="321">
        <v>1</v>
      </c>
      <c r="G3989" s="312">
        <f>'LISTA DE INSUMOS'!E485</f>
        <v>158054.36249341202</v>
      </c>
      <c r="H3989" s="349">
        <v>0</v>
      </c>
      <c r="I3989" s="312">
        <f>ROUND((F3989*G3989),0)</f>
        <v>158054</v>
      </c>
      <c r="J3989" s="313"/>
      <c r="K3989" s="323"/>
    </row>
    <row r="3990" spans="1:11" s="317" customFormat="1" ht="24.9" hidden="1" customHeight="1" thickTop="1" thickBot="1" x14ac:dyDescent="0.25">
      <c r="A3990" s="382"/>
      <c r="B3990" s="363" t="s">
        <v>1034</v>
      </c>
      <c r="C3990" s="329" t="str">
        <f>+'LISTA DE INSUMOS'!A11</f>
        <v>MOB008</v>
      </c>
      <c r="D3990" s="328" t="str">
        <f>+'LISTA DE INSUMOS'!B11</f>
        <v>Oficial eléctrico (jornal + prestaciones)</v>
      </c>
      <c r="E3990" s="329" t="str">
        <f>+'LISTA DE INSUMOS'!C11</f>
        <v>Día</v>
      </c>
      <c r="F3990" s="330">
        <v>1</v>
      </c>
      <c r="G3990" s="331">
        <f>'LISTA DE INSUMOS'!E11</f>
        <v>163723</v>
      </c>
      <c r="H3990" s="350">
        <f>1/5</f>
        <v>0.2</v>
      </c>
      <c r="I3990" s="331">
        <f>ROUND((F3990*G3990*H3990),0)</f>
        <v>32745</v>
      </c>
      <c r="J3990" s="313"/>
      <c r="K3990" s="323"/>
    </row>
    <row r="3991" spans="1:11" s="317" customFormat="1" ht="24.9" hidden="1" customHeight="1" x14ac:dyDescent="0.2">
      <c r="A3991" s="382"/>
      <c r="B3991" s="319" t="s">
        <v>2389</v>
      </c>
      <c r="C3991" s="322"/>
      <c r="D3991" s="320" t="s">
        <v>55</v>
      </c>
      <c r="E3991" s="319" t="s">
        <v>1435</v>
      </c>
      <c r="F3991" s="321"/>
      <c r="G3991" s="312">
        <f>ROUND(SUM(I3992:I3995),0)</f>
        <v>882673</v>
      </c>
      <c r="H3991" s="322"/>
      <c r="I3991" s="312"/>
      <c r="J3991" s="313"/>
      <c r="K3991" s="323"/>
    </row>
    <row r="3992" spans="1:11" s="317" customFormat="1" ht="24.9" hidden="1" customHeight="1" x14ac:dyDescent="0.2">
      <c r="B3992" s="691" t="s">
        <v>1035</v>
      </c>
      <c r="C3992" s="322" t="str">
        <f>+'LISTA DE INSUMOS'!A487</f>
        <v>MAT505</v>
      </c>
      <c r="D3992" s="324" t="str">
        <f>+'LISTA DE INSUMOS'!B487</f>
        <v>Reflector RRA 250W M.H completa con bombillo</v>
      </c>
      <c r="E3992" s="322" t="str">
        <f>+'LISTA DE INSUMOS'!C487</f>
        <v>Un</v>
      </c>
      <c r="F3992" s="321">
        <v>1</v>
      </c>
      <c r="G3992" s="312">
        <f>'LISTA DE INSUMOS'!E487</f>
        <v>819310.67418472271</v>
      </c>
      <c r="H3992" s="349">
        <v>0</v>
      </c>
      <c r="I3992" s="312">
        <f>ROUND((F3992*G3992),0)</f>
        <v>819311</v>
      </c>
      <c r="J3992" s="313"/>
      <c r="K3992" s="323"/>
    </row>
    <row r="3993" spans="1:11" s="317" customFormat="1" ht="24.9" hidden="1" customHeight="1" x14ac:dyDescent="0.2">
      <c r="B3993" s="691"/>
      <c r="C3993" s="322" t="str">
        <f>+'LISTA DE INSUMOS'!A488</f>
        <v>MAT506</v>
      </c>
      <c r="D3993" s="324" t="str">
        <f>+'LISTA DE INSUMOS'!B488</f>
        <v>Accesorios para instalación y fijación de reflector RRA 250 W M. H.</v>
      </c>
      <c r="E3993" s="322" t="str">
        <f>+'LISTA DE INSUMOS'!C488</f>
        <v>Un</v>
      </c>
      <c r="F3993" s="321">
        <v>1</v>
      </c>
      <c r="G3993" s="312">
        <f>'LISTA DE INSUMOS'!E488</f>
        <v>8299.0652443189902</v>
      </c>
      <c r="H3993" s="349">
        <v>0</v>
      </c>
      <c r="I3993" s="312">
        <f>ROUND((F3993*G3993),0)</f>
        <v>8299</v>
      </c>
      <c r="J3993" s="313"/>
      <c r="K3993" s="323"/>
    </row>
    <row r="3994" spans="1:11" s="317" customFormat="1" ht="24.9" hidden="1" customHeight="1" thickBot="1" x14ac:dyDescent="0.25">
      <c r="B3994" s="692"/>
      <c r="C3994" s="322" t="str">
        <f>+'LISTA DE INSUMOS'!A489</f>
        <v>MAT507</v>
      </c>
      <c r="D3994" s="324" t="str">
        <f>+'LISTA DE INSUMOS'!B489</f>
        <v>Conectores de resorte de 2 salidas</v>
      </c>
      <c r="E3994" s="322" t="str">
        <f>+'LISTA DE INSUMOS'!C489</f>
        <v>Un</v>
      </c>
      <c r="F3994" s="321">
        <v>2</v>
      </c>
      <c r="G3994" s="312">
        <f>'LISTA DE INSUMOS'!E489</f>
        <v>244.37157064319999</v>
      </c>
      <c r="H3994" s="349">
        <v>0</v>
      </c>
      <c r="I3994" s="312">
        <f>ROUND((F3994*G3994),0)</f>
        <v>489</v>
      </c>
      <c r="J3994" s="313"/>
      <c r="K3994" s="323"/>
    </row>
    <row r="3995" spans="1:11" s="317" customFormat="1" ht="24.9" hidden="1" customHeight="1" thickTop="1" thickBot="1" x14ac:dyDescent="0.25">
      <c r="B3995" s="363" t="s">
        <v>1034</v>
      </c>
      <c r="C3995" s="329" t="str">
        <f>+'LISTA DE INSUMOS'!A11</f>
        <v>MOB008</v>
      </c>
      <c r="D3995" s="328" t="str">
        <f>+'LISTA DE INSUMOS'!B11</f>
        <v>Oficial eléctrico (jornal + prestaciones)</v>
      </c>
      <c r="E3995" s="329" t="str">
        <f>+'LISTA DE INSUMOS'!C11</f>
        <v>Día</v>
      </c>
      <c r="F3995" s="330">
        <v>1</v>
      </c>
      <c r="G3995" s="331">
        <f>'LISTA DE INSUMOS'!E11</f>
        <v>163723</v>
      </c>
      <c r="H3995" s="350">
        <f>1/3</f>
        <v>0.33333333333333331</v>
      </c>
      <c r="I3995" s="331">
        <f>ROUND((F3995*G3995*H3995),0)</f>
        <v>54574</v>
      </c>
      <c r="J3995" s="313"/>
      <c r="K3995" s="323"/>
    </row>
    <row r="3996" spans="1:11" s="317" customFormat="1" ht="24.9" hidden="1" customHeight="1" x14ac:dyDescent="0.2">
      <c r="B3996" s="319" t="s">
        <v>1686</v>
      </c>
      <c r="C3996" s="322"/>
      <c r="D3996" s="320" t="s">
        <v>1458</v>
      </c>
      <c r="E3996" s="319" t="s">
        <v>1412</v>
      </c>
      <c r="F3996" s="321"/>
      <c r="G3996" s="312">
        <f>ROUND(SUM(I3997:I3999),0)</f>
        <v>21892</v>
      </c>
      <c r="H3996" s="322"/>
      <c r="I3996" s="312"/>
      <c r="J3996" s="313"/>
      <c r="K3996" s="323"/>
    </row>
    <row r="3997" spans="1:11" s="317" customFormat="1" ht="24.9" hidden="1" customHeight="1" x14ac:dyDescent="0.2">
      <c r="B3997" s="658" t="s">
        <v>1325</v>
      </c>
      <c r="C3997" s="322" t="str">
        <f>+'LISTA DE INSUMOS'!A490</f>
        <v>MAT508</v>
      </c>
      <c r="D3997" s="324" t="str">
        <f>+'LISTA DE INSUMOS'!B490</f>
        <v>Cable trenzado 1 x 4 + 4</v>
      </c>
      <c r="E3997" s="322" t="str">
        <f>+'LISTA DE INSUMOS'!C490</f>
        <v>M</v>
      </c>
      <c r="F3997" s="321">
        <v>1</v>
      </c>
      <c r="G3997" s="312">
        <f>'LISTA DE INSUMOS'!E490</f>
        <v>4900.7380650013492</v>
      </c>
      <c r="H3997" s="349">
        <v>0</v>
      </c>
      <c r="I3997" s="312">
        <f>ROUND((F3997*G3997),0)</f>
        <v>4901</v>
      </c>
      <c r="J3997" s="313"/>
      <c r="K3997" s="323"/>
    </row>
    <row r="3998" spans="1:11" s="317" customFormat="1" ht="24.9" hidden="1" customHeight="1" thickBot="1" x14ac:dyDescent="0.25">
      <c r="B3998" s="668"/>
      <c r="C3998" s="322" t="str">
        <f>+'LISTA DE INSUMOS'!A302</f>
        <v>MAT275</v>
      </c>
      <c r="D3998" s="324" t="str">
        <f>+'LISTA DE INSUMOS'!B302</f>
        <v>Tubería PVC conduit de 3/4"</v>
      </c>
      <c r="E3998" s="322" t="str">
        <f>+'LISTA DE INSUMOS'!C302</f>
        <v>M</v>
      </c>
      <c r="F3998" s="321">
        <v>1</v>
      </c>
      <c r="G3998" s="312">
        <f>'LISTA DE INSUMOS'!E302</f>
        <v>3249.6719442263998</v>
      </c>
      <c r="H3998" s="349">
        <v>1.03</v>
      </c>
      <c r="I3998" s="312">
        <f>ROUND((F3998*G3998*H3998),0)</f>
        <v>3347</v>
      </c>
      <c r="J3998" s="313"/>
      <c r="K3998" s="323"/>
    </row>
    <row r="3999" spans="1:11" s="317" customFormat="1" ht="24.9" hidden="1" customHeight="1" thickTop="1" thickBot="1" x14ac:dyDescent="0.25">
      <c r="B3999" s="363" t="s">
        <v>1034</v>
      </c>
      <c r="C3999" s="329" t="str">
        <f>+'LISTA DE INSUMOS'!A11</f>
        <v>MOB008</v>
      </c>
      <c r="D3999" s="328" t="str">
        <f>+'LISTA DE INSUMOS'!B11</f>
        <v>Oficial eléctrico (jornal + prestaciones)</v>
      </c>
      <c r="E3999" s="329" t="str">
        <f>+'LISTA DE INSUMOS'!C11</f>
        <v>Día</v>
      </c>
      <c r="F3999" s="330">
        <v>1</v>
      </c>
      <c r="G3999" s="331">
        <f>'LISTA DE INSUMOS'!E11</f>
        <v>163723</v>
      </c>
      <c r="H3999" s="350">
        <f>1/12</f>
        <v>8.3333333333333329E-2</v>
      </c>
      <c r="I3999" s="331">
        <f>ROUND((F3999*G3999*H3999),0)</f>
        <v>13644</v>
      </c>
      <c r="J3999" s="313"/>
      <c r="K3999" s="323"/>
    </row>
    <row r="4000" spans="1:11" s="317" customFormat="1" ht="24.9" hidden="1" customHeight="1" x14ac:dyDescent="0.2">
      <c r="B4000" s="372" t="s">
        <v>1688</v>
      </c>
      <c r="C4000" s="322"/>
      <c r="D4000" s="313" t="s">
        <v>331</v>
      </c>
      <c r="E4000" s="322" t="s">
        <v>1435</v>
      </c>
      <c r="F4000" s="332"/>
      <c r="G4000" s="312">
        <f>ROUND(SUM(I4000:I4004),0)</f>
        <v>2489186</v>
      </c>
      <c r="H4000" s="349"/>
      <c r="I4000" s="312"/>
      <c r="J4000" s="313"/>
      <c r="K4000" s="323"/>
    </row>
    <row r="4001" spans="2:11" s="317" customFormat="1" ht="24.9" hidden="1" customHeight="1" x14ac:dyDescent="0.2">
      <c r="B4001" s="322" t="s">
        <v>1325</v>
      </c>
      <c r="C4001" s="338" t="str">
        <f>+'LISTA DE INSUMOS'!A226</f>
        <v>MAT194</v>
      </c>
      <c r="D4001" s="339" t="str">
        <f>+'LISTA DE INSUMOS'!B226</f>
        <v>Poste metálico h = 12 m, brazo sencillo, pintado</v>
      </c>
      <c r="E4001" s="322" t="str">
        <f>+'LISTA DE INSUMOS'!C226</f>
        <v>Un</v>
      </c>
      <c r="F4001" s="321">
        <v>1</v>
      </c>
      <c r="G4001" s="312">
        <f>'LISTA DE INSUMOS'!E226</f>
        <v>2374639.1537472443</v>
      </c>
      <c r="H4001" s="349">
        <v>0</v>
      </c>
      <c r="I4001" s="312">
        <f>ROUND((F4001*G4001),0)</f>
        <v>2374639</v>
      </c>
      <c r="J4001" s="313"/>
      <c r="K4001" s="323"/>
    </row>
    <row r="4002" spans="2:11" s="317" customFormat="1" ht="24.9" hidden="1" customHeight="1" thickBot="1" x14ac:dyDescent="0.25">
      <c r="B4002" s="372" t="s">
        <v>1034</v>
      </c>
      <c r="C4002" s="338" t="str">
        <f>+'LISTA DE INSUMOS'!A24</f>
        <v>MOB021</v>
      </c>
      <c r="D4002" s="368" t="str">
        <f>+'LISTA DE INSUMOS'!B24</f>
        <v>Cuadrilla K (1Of eléctrico+2Ay eléctricos) (jornal + prestaciones)</v>
      </c>
      <c r="E4002" s="338" t="str">
        <f>+'LISTA DE INSUMOS'!C24</f>
        <v>Día</v>
      </c>
      <c r="F4002" s="321">
        <v>1</v>
      </c>
      <c r="G4002" s="312">
        <f>'LISTA DE INSUMOS'!E24</f>
        <v>425679</v>
      </c>
      <c r="H4002" s="349">
        <f>1/6</f>
        <v>0.16666666666666666</v>
      </c>
      <c r="I4002" s="312">
        <f>ROUND((F4002*G4002*H4002),0)</f>
        <v>70947</v>
      </c>
      <c r="J4002" s="313"/>
      <c r="K4002" s="323"/>
    </row>
    <row r="4003" spans="2:11" s="317" customFormat="1" ht="24.9" hidden="1" customHeight="1" thickTop="1" x14ac:dyDescent="0.2">
      <c r="B4003" s="688" t="s">
        <v>1033</v>
      </c>
      <c r="C4003" s="338" t="str">
        <f>+'LISTA DE INSUMOS'!A795</f>
        <v>EQU038</v>
      </c>
      <c r="D4003" s="339" t="str">
        <f>+'LISTA DE INSUMOS'!B795</f>
        <v>Grua montacarga</v>
      </c>
      <c r="E4003" s="338" t="str">
        <f>+'LISTA DE INSUMOS'!C795</f>
        <v>Hr</v>
      </c>
      <c r="F4003" s="321">
        <v>1</v>
      </c>
      <c r="G4003" s="312">
        <f>'LISTA DE INSUMOS'!E795</f>
        <v>80105.478023999996</v>
      </c>
      <c r="H4003" s="349">
        <f>1/2</f>
        <v>0.5</v>
      </c>
      <c r="I4003" s="312">
        <f>ROUND((F4003*G4003*H4003),0)</f>
        <v>40053</v>
      </c>
      <c r="J4003" s="313"/>
      <c r="K4003" s="323"/>
    </row>
    <row r="4004" spans="2:11" s="317" customFormat="1" ht="24.9" hidden="1" customHeight="1" thickBot="1" x14ac:dyDescent="0.25">
      <c r="B4004" s="690"/>
      <c r="C4004" s="329" t="str">
        <f>+'LISTA DE INSUMOS'!A758</f>
        <v>EQU002</v>
      </c>
      <c r="D4004" s="328" t="str">
        <f>+'LISTA DE INSUMOS'!B758</f>
        <v>Herramienta menor (% mano obra)</v>
      </c>
      <c r="E4004" s="329" t="str">
        <f>+'LISTA DE INSUMOS'!C758</f>
        <v>%MO</v>
      </c>
      <c r="F4004" s="362">
        <v>0.05</v>
      </c>
      <c r="G4004" s="331">
        <f>I4002</f>
        <v>70947</v>
      </c>
      <c r="H4004" s="350">
        <v>0</v>
      </c>
      <c r="I4004" s="331">
        <f>ROUND((F4004*G4004),0)</f>
        <v>3547</v>
      </c>
      <c r="J4004" s="313"/>
      <c r="K4004" s="323"/>
    </row>
    <row r="4005" spans="2:11" ht="24.9" customHeight="1" x14ac:dyDescent="0.2">
      <c r="B4005" s="117" t="s">
        <v>2995</v>
      </c>
      <c r="C4005" s="120"/>
      <c r="D4005" s="112" t="s">
        <v>1863</v>
      </c>
      <c r="E4005" s="117" t="s">
        <v>2585</v>
      </c>
      <c r="F4005" s="118"/>
      <c r="G4005" s="119">
        <f>ROUND(SUM(I4006:I4008),0)</f>
        <v>3150</v>
      </c>
      <c r="H4005" s="120"/>
      <c r="I4005" s="119"/>
      <c r="J4005" s="47"/>
      <c r="K4005" s="143"/>
    </row>
    <row r="4006" spans="2:11" ht="24.9" customHeight="1" thickBot="1" x14ac:dyDescent="0.25">
      <c r="B4006" s="175" t="s">
        <v>1325</v>
      </c>
      <c r="C4006" s="108" t="str">
        <f>+'LISTA DE INSUMOS'!A461</f>
        <v>MAT478</v>
      </c>
      <c r="D4006" s="139" t="str">
        <f>+'LISTA DE INSUMOS'!B461</f>
        <v>Polietileno negro C 3.5 a = 3 m</v>
      </c>
      <c r="E4006" s="108" t="str">
        <f>+'LISTA DE INSUMOS'!C461</f>
        <v>M2</v>
      </c>
      <c r="F4006" s="176">
        <v>1</v>
      </c>
      <c r="G4006" s="141">
        <f>+'LISTA DE INSUMOS'!E461</f>
        <v>1945.5736585824</v>
      </c>
      <c r="H4006" s="205">
        <v>1.03</v>
      </c>
      <c r="I4006" s="141">
        <f>ROUND((F4006*G4006*H4006),0)</f>
        <v>2004</v>
      </c>
      <c r="J4006" s="47"/>
      <c r="K4006" s="143"/>
    </row>
    <row r="4007" spans="2:11" ht="24.9" customHeight="1" thickTop="1" thickBot="1" x14ac:dyDescent="0.25">
      <c r="B4007" s="250" t="s">
        <v>1034</v>
      </c>
      <c r="C4007" s="108" t="str">
        <f>+'LISTA DE INSUMOS'!A21</f>
        <v>MOB018</v>
      </c>
      <c r="D4007" s="139" t="str">
        <f>+'LISTA DE INSUMOS'!B21</f>
        <v>Cuadrilla H 4 Ay (jornal + prestaciones)</v>
      </c>
      <c r="E4007" s="108" t="str">
        <f>+'LISTA DE INSUMOS'!C21</f>
        <v>Día</v>
      </c>
      <c r="F4007" s="176">
        <v>1</v>
      </c>
      <c r="G4007" s="141">
        <f>'LISTA DE INSUMOS'!E21</f>
        <v>327444</v>
      </c>
      <c r="H4007" s="219">
        <f>1/300</f>
        <v>3.3333333333333335E-3</v>
      </c>
      <c r="I4007" s="141">
        <f>ROUND((F4007*G4007*H4007),0)</f>
        <v>1091</v>
      </c>
      <c r="J4007" s="47"/>
      <c r="K4007" s="143"/>
    </row>
    <row r="4008" spans="2:11" ht="24.9" customHeight="1" thickTop="1" thickBot="1" x14ac:dyDescent="0.25">
      <c r="B4008" s="150" t="s">
        <v>1033</v>
      </c>
      <c r="C4008" s="151" t="str">
        <f>+'LISTA DE INSUMOS'!A758</f>
        <v>EQU002</v>
      </c>
      <c r="D4008" s="146" t="str">
        <f>+'LISTA DE INSUMOS'!B758</f>
        <v>Herramienta menor (% mano obra)</v>
      </c>
      <c r="E4008" s="145" t="str">
        <f>+'LISTA DE INSUMOS'!C758</f>
        <v>%MO</v>
      </c>
      <c r="F4008" s="229">
        <v>0.05</v>
      </c>
      <c r="G4008" s="148">
        <f>I4007</f>
        <v>1091</v>
      </c>
      <c r="H4008" s="206">
        <v>0</v>
      </c>
      <c r="I4008" s="148">
        <f>ROUND((F4008*G4008),0)</f>
        <v>55</v>
      </c>
      <c r="J4008" s="47"/>
      <c r="K4008" s="143"/>
    </row>
    <row r="4009" spans="2:11" s="317" customFormat="1" ht="24.9" hidden="1" customHeight="1" x14ac:dyDescent="0.2">
      <c r="B4009" s="319" t="s">
        <v>1656</v>
      </c>
      <c r="C4009" s="322"/>
      <c r="D4009" s="320" t="s">
        <v>1505</v>
      </c>
      <c r="E4009" s="319" t="s">
        <v>1412</v>
      </c>
      <c r="F4009" s="321"/>
      <c r="G4009" s="312">
        <f>ROUND(SUM(I4010:I4012),0)</f>
        <v>12211</v>
      </c>
      <c r="H4009" s="322"/>
      <c r="I4009" s="312"/>
      <c r="J4009" s="313"/>
      <c r="K4009" s="323"/>
    </row>
    <row r="4010" spans="2:11" s="317" customFormat="1" ht="24.9" hidden="1" customHeight="1" thickBot="1" x14ac:dyDescent="0.25">
      <c r="B4010" s="347" t="s">
        <v>1325</v>
      </c>
      <c r="C4010" s="322" t="str">
        <f>+'LISTA DE INSUMOS'!A472</f>
        <v>MAT490</v>
      </c>
      <c r="D4010" s="324" t="str">
        <f>+'LISTA DE INSUMOS'!B472</f>
        <v>Cinta antideslizante de 25 mm</v>
      </c>
      <c r="E4010" s="322" t="str">
        <f>+'LISTA DE INSUMOS'!C472</f>
        <v>M</v>
      </c>
      <c r="F4010" s="321">
        <v>1</v>
      </c>
      <c r="G4010" s="312">
        <f>+'LISTA DE INSUMOS'!E472</f>
        <v>11020.217945351998</v>
      </c>
      <c r="H4010" s="349">
        <v>1.03</v>
      </c>
      <c r="I4010" s="312">
        <f>ROUND((F4010*G4010*H4010),0)</f>
        <v>11351</v>
      </c>
      <c r="J4010" s="313"/>
      <c r="K4010" s="323"/>
    </row>
    <row r="4011" spans="2:11" s="317" customFormat="1" ht="24.9" hidden="1" customHeight="1" thickTop="1" thickBot="1" x14ac:dyDescent="0.25">
      <c r="B4011" s="372" t="s">
        <v>1034</v>
      </c>
      <c r="C4011" s="322" t="str">
        <f>+'LISTA DE INSUMOS'!A18</f>
        <v>MOB015</v>
      </c>
      <c r="D4011" s="324" t="str">
        <f>+'LISTA DE INSUMOS'!B18</f>
        <v>Cuadrilla E 1 Of + 1 Ay (jornal + prestaciones)</v>
      </c>
      <c r="E4011" s="322" t="str">
        <f>+'LISTA DE INSUMOS'!C18</f>
        <v>Día</v>
      </c>
      <c r="F4011" s="321">
        <v>1</v>
      </c>
      <c r="G4011" s="312">
        <f>'LISTA DE INSUMOS'!E18</f>
        <v>245584</v>
      </c>
      <c r="H4011" s="383">
        <f>1/300</f>
        <v>3.3333333333333335E-3</v>
      </c>
      <c r="I4011" s="312">
        <f>ROUND((F4011*G4011*H4011),0)</f>
        <v>819</v>
      </c>
      <c r="J4011" s="313"/>
      <c r="K4011" s="323"/>
    </row>
    <row r="4012" spans="2:11" s="317" customFormat="1" ht="24.9" hidden="1" customHeight="1" thickTop="1" thickBot="1" x14ac:dyDescent="0.25">
      <c r="B4012" s="255" t="s">
        <v>1033</v>
      </c>
      <c r="C4012" s="327" t="str">
        <f>+'LISTA DE INSUMOS'!A758</f>
        <v>EQU002</v>
      </c>
      <c r="D4012" s="328" t="str">
        <f>+'LISTA DE INSUMOS'!B758</f>
        <v>Herramienta menor (% mano obra)</v>
      </c>
      <c r="E4012" s="329" t="str">
        <f>+'LISTA DE INSUMOS'!C758</f>
        <v>%MO</v>
      </c>
      <c r="F4012" s="362">
        <v>0.05</v>
      </c>
      <c r="G4012" s="331">
        <f>I4011</f>
        <v>819</v>
      </c>
      <c r="H4012" s="350">
        <v>0</v>
      </c>
      <c r="I4012" s="331">
        <f>ROUND((F4012*G4012),0)</f>
        <v>41</v>
      </c>
      <c r="J4012" s="313"/>
      <c r="K4012" s="323"/>
    </row>
    <row r="4013" spans="2:11" ht="24.9" customHeight="1" x14ac:dyDescent="0.2">
      <c r="B4013" s="117" t="s">
        <v>2996</v>
      </c>
      <c r="C4013" s="117"/>
      <c r="D4013" s="112" t="s">
        <v>1937</v>
      </c>
      <c r="E4013" s="117" t="s">
        <v>1435</v>
      </c>
      <c r="F4013" s="118"/>
      <c r="G4013" s="119">
        <f>ROUND(SUM(I4014:I4017),0)</f>
        <v>114067</v>
      </c>
      <c r="H4013" s="120"/>
      <c r="I4013" s="119"/>
      <c r="J4013" s="47"/>
      <c r="K4013" s="143"/>
    </row>
    <row r="4014" spans="2:11" ht="24.9" customHeight="1" thickBot="1" x14ac:dyDescent="0.25">
      <c r="B4014" s="175" t="s">
        <v>1325</v>
      </c>
      <c r="C4014" s="108" t="str">
        <f>+'LISTA DE INSUMOS'!A307</f>
        <v>MAT281</v>
      </c>
      <c r="D4014" s="139" t="str">
        <f>+'LISTA DE INSUMOS'!B307</f>
        <v>Senalizador Trafico 1.3m Base Caucho</v>
      </c>
      <c r="E4014" s="108" t="str">
        <f>+'LISTA DE INSUMOS'!C307</f>
        <v>Un</v>
      </c>
      <c r="F4014" s="176">
        <v>1</v>
      </c>
      <c r="G4014" s="141">
        <f>'LISTA DE INSUMOS'!E307</f>
        <v>52982.250229094992</v>
      </c>
      <c r="H4014" s="205">
        <v>0</v>
      </c>
      <c r="I4014" s="141">
        <f>ROUND((F4014*G4014),0)</f>
        <v>52982</v>
      </c>
      <c r="J4014" s="47"/>
      <c r="K4014" s="143"/>
    </row>
    <row r="4015" spans="2:11" ht="24.9" customHeight="1" thickTop="1" thickBot="1" x14ac:dyDescent="0.25">
      <c r="B4015" s="191" t="s">
        <v>1310</v>
      </c>
      <c r="C4015" s="108" t="str">
        <f>+B553</f>
        <v>ITE093</v>
      </c>
      <c r="D4015" s="139" t="str">
        <f>+D553</f>
        <v>Concreto de 17,2 Mpa (2500 psi) (producción)</v>
      </c>
      <c r="E4015" s="108" t="str">
        <f>+E553</f>
        <v>M3</v>
      </c>
      <c r="F4015" s="176">
        <v>2.7E-2</v>
      </c>
      <c r="G4015" s="141">
        <f>G553</f>
        <v>566526</v>
      </c>
      <c r="H4015" s="205">
        <v>1.05</v>
      </c>
      <c r="I4015" s="141">
        <f>ROUND((F4015*G4015*H4015),0)</f>
        <v>16061</v>
      </c>
      <c r="J4015" s="47"/>
      <c r="K4015" s="143"/>
    </row>
    <row r="4016" spans="2:11" ht="24.9" customHeight="1" thickTop="1" thickBot="1" x14ac:dyDescent="0.25">
      <c r="B4016" s="250" t="s">
        <v>1034</v>
      </c>
      <c r="C4016" s="108" t="str">
        <f>+'LISTA DE INSUMOS'!A18</f>
        <v>MOB015</v>
      </c>
      <c r="D4016" s="139" t="str">
        <f>+'LISTA DE INSUMOS'!B18</f>
        <v>Cuadrilla E 1 Of + 1 Ay (jornal + prestaciones)</v>
      </c>
      <c r="E4016" s="108" t="str">
        <f>+'LISTA DE INSUMOS'!C18</f>
        <v>Día</v>
      </c>
      <c r="F4016" s="176">
        <v>1</v>
      </c>
      <c r="G4016" s="141">
        <f>'LISTA DE INSUMOS'!E18</f>
        <v>245584</v>
      </c>
      <c r="H4016" s="205">
        <f>1/6</f>
        <v>0.16666666666666666</v>
      </c>
      <c r="I4016" s="141">
        <f>ROUND((F4016*G4016*H4016),0)</f>
        <v>40931</v>
      </c>
      <c r="J4016" s="47"/>
      <c r="K4016" s="143"/>
    </row>
    <row r="4017" spans="2:11" ht="24.9" customHeight="1" thickTop="1" thickBot="1" x14ac:dyDescent="0.25">
      <c r="B4017" s="150" t="s">
        <v>1033</v>
      </c>
      <c r="C4017" s="151" t="str">
        <f>+'LISTA DE INSUMOS'!A758</f>
        <v>EQU002</v>
      </c>
      <c r="D4017" s="146" t="str">
        <f>+'LISTA DE INSUMOS'!B758</f>
        <v>Herramienta menor (% mano obra)</v>
      </c>
      <c r="E4017" s="145" t="str">
        <f>+'LISTA DE INSUMOS'!C758</f>
        <v>%MO</v>
      </c>
      <c r="F4017" s="229">
        <v>0.1</v>
      </c>
      <c r="G4017" s="148">
        <f>I4016</f>
        <v>40931</v>
      </c>
      <c r="H4017" s="206">
        <v>0</v>
      </c>
      <c r="I4017" s="148">
        <f>ROUND((F4017*G4017),0)</f>
        <v>4093</v>
      </c>
      <c r="J4017" s="47"/>
      <c r="K4017" s="143"/>
    </row>
    <row r="4018" spans="2:11" ht="24.9" customHeight="1" x14ac:dyDescent="0.2">
      <c r="B4018" s="117" t="s">
        <v>2997</v>
      </c>
      <c r="C4018" s="117"/>
      <c r="D4018" s="112" t="s">
        <v>1938</v>
      </c>
      <c r="E4018" s="117" t="s">
        <v>1435</v>
      </c>
      <c r="F4018" s="118"/>
      <c r="G4018" s="119">
        <f>ROUND(SUM(I4019:I4022),0)</f>
        <v>326600</v>
      </c>
      <c r="H4018" s="120"/>
      <c r="I4018" s="119"/>
      <c r="J4018" s="47"/>
      <c r="K4018" s="143"/>
    </row>
    <row r="4019" spans="2:11" ht="24.9" customHeight="1" thickBot="1" x14ac:dyDescent="0.25">
      <c r="B4019" s="175" t="s">
        <v>1325</v>
      </c>
      <c r="C4019" s="108" t="str">
        <f>+'LISTA DE INSUMOS'!A313</f>
        <v>MAT287</v>
      </c>
      <c r="D4019" s="139" t="str">
        <f>+'LISTA DE INSUMOS'!B313</f>
        <v>Señal vertical con cinta reflectiva, D= 0,75 m</v>
      </c>
      <c r="E4019" s="108" t="str">
        <f>+'LISTA DE INSUMOS'!C313</f>
        <v>Un</v>
      </c>
      <c r="F4019" s="140">
        <v>1</v>
      </c>
      <c r="G4019" s="141">
        <f>'LISTA DE INSUMOS'!E313</f>
        <v>265514.693631</v>
      </c>
      <c r="H4019" s="108">
        <v>0</v>
      </c>
      <c r="I4019" s="141">
        <f>ROUND((F4019*G4019),0)</f>
        <v>265515</v>
      </c>
      <c r="J4019" s="47"/>
      <c r="K4019" s="143"/>
    </row>
    <row r="4020" spans="2:11" ht="24.9" customHeight="1" thickTop="1" thickBot="1" x14ac:dyDescent="0.25">
      <c r="B4020" s="191" t="s">
        <v>1310</v>
      </c>
      <c r="C4020" s="108" t="str">
        <f>+B553</f>
        <v>ITE093</v>
      </c>
      <c r="D4020" s="139" t="str">
        <f>+D553</f>
        <v>Concreto de 17,2 Mpa (2500 psi) (producción)</v>
      </c>
      <c r="E4020" s="108" t="str">
        <f>+E553</f>
        <v>M3</v>
      </c>
      <c r="F4020" s="140">
        <v>2.7E-2</v>
      </c>
      <c r="G4020" s="141">
        <f>G553</f>
        <v>566526</v>
      </c>
      <c r="H4020" s="108">
        <v>1.05</v>
      </c>
      <c r="I4020" s="141">
        <f>ROUND((F4020*G4020*H4020),0)</f>
        <v>16061</v>
      </c>
      <c r="J4020" s="47"/>
      <c r="K4020" s="143"/>
    </row>
    <row r="4021" spans="2:11" ht="24.9" customHeight="1" thickTop="1" thickBot="1" x14ac:dyDescent="0.25">
      <c r="B4021" s="250" t="s">
        <v>1034</v>
      </c>
      <c r="C4021" s="108" t="str">
        <f>+'LISTA DE INSUMOS'!A18</f>
        <v>MOB015</v>
      </c>
      <c r="D4021" s="139" t="str">
        <f>+'LISTA DE INSUMOS'!B18</f>
        <v>Cuadrilla E 1 Of + 1 Ay (jornal + prestaciones)</v>
      </c>
      <c r="E4021" s="108" t="str">
        <f>+'LISTA DE INSUMOS'!C18</f>
        <v>Día</v>
      </c>
      <c r="F4021" s="140">
        <v>1</v>
      </c>
      <c r="G4021" s="141">
        <f>'LISTA DE INSUMOS'!E18</f>
        <v>245584</v>
      </c>
      <c r="H4021" s="108">
        <f>1/6</f>
        <v>0.16666666666666666</v>
      </c>
      <c r="I4021" s="141">
        <f>ROUND((F4021*G4021*H4021),0)</f>
        <v>40931</v>
      </c>
      <c r="J4021" s="47"/>
      <c r="K4021" s="143"/>
    </row>
    <row r="4022" spans="2:11" ht="24.9" customHeight="1" thickTop="1" thickBot="1" x14ac:dyDescent="0.25">
      <c r="B4022" s="150" t="s">
        <v>1033</v>
      </c>
      <c r="C4022" s="151" t="str">
        <f>+'LISTA DE INSUMOS'!A758</f>
        <v>EQU002</v>
      </c>
      <c r="D4022" s="146" t="str">
        <f>+'LISTA DE INSUMOS'!B758</f>
        <v>Herramienta menor (% mano obra)</v>
      </c>
      <c r="E4022" s="145" t="str">
        <f>+'LISTA DE INSUMOS'!C758</f>
        <v>%MO</v>
      </c>
      <c r="F4022" s="147">
        <v>0.1</v>
      </c>
      <c r="G4022" s="148">
        <f>I4021</f>
        <v>40931</v>
      </c>
      <c r="H4022" s="145">
        <v>0</v>
      </c>
      <c r="I4022" s="148">
        <f>ROUND((F4022*G4022),0)</f>
        <v>4093</v>
      </c>
      <c r="J4022" s="47"/>
      <c r="K4022" s="143"/>
    </row>
    <row r="4023" spans="2:11" ht="24.9" customHeight="1" x14ac:dyDescent="0.2">
      <c r="B4023" s="117" t="s">
        <v>2998</v>
      </c>
      <c r="C4023" s="117"/>
      <c r="D4023" s="112" t="s">
        <v>1939</v>
      </c>
      <c r="E4023" s="117" t="s">
        <v>1435</v>
      </c>
      <c r="F4023" s="118"/>
      <c r="G4023" s="119">
        <f>ROUND(SUM(I4024:I4027),0)</f>
        <v>431826</v>
      </c>
      <c r="H4023" s="120"/>
      <c r="I4023" s="119"/>
      <c r="J4023" s="47"/>
      <c r="K4023" s="143"/>
    </row>
    <row r="4024" spans="2:11" ht="24.9" customHeight="1" thickBot="1" x14ac:dyDescent="0.25">
      <c r="B4024" s="175" t="s">
        <v>1325</v>
      </c>
      <c r="C4024" s="108" t="str">
        <f>+'LISTA DE INSUMOS'!A314</f>
        <v>MAT288</v>
      </c>
      <c r="D4024" s="139" t="str">
        <f>+'LISTA DE INSUMOS'!B314</f>
        <v>Señal vertical con cinta reflectiva, D= 0,90 m</v>
      </c>
      <c r="E4024" s="108" t="str">
        <f>+'LISTA DE INSUMOS'!C314</f>
        <v>Un</v>
      </c>
      <c r="F4024" s="140">
        <v>1</v>
      </c>
      <c r="G4024" s="141">
        <f>'LISTA DE INSUMOS'!E314</f>
        <v>370740.58048690733</v>
      </c>
      <c r="H4024" s="108">
        <v>0</v>
      </c>
      <c r="I4024" s="141">
        <f>ROUND((F4024*G4024),0)</f>
        <v>370741</v>
      </c>
      <c r="J4024" s="47"/>
      <c r="K4024" s="143"/>
    </row>
    <row r="4025" spans="2:11" ht="24.9" customHeight="1" thickTop="1" thickBot="1" x14ac:dyDescent="0.25">
      <c r="B4025" s="191" t="s">
        <v>1310</v>
      </c>
      <c r="C4025" s="108" t="str">
        <f>+B553</f>
        <v>ITE093</v>
      </c>
      <c r="D4025" s="139" t="str">
        <f>+D553</f>
        <v>Concreto de 17,2 Mpa (2500 psi) (producción)</v>
      </c>
      <c r="E4025" s="108" t="str">
        <f>+E553</f>
        <v>M3</v>
      </c>
      <c r="F4025" s="140">
        <v>2.7E-2</v>
      </c>
      <c r="G4025" s="141">
        <f>+G553</f>
        <v>566526</v>
      </c>
      <c r="H4025" s="108">
        <v>1.05</v>
      </c>
      <c r="I4025" s="141">
        <f>ROUND((F4025*G4025*H4025),0)</f>
        <v>16061</v>
      </c>
      <c r="J4025" s="47"/>
      <c r="K4025" s="143"/>
    </row>
    <row r="4026" spans="2:11" ht="24.9" customHeight="1" thickTop="1" thickBot="1" x14ac:dyDescent="0.25">
      <c r="B4026" s="250" t="s">
        <v>1034</v>
      </c>
      <c r="C4026" s="108" t="str">
        <f>+'LISTA DE INSUMOS'!A18</f>
        <v>MOB015</v>
      </c>
      <c r="D4026" s="139" t="str">
        <f>+'LISTA DE INSUMOS'!B18</f>
        <v>Cuadrilla E 1 Of + 1 Ay (jornal + prestaciones)</v>
      </c>
      <c r="E4026" s="108" t="str">
        <f>+'LISTA DE INSUMOS'!C18</f>
        <v>Día</v>
      </c>
      <c r="F4026" s="140">
        <v>1</v>
      </c>
      <c r="G4026" s="141">
        <f>'LISTA DE INSUMOS'!E18</f>
        <v>245584</v>
      </c>
      <c r="H4026" s="108">
        <f>1/6</f>
        <v>0.16666666666666666</v>
      </c>
      <c r="I4026" s="141">
        <f>ROUND((F4026*G4026*H4026),0)</f>
        <v>40931</v>
      </c>
      <c r="J4026" s="47"/>
      <c r="K4026" s="143"/>
    </row>
    <row r="4027" spans="2:11" ht="24.9" customHeight="1" thickTop="1" thickBot="1" x14ac:dyDescent="0.25">
      <c r="B4027" s="150" t="s">
        <v>1033</v>
      </c>
      <c r="C4027" s="151" t="str">
        <f>+'LISTA DE INSUMOS'!A758</f>
        <v>EQU002</v>
      </c>
      <c r="D4027" s="146" t="str">
        <f>+'LISTA DE INSUMOS'!B758</f>
        <v>Herramienta menor (% mano obra)</v>
      </c>
      <c r="E4027" s="145" t="str">
        <f>+'LISTA DE INSUMOS'!C758</f>
        <v>%MO</v>
      </c>
      <c r="F4027" s="147">
        <v>0.1</v>
      </c>
      <c r="G4027" s="148">
        <f>I4026</f>
        <v>40931</v>
      </c>
      <c r="H4027" s="145">
        <v>0</v>
      </c>
      <c r="I4027" s="148">
        <f>ROUND((F4027*G4027),0)</f>
        <v>4093</v>
      </c>
      <c r="J4027" s="47"/>
      <c r="K4027" s="143"/>
    </row>
    <row r="4028" spans="2:11" s="317" customFormat="1" ht="27.75" hidden="1" customHeight="1" x14ac:dyDescent="0.2">
      <c r="B4028" s="319" t="s">
        <v>354</v>
      </c>
      <c r="C4028" s="319"/>
      <c r="D4028" s="320" t="s">
        <v>1884</v>
      </c>
      <c r="E4028" s="319" t="s">
        <v>2585</v>
      </c>
      <c r="F4028" s="321"/>
      <c r="G4028" s="312">
        <f>ROUND(SUM(I4029:I4034),0)</f>
        <v>11472</v>
      </c>
      <c r="H4028" s="322"/>
      <c r="I4028" s="312"/>
      <c r="J4028" s="313"/>
      <c r="K4028" s="323"/>
    </row>
    <row r="4029" spans="2:11" s="317" customFormat="1" ht="24.9" hidden="1" customHeight="1" x14ac:dyDescent="0.2">
      <c r="B4029" s="691" t="s">
        <v>1035</v>
      </c>
      <c r="C4029" s="322" t="str">
        <f>+'LISTA DE INSUMOS'!A421</f>
        <v>MAT437</v>
      </c>
      <c r="D4029" s="324" t="str">
        <f>+'LISTA DE INSUMOS'!B421</f>
        <v>Costal de fibra</v>
      </c>
      <c r="E4029" s="322" t="str">
        <f>+'LISTA DE INSUMOS'!C421</f>
        <v>Un</v>
      </c>
      <c r="F4029" s="321">
        <v>1.5</v>
      </c>
      <c r="G4029" s="312">
        <f>'LISTA DE INSUMOS'!E421</f>
        <v>874.34565002399995</v>
      </c>
      <c r="H4029" s="349">
        <v>0</v>
      </c>
      <c r="I4029" s="312">
        <f>ROUND((F4029*G4029),0)</f>
        <v>1312</v>
      </c>
      <c r="J4029" s="313"/>
      <c r="K4029" s="323"/>
    </row>
    <row r="4030" spans="2:11" s="317" customFormat="1" ht="30" hidden="1" customHeight="1" x14ac:dyDescent="0.2">
      <c r="B4030" s="691"/>
      <c r="C4030" s="322" t="str">
        <f>+'LISTA DE INSUMOS'!A36</f>
        <v>MAT007</v>
      </c>
      <c r="D4030" s="324" t="str">
        <f>+'LISTA DE INSUMOS'!B36</f>
        <v>Tierra vegetal</v>
      </c>
      <c r="E4030" s="322" t="str">
        <f>+'LISTA DE INSUMOS'!C36</f>
        <v>M3</v>
      </c>
      <c r="F4030" s="321">
        <v>0.1</v>
      </c>
      <c r="G4030" s="312">
        <f>'LISTA DE INSUMOS'!E36</f>
        <v>49461.254700000005</v>
      </c>
      <c r="H4030" s="349">
        <v>1.05</v>
      </c>
      <c r="I4030" s="312">
        <f>ROUND((F4030*G4030*H4030),0)</f>
        <v>5193</v>
      </c>
      <c r="J4030" s="313"/>
      <c r="K4030" s="323"/>
    </row>
    <row r="4031" spans="2:11" s="317" customFormat="1" ht="30" hidden="1" customHeight="1" x14ac:dyDescent="0.2">
      <c r="B4031" s="691"/>
      <c r="C4031" s="322" t="str">
        <f>+'LISTA DE INSUMOS'!A392</f>
        <v>MAT388</v>
      </c>
      <c r="D4031" s="324" t="str">
        <f>+'LISTA DE INSUMOS'!B392</f>
        <v>Estacas de guadua</v>
      </c>
      <c r="E4031" s="322" t="str">
        <f>+'LISTA DE INSUMOS'!C392</f>
        <v>Un</v>
      </c>
      <c r="F4031" s="321">
        <v>3</v>
      </c>
      <c r="G4031" s="312">
        <f>'LISTA DE INSUMOS'!E392</f>
        <v>182.36352129071997</v>
      </c>
      <c r="H4031" s="349">
        <v>0</v>
      </c>
      <c r="I4031" s="312">
        <f>ROUND((F4031*G4031),0)</f>
        <v>547</v>
      </c>
      <c r="J4031" s="313"/>
      <c r="K4031" s="323"/>
    </row>
    <row r="4032" spans="2:11" s="317" customFormat="1" ht="30" hidden="1" customHeight="1" thickBot="1" x14ac:dyDescent="0.25">
      <c r="B4032" s="692"/>
      <c r="C4032" s="322" t="str">
        <f>+'LISTA DE INSUMOS'!A424</f>
        <v>MAT439</v>
      </c>
      <c r="D4032" s="324" t="str">
        <f>+'LISTA DE INSUMOS'!B424</f>
        <v>Semilla de grama</v>
      </c>
      <c r="E4032" s="322" t="str">
        <f>+'LISTA DE INSUMOS'!C424</f>
        <v>Lb</v>
      </c>
      <c r="F4032" s="321">
        <v>0.04</v>
      </c>
      <c r="G4032" s="312">
        <f>'LISTA DE INSUMOS'!E424</f>
        <v>19489.314426860677</v>
      </c>
      <c r="H4032" s="349">
        <v>1.05</v>
      </c>
      <c r="I4032" s="312">
        <f>ROUND((F4032*G4032*H4032),0)</f>
        <v>819</v>
      </c>
      <c r="J4032" s="313"/>
      <c r="K4032" s="323"/>
    </row>
    <row r="4033" spans="2:11" s="317" customFormat="1" ht="24.9" hidden="1" customHeight="1" thickTop="1" thickBot="1" x14ac:dyDescent="0.25">
      <c r="B4033" s="372" t="s">
        <v>1034</v>
      </c>
      <c r="C4033" s="322" t="str">
        <f>+'LISTA DE INSUMOS'!A20</f>
        <v>MOB017</v>
      </c>
      <c r="D4033" s="324" t="str">
        <f>+'LISTA DE INSUMOS'!B20</f>
        <v>Cuadrilla G 1 Of + 2 Ay (jornal + prestaciones)</v>
      </c>
      <c r="E4033" s="322" t="str">
        <f>+'LISTA DE INSUMOS'!C20</f>
        <v>Día</v>
      </c>
      <c r="F4033" s="321">
        <v>1</v>
      </c>
      <c r="G4033" s="312">
        <f>'LISTA DE INSUMOS'!E20</f>
        <v>327445</v>
      </c>
      <c r="H4033" s="349">
        <f>1/100</f>
        <v>0.01</v>
      </c>
      <c r="I4033" s="312">
        <f>ROUND((F4033*G4033*H4033),0)</f>
        <v>3274</v>
      </c>
      <c r="J4033" s="313"/>
      <c r="K4033" s="323"/>
    </row>
    <row r="4034" spans="2:11" s="317" customFormat="1" ht="24.9" hidden="1" customHeight="1" thickTop="1" thickBot="1" x14ac:dyDescent="0.25">
      <c r="B4034" s="255" t="s">
        <v>1033</v>
      </c>
      <c r="C4034" s="327" t="str">
        <f>+'LISTA DE INSUMOS'!A758</f>
        <v>EQU002</v>
      </c>
      <c r="D4034" s="328" t="str">
        <f>+'LISTA DE INSUMOS'!B758</f>
        <v>Herramienta menor (% mano obra)</v>
      </c>
      <c r="E4034" s="329" t="str">
        <f>+'LISTA DE INSUMOS'!C758</f>
        <v>%MO</v>
      </c>
      <c r="F4034" s="362">
        <v>0.1</v>
      </c>
      <c r="G4034" s="331">
        <f>I4033</f>
        <v>3274</v>
      </c>
      <c r="H4034" s="350">
        <v>0</v>
      </c>
      <c r="I4034" s="331">
        <f>ROUND((F4034*G4034),0)</f>
        <v>327</v>
      </c>
      <c r="J4034" s="313"/>
      <c r="K4034" s="323"/>
    </row>
    <row r="4035" spans="2:11" s="317" customFormat="1" ht="24.9" hidden="1" customHeight="1" x14ac:dyDescent="0.2">
      <c r="B4035" s="319" t="s">
        <v>379</v>
      </c>
      <c r="C4035" s="319"/>
      <c r="D4035" s="320" t="s">
        <v>1885</v>
      </c>
      <c r="E4035" s="319" t="s">
        <v>2585</v>
      </c>
      <c r="F4035" s="321"/>
      <c r="G4035" s="312">
        <f>ROUND(SUM(I4036:I4040),0)</f>
        <v>44233</v>
      </c>
      <c r="H4035" s="322"/>
      <c r="I4035" s="312"/>
      <c r="J4035" s="313"/>
      <c r="K4035" s="323"/>
    </row>
    <row r="4036" spans="2:11" s="317" customFormat="1" ht="24.9" hidden="1" customHeight="1" x14ac:dyDescent="0.2">
      <c r="B4036" s="658" t="s">
        <v>1325</v>
      </c>
      <c r="C4036" s="322" t="str">
        <f>+'LISTA DE INSUMOS'!A378</f>
        <v>MAT372</v>
      </c>
      <c r="D4036" s="324" t="str">
        <f>+'LISTA DE INSUMOS'!B378</f>
        <v>MALLA VENA 0.60x2mt Cal. 34</v>
      </c>
      <c r="E4036" s="322" t="str">
        <f>+'LISTA DE INSUMOS'!C378</f>
        <v>M2</v>
      </c>
      <c r="F4036" s="321">
        <v>1</v>
      </c>
      <c r="G4036" s="312">
        <f>'LISTA DE INSUMOS'!E378</f>
        <v>7377.6778902749993</v>
      </c>
      <c r="H4036" s="349">
        <v>1</v>
      </c>
      <c r="I4036" s="312">
        <f>ROUND((F4036*G4036*H4036),0)</f>
        <v>7378</v>
      </c>
      <c r="J4036" s="313"/>
      <c r="K4036" s="323"/>
    </row>
    <row r="4037" spans="2:11" s="317" customFormat="1" ht="24.9" hidden="1" customHeight="1" thickBot="1" x14ac:dyDescent="0.25">
      <c r="B4037" s="668"/>
      <c r="C4037" s="322" t="str">
        <f>+'LISTA DE INSUMOS'!A392</f>
        <v>MAT388</v>
      </c>
      <c r="D4037" s="324" t="str">
        <f>+'LISTA DE INSUMOS'!B392</f>
        <v>Estacas de guadua</v>
      </c>
      <c r="E4037" s="322" t="str">
        <f>+'LISTA DE INSUMOS'!C392</f>
        <v>Un</v>
      </c>
      <c r="F4037" s="321">
        <v>3</v>
      </c>
      <c r="G4037" s="312">
        <f>'LISTA DE INSUMOS'!E392</f>
        <v>182.36352129071997</v>
      </c>
      <c r="H4037" s="349">
        <v>0</v>
      </c>
      <c r="I4037" s="312">
        <f>ROUND((F4037*G4037),0)</f>
        <v>547</v>
      </c>
      <c r="J4037" s="313"/>
      <c r="K4037" s="323"/>
    </row>
    <row r="4038" spans="2:11" s="317" customFormat="1" ht="24.9" hidden="1" customHeight="1" thickTop="1" thickBot="1" x14ac:dyDescent="0.25">
      <c r="B4038" s="347" t="s">
        <v>1310</v>
      </c>
      <c r="C4038" s="322" t="str">
        <f>+B574</f>
        <v>ITE96</v>
      </c>
      <c r="D4038" s="324" t="str">
        <f>+D574</f>
        <v>Mortero 1:3 (producción)</v>
      </c>
      <c r="E4038" s="322" t="str">
        <f>+E574</f>
        <v>M3</v>
      </c>
      <c r="F4038" s="321">
        <v>0.03</v>
      </c>
      <c r="G4038" s="312">
        <f>G574</f>
        <v>580906</v>
      </c>
      <c r="H4038" s="349">
        <v>1.05</v>
      </c>
      <c r="I4038" s="312">
        <f>ROUND((F4038*G4038*H4038),0)</f>
        <v>18299</v>
      </c>
      <c r="J4038" s="313"/>
      <c r="K4038" s="323"/>
    </row>
    <row r="4039" spans="2:11" s="317" customFormat="1" ht="24.9" hidden="1" customHeight="1" thickTop="1" thickBot="1" x14ac:dyDescent="0.25">
      <c r="B4039" s="372" t="s">
        <v>1034</v>
      </c>
      <c r="C4039" s="322" t="str">
        <f>+'LISTA DE INSUMOS'!A18</f>
        <v>MOB015</v>
      </c>
      <c r="D4039" s="324" t="str">
        <f>+'LISTA DE INSUMOS'!B18</f>
        <v>Cuadrilla E 1 Of + 1 Ay (jornal + prestaciones)</v>
      </c>
      <c r="E4039" s="322" t="str">
        <f>+'LISTA DE INSUMOS'!C18</f>
        <v>Día</v>
      </c>
      <c r="F4039" s="321">
        <v>1</v>
      </c>
      <c r="G4039" s="312">
        <f>'LISTA DE INSUMOS'!E18</f>
        <v>245584</v>
      </c>
      <c r="H4039" s="349">
        <f>1/15</f>
        <v>6.6666666666666666E-2</v>
      </c>
      <c r="I4039" s="312">
        <f>ROUND((F4039*G4039*H4039),0)</f>
        <v>16372</v>
      </c>
      <c r="J4039" s="313"/>
      <c r="K4039" s="323"/>
    </row>
    <row r="4040" spans="2:11" s="317" customFormat="1" ht="24.9" hidden="1" customHeight="1" thickTop="1" thickBot="1" x14ac:dyDescent="0.25">
      <c r="B4040" s="255" t="s">
        <v>1033</v>
      </c>
      <c r="C4040" s="327" t="str">
        <f>+'LISTA DE INSUMOS'!A758</f>
        <v>EQU002</v>
      </c>
      <c r="D4040" s="328" t="str">
        <f>+'LISTA DE INSUMOS'!B758</f>
        <v>Herramienta menor (% mano obra)</v>
      </c>
      <c r="E4040" s="329" t="str">
        <f>+'LISTA DE INSUMOS'!C758</f>
        <v>%MO</v>
      </c>
      <c r="F4040" s="362">
        <v>0.1</v>
      </c>
      <c r="G4040" s="331">
        <f>I4039</f>
        <v>16372</v>
      </c>
      <c r="H4040" s="350">
        <v>0</v>
      </c>
      <c r="I4040" s="331">
        <f>ROUND((F4040*G4040),0)</f>
        <v>1637</v>
      </c>
      <c r="J4040" s="313"/>
      <c r="K4040" s="323"/>
    </row>
    <row r="4041" spans="2:11" s="317" customFormat="1" ht="24.9" hidden="1" customHeight="1" x14ac:dyDescent="0.2">
      <c r="B4041" s="319" t="s">
        <v>381</v>
      </c>
      <c r="C4041" s="319"/>
      <c r="D4041" s="320" t="s">
        <v>1437</v>
      </c>
      <c r="E4041" s="319" t="s">
        <v>2585</v>
      </c>
      <c r="F4041" s="321"/>
      <c r="G4041" s="312">
        <f>ROUND(SUM(I4042:I4047),0)</f>
        <v>76585</v>
      </c>
      <c r="H4041" s="322"/>
      <c r="I4041" s="312"/>
      <c r="J4041" s="313"/>
      <c r="K4041" s="323"/>
    </row>
    <row r="4042" spans="2:11" s="317" customFormat="1" ht="24.9" hidden="1" customHeight="1" x14ac:dyDescent="0.2">
      <c r="B4042" s="691" t="s">
        <v>1035</v>
      </c>
      <c r="C4042" s="322" t="str">
        <f>+'LISTA DE INSUMOS'!A220</f>
        <v>MAT188</v>
      </c>
      <c r="D4042" s="324" t="str">
        <f>+'LISTA DE INSUMOS'!B220</f>
        <v>Guadua sobrebasa longitud promedio = 5 m</v>
      </c>
      <c r="E4042" s="322" t="str">
        <f>+'LISTA DE INSUMOS'!C220</f>
        <v>Un</v>
      </c>
      <c r="F4042" s="321">
        <v>3</v>
      </c>
      <c r="G4042" s="312">
        <f>'LISTA DE INSUMOS'!E220</f>
        <v>8743.4565002399995</v>
      </c>
      <c r="H4042" s="349">
        <v>1</v>
      </c>
      <c r="I4042" s="312">
        <f>ROUND((F4042*G4042*H4042),0)</f>
        <v>26230</v>
      </c>
      <c r="J4042" s="313"/>
      <c r="K4042" s="323"/>
    </row>
    <row r="4043" spans="2:11" s="317" customFormat="1" ht="24.9" hidden="1" customHeight="1" x14ac:dyDescent="0.2">
      <c r="B4043" s="691"/>
      <c r="C4043" s="322" t="str">
        <f>+'LISTA DE INSUMOS'!A46</f>
        <v>MAT017</v>
      </c>
      <c r="D4043" s="324" t="str">
        <f>+'LISTA DE INSUMOS'!B46</f>
        <v>Tabla para formaleta de 1" x 10" x 2,9 m</v>
      </c>
      <c r="E4043" s="322" t="str">
        <f>+'LISTA DE INSUMOS'!C46</f>
        <v>M</v>
      </c>
      <c r="F4043" s="321">
        <v>1</v>
      </c>
      <c r="G4043" s="312">
        <f>'LISTA DE INSUMOS'!E46</f>
        <v>8112.0359999999991</v>
      </c>
      <c r="H4043" s="349">
        <v>0</v>
      </c>
      <c r="I4043" s="312">
        <f>ROUND((F4043*G4043),0)</f>
        <v>8112</v>
      </c>
      <c r="J4043" s="313"/>
      <c r="K4043" s="323"/>
    </row>
    <row r="4044" spans="2:11" s="317" customFormat="1" ht="24.9" hidden="1" customHeight="1" x14ac:dyDescent="0.2">
      <c r="B4044" s="691"/>
      <c r="C4044" s="322" t="str">
        <f>+'LISTA DE INSUMOS'!A49</f>
        <v>MAT018</v>
      </c>
      <c r="D4044" s="324" t="str">
        <f>+'LISTA DE INSUMOS'!B49</f>
        <v>Cuartón de sajo 2" x 4" x 2,9 m</v>
      </c>
      <c r="E4044" s="322" t="str">
        <f>+'LISTA DE INSUMOS'!C49</f>
        <v>M</v>
      </c>
      <c r="F4044" s="321">
        <v>2</v>
      </c>
      <c r="G4044" s="312">
        <f>'LISTA DE INSUMOS'!E49</f>
        <v>11944.810644542158</v>
      </c>
      <c r="H4044" s="349">
        <v>0</v>
      </c>
      <c r="I4044" s="312">
        <f>ROUND((F4044*G4044),0)</f>
        <v>23890</v>
      </c>
      <c r="J4044" s="313"/>
      <c r="K4044" s="323"/>
    </row>
    <row r="4045" spans="2:11" s="317" customFormat="1" ht="24.9" hidden="1" customHeight="1" thickBot="1" x14ac:dyDescent="0.25">
      <c r="B4045" s="692"/>
      <c r="C4045" s="322" t="str">
        <f>+'LISTA DE INSUMOS'!A52</f>
        <v>MAT021</v>
      </c>
      <c r="D4045" s="324" t="str">
        <f>+'LISTA DE INSUMOS'!B52</f>
        <v>Puntilla (promedio)</v>
      </c>
      <c r="E4045" s="322" t="str">
        <f>+'LISTA DE INSUMOS'!C52</f>
        <v>Lb</v>
      </c>
      <c r="F4045" s="321">
        <v>0.5</v>
      </c>
      <c r="G4045" s="312">
        <f>'LISTA DE INSUMOS'!E52</f>
        <v>6690.6972299999998</v>
      </c>
      <c r="H4045" s="349">
        <v>0</v>
      </c>
      <c r="I4045" s="312">
        <f>ROUND((F4045*G4045),0)</f>
        <v>3345</v>
      </c>
      <c r="J4045" s="313"/>
      <c r="K4045" s="323"/>
    </row>
    <row r="4046" spans="2:11" s="317" customFormat="1" ht="24.9" hidden="1" customHeight="1" thickTop="1" thickBot="1" x14ac:dyDescent="0.25">
      <c r="B4046" s="372" t="s">
        <v>1034</v>
      </c>
      <c r="C4046" s="322" t="str">
        <f>+'LISTA DE INSUMOS'!A18</f>
        <v>MOB015</v>
      </c>
      <c r="D4046" s="324" t="str">
        <f>+'LISTA DE INSUMOS'!B18</f>
        <v>Cuadrilla E 1 Of + 1 Ay (jornal + prestaciones)</v>
      </c>
      <c r="E4046" s="322" t="str">
        <f>+'LISTA DE INSUMOS'!C18</f>
        <v>Día</v>
      </c>
      <c r="F4046" s="321">
        <v>1</v>
      </c>
      <c r="G4046" s="312">
        <f>'LISTA DE INSUMOS'!E18</f>
        <v>245584</v>
      </c>
      <c r="H4046" s="349">
        <f>1/18</f>
        <v>5.5555555555555552E-2</v>
      </c>
      <c r="I4046" s="312">
        <f>ROUND((F4046*G4046*H4046),0)</f>
        <v>13644</v>
      </c>
      <c r="J4046" s="313"/>
      <c r="K4046" s="323"/>
    </row>
    <row r="4047" spans="2:11" s="317" customFormat="1" ht="30" hidden="1" customHeight="1" thickTop="1" thickBot="1" x14ac:dyDescent="0.25">
      <c r="B4047" s="255" t="s">
        <v>1033</v>
      </c>
      <c r="C4047" s="327" t="str">
        <f>+'LISTA DE INSUMOS'!A758</f>
        <v>EQU002</v>
      </c>
      <c r="D4047" s="328" t="str">
        <f>+'LISTA DE INSUMOS'!B758</f>
        <v>Herramienta menor (% mano obra)</v>
      </c>
      <c r="E4047" s="329" t="str">
        <f>+'LISTA DE INSUMOS'!C758</f>
        <v>%MO</v>
      </c>
      <c r="F4047" s="362">
        <v>0.1</v>
      </c>
      <c r="G4047" s="331">
        <f>I4046</f>
        <v>13644</v>
      </c>
      <c r="H4047" s="350">
        <v>0</v>
      </c>
      <c r="I4047" s="331">
        <f>ROUND((F4047*G4047),0)</f>
        <v>1364</v>
      </c>
      <c r="J4047" s="313"/>
      <c r="K4047" s="323"/>
    </row>
    <row r="4048" spans="2:11" s="317" customFormat="1" ht="30" hidden="1" customHeight="1" x14ac:dyDescent="0.2">
      <c r="B4048" s="319" t="s">
        <v>382</v>
      </c>
      <c r="C4048" s="319"/>
      <c r="D4048" s="320" t="s">
        <v>2410</v>
      </c>
      <c r="E4048" s="319" t="s">
        <v>1412</v>
      </c>
      <c r="F4048" s="321"/>
      <c r="G4048" s="312">
        <f>ROUND(SUM(I4049:I4052),0)</f>
        <v>18922</v>
      </c>
      <c r="H4048" s="322"/>
      <c r="I4048" s="312"/>
      <c r="J4048" s="313"/>
      <c r="K4048" s="323"/>
    </row>
    <row r="4049" spans="2:11" s="317" customFormat="1" ht="30" hidden="1" customHeight="1" thickBot="1" x14ac:dyDescent="0.25">
      <c r="B4049" s="347" t="s">
        <v>1325</v>
      </c>
      <c r="C4049" s="322" t="str">
        <f>+'LISTA DE INSUMOS'!A442</f>
        <v>MAT458</v>
      </c>
      <c r="D4049" s="324" t="str">
        <f>+'LISTA DE INSUMOS'!B442</f>
        <v xml:space="preserve">Concertina inoxidable d = 0,45 m </v>
      </c>
      <c r="E4049" s="322" t="str">
        <f>+'LISTA DE INSUMOS'!C442</f>
        <v>M</v>
      </c>
      <c r="F4049" s="321">
        <v>1</v>
      </c>
      <c r="G4049" s="312">
        <f>'LISTA DE INSUMOS'!E442</f>
        <v>12407.837529449998</v>
      </c>
      <c r="H4049" s="349">
        <v>1.05</v>
      </c>
      <c r="I4049" s="312">
        <f>ROUND((F4049*G4049*H4049),0)</f>
        <v>13028</v>
      </c>
      <c r="J4049" s="313"/>
      <c r="K4049" s="323"/>
    </row>
    <row r="4050" spans="2:11" s="317" customFormat="1" ht="24.9" hidden="1" customHeight="1" thickTop="1" thickBot="1" x14ac:dyDescent="0.25">
      <c r="B4050" s="372" t="s">
        <v>1034</v>
      </c>
      <c r="C4050" s="322" t="str">
        <f>+'LISTA DE INSUMOS'!A18</f>
        <v>MOB015</v>
      </c>
      <c r="D4050" s="324" t="str">
        <f>+'LISTA DE INSUMOS'!B18</f>
        <v>Cuadrilla E 1 Of + 1 Ay (jornal + prestaciones)</v>
      </c>
      <c r="E4050" s="322" t="str">
        <f>+'LISTA DE INSUMOS'!C18</f>
        <v>Día</v>
      </c>
      <c r="F4050" s="321">
        <v>1</v>
      </c>
      <c r="G4050" s="312">
        <f>+'LISTA DE INSUMOS'!E18</f>
        <v>245584</v>
      </c>
      <c r="H4050" s="383">
        <f>1/50</f>
        <v>0.02</v>
      </c>
      <c r="I4050" s="312">
        <f>ROUND((F4050*G4050*H4050),0)</f>
        <v>4912</v>
      </c>
      <c r="J4050" s="313"/>
      <c r="K4050" s="323"/>
    </row>
    <row r="4051" spans="2:11" s="317" customFormat="1" ht="24.9" hidden="1" customHeight="1" thickTop="1" x14ac:dyDescent="0.2">
      <c r="B4051" s="652" t="s">
        <v>1033</v>
      </c>
      <c r="C4051" s="322" t="str">
        <f>+'LISTA DE INSUMOS'!A762</f>
        <v>EQU006</v>
      </c>
      <c r="D4051" s="324" t="str">
        <f>+'LISTA DE INSUMOS'!B762</f>
        <v>Andamio (% mano obra)</v>
      </c>
      <c r="E4051" s="322" t="str">
        <f>+'LISTA DE INSUMOS'!C762</f>
        <v>%MO</v>
      </c>
      <c r="F4051" s="321">
        <v>0.1</v>
      </c>
      <c r="G4051" s="312">
        <f>I4050</f>
        <v>4912</v>
      </c>
      <c r="H4051" s="349">
        <v>0</v>
      </c>
      <c r="I4051" s="312">
        <f>ROUND((F4051*G4051),0)</f>
        <v>491</v>
      </c>
      <c r="J4051" s="313"/>
      <c r="K4051" s="323"/>
    </row>
    <row r="4052" spans="2:11" s="317" customFormat="1" ht="24.9" hidden="1" customHeight="1" thickBot="1" x14ac:dyDescent="0.25">
      <c r="B4052" s="653"/>
      <c r="C4052" s="329" t="str">
        <f>+'LISTA DE INSUMOS'!A758</f>
        <v>EQU002</v>
      </c>
      <c r="D4052" s="328" t="str">
        <f>+'LISTA DE INSUMOS'!B758</f>
        <v>Herramienta menor (% mano obra)</v>
      </c>
      <c r="E4052" s="329" t="str">
        <f>+'LISTA DE INSUMOS'!C758</f>
        <v>%MO</v>
      </c>
      <c r="F4052" s="362">
        <v>0.1</v>
      </c>
      <c r="G4052" s="331">
        <f>I4050</f>
        <v>4912</v>
      </c>
      <c r="H4052" s="350">
        <v>0</v>
      </c>
      <c r="I4052" s="331">
        <f>ROUND((F4052*G4052),0)</f>
        <v>491</v>
      </c>
      <c r="J4052" s="313"/>
      <c r="K4052" s="323"/>
    </row>
    <row r="4053" spans="2:11" s="317" customFormat="1" ht="24.9" hidden="1" customHeight="1" x14ac:dyDescent="0.2">
      <c r="B4053" s="353" t="s">
        <v>383</v>
      </c>
      <c r="C4053" s="319"/>
      <c r="D4053" s="320" t="s">
        <v>457</v>
      </c>
      <c r="E4053" s="319" t="s">
        <v>1435</v>
      </c>
      <c r="F4053" s="321"/>
      <c r="G4053" s="312">
        <f>ROUND(SUM(I4054:I4056),0)</f>
        <v>410426</v>
      </c>
      <c r="H4053" s="322"/>
      <c r="I4053" s="312"/>
      <c r="J4053" s="313"/>
      <c r="K4053" s="323"/>
    </row>
    <row r="4054" spans="2:11" s="317" customFormat="1" ht="24.9" hidden="1" customHeight="1" thickBot="1" x14ac:dyDescent="0.25">
      <c r="B4054" s="347" t="s">
        <v>1325</v>
      </c>
      <c r="C4054" s="322" t="str">
        <f>+'LISTA DE INSUMOS'!A629</f>
        <v>MAT645</v>
      </c>
      <c r="D4054" s="324" t="str">
        <f>+'LISTA DE INSUMOS'!B629</f>
        <v>Almohadilla de neopreno 400 x 400 x 30 mm, reforzada con 1 platina de 12 mm</v>
      </c>
      <c r="E4054" s="322" t="str">
        <f>+'LISTA DE INSUMOS'!C629</f>
        <v>Un</v>
      </c>
      <c r="F4054" s="325">
        <v>1</v>
      </c>
      <c r="G4054" s="312">
        <f>'LISTA DE INSUMOS'!E629</f>
        <v>392416.76237210364</v>
      </c>
      <c r="H4054" s="322">
        <v>0</v>
      </c>
      <c r="I4054" s="312">
        <f>ROUND((F4054*G4054),0)</f>
        <v>392417</v>
      </c>
      <c r="J4054" s="313"/>
      <c r="K4054" s="323"/>
    </row>
    <row r="4055" spans="2:11" s="317" customFormat="1" ht="24.9" hidden="1" customHeight="1" thickTop="1" thickBot="1" x14ac:dyDescent="0.25">
      <c r="B4055" s="372" t="s">
        <v>1034</v>
      </c>
      <c r="C4055" s="322" t="str">
        <f>+'LISTA DE INSUMOS'!A18</f>
        <v>MOB015</v>
      </c>
      <c r="D4055" s="324" t="str">
        <f>+'LISTA DE INSUMOS'!B18</f>
        <v>Cuadrilla E 1 Of + 1 Ay (jornal + prestaciones)</v>
      </c>
      <c r="E4055" s="322" t="str">
        <f>+'LISTA DE INSUMOS'!C18</f>
        <v>Día</v>
      </c>
      <c r="F4055" s="325">
        <v>1</v>
      </c>
      <c r="G4055" s="312">
        <f>'LISTA DE INSUMOS'!E18</f>
        <v>245584</v>
      </c>
      <c r="H4055" s="322">
        <f>1/15</f>
        <v>6.6666666666666666E-2</v>
      </c>
      <c r="I4055" s="312">
        <f>ROUND((F4055*G4055*H4055),0)</f>
        <v>16372</v>
      </c>
      <c r="J4055" s="313"/>
      <c r="K4055" s="323"/>
    </row>
    <row r="4056" spans="2:11" s="317" customFormat="1" ht="24.9" hidden="1" customHeight="1" thickTop="1" thickBot="1" x14ac:dyDescent="0.25">
      <c r="B4056" s="255" t="s">
        <v>1033</v>
      </c>
      <c r="C4056" s="327" t="str">
        <f>+'LISTA DE INSUMOS'!A758</f>
        <v>EQU002</v>
      </c>
      <c r="D4056" s="328" t="str">
        <f>+'LISTA DE INSUMOS'!B758</f>
        <v>Herramienta menor (% mano obra)</v>
      </c>
      <c r="E4056" s="329" t="str">
        <f>+'LISTA DE INSUMOS'!C758</f>
        <v>%MO</v>
      </c>
      <c r="F4056" s="330">
        <v>0.1</v>
      </c>
      <c r="G4056" s="331">
        <f>I4055</f>
        <v>16372</v>
      </c>
      <c r="H4056" s="329">
        <v>0</v>
      </c>
      <c r="I4056" s="331">
        <f>ROUND((F4056*G4056),0)</f>
        <v>1637</v>
      </c>
      <c r="J4056" s="313"/>
      <c r="K4056" s="323"/>
    </row>
    <row r="4057" spans="2:11" ht="24.9" customHeight="1" x14ac:dyDescent="0.2">
      <c r="B4057" s="117" t="s">
        <v>2999</v>
      </c>
      <c r="C4057" s="117"/>
      <c r="D4057" s="231" t="s">
        <v>2433</v>
      </c>
      <c r="E4057" s="117" t="s">
        <v>1432</v>
      </c>
      <c r="F4057" s="118"/>
      <c r="G4057" s="119">
        <f>ROUND(SUM(I4058:I4061),0)</f>
        <v>576958</v>
      </c>
      <c r="H4057" s="120"/>
      <c r="I4057" s="119"/>
      <c r="J4057" s="47"/>
      <c r="K4057" s="143"/>
    </row>
    <row r="4058" spans="2:11" ht="24.9" customHeight="1" thickBot="1" x14ac:dyDescent="0.25">
      <c r="B4058" s="175" t="s">
        <v>1325</v>
      </c>
      <c r="C4058" s="125" t="str">
        <f>+'LISTA DE INSUMOS'!A498</f>
        <v>MAT515</v>
      </c>
      <c r="D4058" s="155" t="str">
        <f>+'LISTA DE INSUMOS'!B498</f>
        <v>Fluidificante para concretos</v>
      </c>
      <c r="E4058" s="125" t="str">
        <f>+'LISTA DE INSUMOS'!C498</f>
        <v>Kg</v>
      </c>
      <c r="F4058" s="140">
        <v>3.5</v>
      </c>
      <c r="G4058" s="141">
        <f>'LISTA DE INSUMOS'!E498</f>
        <v>13992.624354353698</v>
      </c>
      <c r="H4058" s="108">
        <v>1.03</v>
      </c>
      <c r="I4058" s="141">
        <f>ROUND((F4058*G4058*H4058),0)</f>
        <v>50443</v>
      </c>
      <c r="J4058" s="47"/>
      <c r="K4058" s="143"/>
    </row>
    <row r="4059" spans="2:11" ht="24.9" customHeight="1" thickTop="1" thickBot="1" x14ac:dyDescent="0.25">
      <c r="B4059" s="191" t="s">
        <v>1310</v>
      </c>
      <c r="C4059" s="108" t="str">
        <f>+B1426</f>
        <v>ITE158</v>
      </c>
      <c r="D4059" s="139" t="str">
        <f>+D1426</f>
        <v>Concreto de 13,8 Mpa (2000 psi) (producción)</v>
      </c>
      <c r="E4059" s="108" t="str">
        <f>+E1426</f>
        <v>M3</v>
      </c>
      <c r="F4059" s="140">
        <v>1</v>
      </c>
      <c r="G4059" s="141">
        <f>G1426</f>
        <v>484291</v>
      </c>
      <c r="H4059" s="108">
        <v>1.05</v>
      </c>
      <c r="I4059" s="141">
        <f>ROUND((F4059*G4059*H4059),0)</f>
        <v>508506</v>
      </c>
      <c r="J4059" s="47"/>
      <c r="K4059" s="143"/>
    </row>
    <row r="4060" spans="2:11" ht="24.9" customHeight="1" thickTop="1" thickBot="1" x14ac:dyDescent="0.25">
      <c r="B4060" s="250" t="s">
        <v>1034</v>
      </c>
      <c r="C4060" s="108" t="str">
        <f>+'LISTA DE INSUMOS'!A18</f>
        <v>MOB015</v>
      </c>
      <c r="D4060" s="139" t="str">
        <f>+'LISTA DE INSUMOS'!B18</f>
        <v>Cuadrilla E 1 Of + 1 Ay (jornal + prestaciones)</v>
      </c>
      <c r="E4060" s="108" t="str">
        <f>+'LISTA DE INSUMOS'!C18</f>
        <v>Día</v>
      </c>
      <c r="F4060" s="176">
        <v>1</v>
      </c>
      <c r="G4060" s="141">
        <f>'LISTA DE INSUMOS'!E18</f>
        <v>245584</v>
      </c>
      <c r="H4060" s="205">
        <f>1/15</f>
        <v>6.6666666666666666E-2</v>
      </c>
      <c r="I4060" s="141">
        <f>ROUND((F4060*G4060*H4060),0)</f>
        <v>16372</v>
      </c>
      <c r="J4060" s="47"/>
      <c r="K4060" s="143"/>
    </row>
    <row r="4061" spans="2:11" ht="24.9" customHeight="1" thickTop="1" thickBot="1" x14ac:dyDescent="0.25">
      <c r="B4061" s="150" t="s">
        <v>1033</v>
      </c>
      <c r="C4061" s="151" t="str">
        <f>+'LISTA DE INSUMOS'!A758</f>
        <v>EQU002</v>
      </c>
      <c r="D4061" s="146" t="str">
        <f>+'LISTA DE INSUMOS'!B758</f>
        <v>Herramienta menor (% mano obra)</v>
      </c>
      <c r="E4061" s="145" t="str">
        <f>+'LISTA DE INSUMOS'!C758</f>
        <v>%MO</v>
      </c>
      <c r="F4061" s="229">
        <v>0.1</v>
      </c>
      <c r="G4061" s="148">
        <f>I4060</f>
        <v>16372</v>
      </c>
      <c r="H4061" s="206">
        <v>0</v>
      </c>
      <c r="I4061" s="148">
        <f>ROUND((F4061*G4061),0)</f>
        <v>1637</v>
      </c>
      <c r="J4061" s="47"/>
      <c r="K4061" s="143"/>
    </row>
    <row r="4062" spans="2:11" s="317" customFormat="1" ht="24.9" hidden="1" customHeight="1" x14ac:dyDescent="0.2">
      <c r="B4062" s="319" t="s">
        <v>405</v>
      </c>
      <c r="C4062" s="319"/>
      <c r="D4062" s="320" t="s">
        <v>1683</v>
      </c>
      <c r="E4062" s="319" t="s">
        <v>1412</v>
      </c>
      <c r="F4062" s="321"/>
      <c r="G4062" s="312">
        <f>ROUND(SUM(I4063:I4068),0)</f>
        <v>15861</v>
      </c>
      <c r="H4062" s="322"/>
      <c r="I4062" s="312"/>
      <c r="J4062" s="313"/>
      <c r="K4062" s="323"/>
    </row>
    <row r="4063" spans="2:11" s="317" customFormat="1" ht="24.9" hidden="1" customHeight="1" x14ac:dyDescent="0.2">
      <c r="B4063" s="691" t="s">
        <v>1035</v>
      </c>
      <c r="C4063" s="322" t="str">
        <f>+'LISTA DE INSUMOS'!A31</f>
        <v>MAT002</v>
      </c>
      <c r="D4063" s="324" t="str">
        <f>+'LISTA DE INSUMOS'!B31</f>
        <v>Cemento blanco</v>
      </c>
      <c r="E4063" s="322" t="str">
        <f>+'LISTA DE INSUMOS'!C31</f>
        <v>Kg</v>
      </c>
      <c r="F4063" s="321">
        <v>0.2</v>
      </c>
      <c r="G4063" s="312">
        <f>'LISTA DE INSUMOS'!E31</f>
        <v>2900</v>
      </c>
      <c r="H4063" s="349">
        <v>1.05</v>
      </c>
      <c r="I4063" s="312">
        <f>ROUND((F4063*G4063*H4063),0)</f>
        <v>609</v>
      </c>
      <c r="J4063" s="313"/>
      <c r="K4063" s="323"/>
    </row>
    <row r="4064" spans="2:11" s="317" customFormat="1" ht="24.9" hidden="1" customHeight="1" x14ac:dyDescent="0.2">
      <c r="B4064" s="691"/>
      <c r="C4064" s="322" t="str">
        <f>+'LISTA DE INSUMOS'!A261</f>
        <v>MAT231</v>
      </c>
      <c r="D4064" s="324" t="str">
        <f>+'LISTA DE INSUMOS'!B261</f>
        <v>Cerámica de 1ra. de 20 x 20 cm tipo Ecocerámica</v>
      </c>
      <c r="E4064" s="322" t="str">
        <f>+'LISTA DE INSUMOS'!C261</f>
        <v>M2</v>
      </c>
      <c r="F4064" s="321">
        <v>0.08</v>
      </c>
      <c r="G4064" s="312">
        <f>'LISTA DE INSUMOS'!E261</f>
        <v>16913.200775786514</v>
      </c>
      <c r="H4064" s="349">
        <v>1.1000000000000001</v>
      </c>
      <c r="I4064" s="312">
        <f>ROUND((F4064*G4064*H4064),0)</f>
        <v>1488</v>
      </c>
      <c r="J4064" s="313"/>
      <c r="K4064" s="323"/>
    </row>
    <row r="4065" spans="2:11" s="317" customFormat="1" ht="24.9" hidden="1" customHeight="1" x14ac:dyDescent="0.2">
      <c r="B4065" s="691"/>
      <c r="C4065" s="338" t="str">
        <f>+'LISTA DE INSUMOS'!A618</f>
        <v>MAT634</v>
      </c>
      <c r="D4065" s="339" t="str">
        <f>+'LISTA DE INSUMOS'!B618</f>
        <v>Boquilla para enchape</v>
      </c>
      <c r="E4065" s="322" t="str">
        <f>+'LISTA DE INSUMOS'!C618</f>
        <v>Kg</v>
      </c>
      <c r="F4065" s="325">
        <v>0.04</v>
      </c>
      <c r="G4065" s="312">
        <f>'LISTA DE INSUMOS'!E618</f>
        <v>6158.7571953599981</v>
      </c>
      <c r="H4065" s="322">
        <v>1.05</v>
      </c>
      <c r="I4065" s="312">
        <f>ROUND((F4065*G4065*H4065),0)</f>
        <v>259</v>
      </c>
      <c r="J4065" s="313"/>
      <c r="K4065" s="323"/>
    </row>
    <row r="4066" spans="2:11" s="317" customFormat="1" ht="24.9" hidden="1" customHeight="1" thickBot="1" x14ac:dyDescent="0.25">
      <c r="B4066" s="692"/>
      <c r="C4066" s="322" t="str">
        <f>+'LISTA DE INSUMOS'!A515</f>
        <v>MAT532</v>
      </c>
      <c r="D4066" s="324" t="str">
        <f>+'LISTA DE INSUMOS'!B515</f>
        <v>Fijador de cerámica tipo pegacor o similar</v>
      </c>
      <c r="E4066" s="322" t="str">
        <f>+'LISTA DE INSUMOS'!C515</f>
        <v>Kg</v>
      </c>
      <c r="F4066" s="325">
        <v>0.4</v>
      </c>
      <c r="G4066" s="312">
        <f>'LISTA DE INSUMOS'!E515</f>
        <v>1457.6318472728572</v>
      </c>
      <c r="H4066" s="322">
        <v>1.05</v>
      </c>
      <c r="I4066" s="312">
        <f>ROUND((F4066*G4066*H4066),0)</f>
        <v>612</v>
      </c>
      <c r="J4066" s="313"/>
      <c r="K4066" s="323"/>
    </row>
    <row r="4067" spans="2:11" s="317" customFormat="1" ht="24.9" hidden="1" customHeight="1" thickTop="1" thickBot="1" x14ac:dyDescent="0.25">
      <c r="B4067" s="372" t="s">
        <v>1034</v>
      </c>
      <c r="C4067" s="322" t="str">
        <f>+'LISTA DE INSUMOS'!A18</f>
        <v>MOB015</v>
      </c>
      <c r="D4067" s="324" t="str">
        <f>+'LISTA DE INSUMOS'!B18</f>
        <v>Cuadrilla E 1 Of + 1 Ay (jornal + prestaciones)</v>
      </c>
      <c r="E4067" s="322" t="str">
        <f>+'LISTA DE INSUMOS'!C18</f>
        <v>Día</v>
      </c>
      <c r="F4067" s="321">
        <v>1</v>
      </c>
      <c r="G4067" s="312">
        <f>'LISTA DE INSUMOS'!E18</f>
        <v>245584</v>
      </c>
      <c r="H4067" s="349">
        <f>1/20</f>
        <v>0.05</v>
      </c>
      <c r="I4067" s="312">
        <f>ROUND((F4067*G4067*H4067),0)</f>
        <v>12279</v>
      </c>
      <c r="J4067" s="313"/>
      <c r="K4067" s="323"/>
    </row>
    <row r="4068" spans="2:11" s="317" customFormat="1" ht="24.9" hidden="1" customHeight="1" thickTop="1" thickBot="1" x14ac:dyDescent="0.25">
      <c r="B4068" s="255" t="s">
        <v>1033</v>
      </c>
      <c r="C4068" s="327" t="str">
        <f>+'LISTA DE INSUMOS'!A758</f>
        <v>EQU002</v>
      </c>
      <c r="D4068" s="328" t="str">
        <f>+'LISTA DE INSUMOS'!B758</f>
        <v>Herramienta menor (% mano obra)</v>
      </c>
      <c r="E4068" s="329" t="str">
        <f>+'LISTA DE INSUMOS'!C758</f>
        <v>%MO</v>
      </c>
      <c r="F4068" s="362">
        <v>0.05</v>
      </c>
      <c r="G4068" s="331">
        <f>I4067</f>
        <v>12279</v>
      </c>
      <c r="H4068" s="350">
        <v>0</v>
      </c>
      <c r="I4068" s="331">
        <f>ROUND((F4068*G4068),0)</f>
        <v>614</v>
      </c>
      <c r="J4068" s="313"/>
      <c r="K4068" s="323"/>
    </row>
    <row r="4069" spans="2:11" s="317" customFormat="1" ht="24.9" hidden="1" customHeight="1" x14ac:dyDescent="0.2">
      <c r="B4069" s="319" t="s">
        <v>2390</v>
      </c>
      <c r="C4069" s="319"/>
      <c r="D4069" s="320" t="s">
        <v>1945</v>
      </c>
      <c r="E4069" s="319" t="s">
        <v>2585</v>
      </c>
      <c r="F4069" s="332"/>
      <c r="G4069" s="312">
        <f>ROUND(SUM(I4070:I4074),0)</f>
        <v>100755</v>
      </c>
      <c r="H4069" s="322"/>
      <c r="I4069" s="312"/>
      <c r="J4069" s="313"/>
      <c r="K4069" s="323"/>
    </row>
    <row r="4070" spans="2:11" s="317" customFormat="1" ht="24.9" hidden="1" customHeight="1" thickBot="1" x14ac:dyDescent="0.25">
      <c r="B4070" s="347" t="s">
        <v>1325</v>
      </c>
      <c r="C4070" s="322" t="str">
        <f>+'LISTA DE INSUMOS'!A496</f>
        <v>MAT513</v>
      </c>
      <c r="D4070" s="324" t="str">
        <f>+'LISTA DE INSUMOS'!B496</f>
        <v>Flexocreto</v>
      </c>
      <c r="E4070" s="322" t="str">
        <f>+'LISTA DE INSUMOS'!C496</f>
        <v>M2</v>
      </c>
      <c r="F4070" s="325">
        <v>1</v>
      </c>
      <c r="G4070" s="312">
        <f>'LISTA DE INSUMOS'!E496</f>
        <v>31308.837664582497</v>
      </c>
      <c r="H4070" s="322">
        <v>1.1000000000000001</v>
      </c>
      <c r="I4070" s="312">
        <f>ROUND((F4070*G4070*H4070),0)</f>
        <v>34440</v>
      </c>
      <c r="J4070" s="313"/>
      <c r="K4070" s="323"/>
    </row>
    <row r="4071" spans="2:11" s="317" customFormat="1" ht="24.9" hidden="1" customHeight="1" thickTop="1" thickBot="1" x14ac:dyDescent="0.25">
      <c r="B4071" s="347" t="s">
        <v>1310</v>
      </c>
      <c r="C4071" s="322" t="str">
        <f>+B4057</f>
        <v>ITE381</v>
      </c>
      <c r="D4071" s="324" t="str">
        <f>+D4057</f>
        <v>Concreto fluido 13,8 Mpa (2000 psi) tamaño máximo 1/2"</v>
      </c>
      <c r="E4071" s="322" t="str">
        <f>+E4057</f>
        <v>M3</v>
      </c>
      <c r="F4071" s="325">
        <v>0.09</v>
      </c>
      <c r="G4071" s="312">
        <f>+G4057</f>
        <v>576958</v>
      </c>
      <c r="H4071" s="322">
        <v>1.05</v>
      </c>
      <c r="I4071" s="312">
        <f>ROUND((F4071*G4071*H4071),0)</f>
        <v>54523</v>
      </c>
      <c r="J4071" s="313"/>
      <c r="K4071" s="323"/>
    </row>
    <row r="4072" spans="2:11" s="317" customFormat="1" ht="24.9" hidden="1" customHeight="1" thickTop="1" thickBot="1" x14ac:dyDescent="0.25">
      <c r="B4072" s="372" t="s">
        <v>1034</v>
      </c>
      <c r="C4072" s="322" t="str">
        <f>+'LISTA DE INSUMOS'!A9</f>
        <v>MOB006</v>
      </c>
      <c r="D4072" s="324" t="str">
        <f>+'LISTA DE INSUMOS'!B9</f>
        <v>Cuadrilla A 1 Of + 4 Ay (jornal + prestaciones)</v>
      </c>
      <c r="E4072" s="322" t="str">
        <f>+'LISTA DE INSUMOS'!C9</f>
        <v>Día</v>
      </c>
      <c r="F4072" s="325">
        <v>1</v>
      </c>
      <c r="G4072" s="312">
        <f>'LISTA DE INSUMOS'!E9</f>
        <v>491167</v>
      </c>
      <c r="H4072" s="326">
        <f>1/75</f>
        <v>1.3333333333333334E-2</v>
      </c>
      <c r="I4072" s="312">
        <f>ROUND((F4072*G4072*H4072),0)</f>
        <v>6549</v>
      </c>
      <c r="J4072" s="313"/>
      <c r="K4072" s="323"/>
    </row>
    <row r="4073" spans="2:11" s="317" customFormat="1" ht="24.9" hidden="1" customHeight="1" thickTop="1" x14ac:dyDescent="0.2">
      <c r="B4073" s="652" t="s">
        <v>1033</v>
      </c>
      <c r="C4073" s="322" t="str">
        <f>+'LISTA DE INSUMOS'!A758</f>
        <v>EQU002</v>
      </c>
      <c r="D4073" s="324" t="str">
        <f>+'LISTA DE INSUMOS'!B758</f>
        <v>Herramienta menor (% mano obra)</v>
      </c>
      <c r="E4073" s="322" t="str">
        <f>+'LISTA DE INSUMOS'!C758</f>
        <v>%MO</v>
      </c>
      <c r="F4073" s="325">
        <v>0.05</v>
      </c>
      <c r="G4073" s="312">
        <f>I4072</f>
        <v>6549</v>
      </c>
      <c r="H4073" s="322">
        <v>0</v>
      </c>
      <c r="I4073" s="312">
        <f>ROUND((F4073*G4073),0)</f>
        <v>327</v>
      </c>
      <c r="J4073" s="313"/>
      <c r="K4073" s="323"/>
    </row>
    <row r="4074" spans="2:11" s="317" customFormat="1" ht="24.9" hidden="1" customHeight="1" thickBot="1" x14ac:dyDescent="0.25">
      <c r="B4074" s="653"/>
      <c r="C4074" s="329" t="str">
        <f>+'LISTA DE INSUMOS'!A797</f>
        <v>EQU040</v>
      </c>
      <c r="D4074" s="328" t="str">
        <f>+'LISTA DE INSUMOS'!B797</f>
        <v>Bomba para concreto</v>
      </c>
      <c r="E4074" s="329" t="str">
        <f>+'LISTA DE INSUMOS'!C797</f>
        <v>M3</v>
      </c>
      <c r="F4074" s="330">
        <v>0.09</v>
      </c>
      <c r="G4074" s="331">
        <f>'LISTA DE INSUMOS'!E797</f>
        <v>54617.371379999997</v>
      </c>
      <c r="H4074" s="329">
        <v>0</v>
      </c>
      <c r="I4074" s="331">
        <f>ROUND((F4074*G4074),0)</f>
        <v>4916</v>
      </c>
      <c r="J4074" s="313"/>
      <c r="K4074" s="323"/>
    </row>
    <row r="4075" spans="2:11" s="317" customFormat="1" ht="24.9" hidden="1" customHeight="1" x14ac:dyDescent="0.2">
      <c r="B4075" s="353" t="s">
        <v>2391</v>
      </c>
      <c r="C4075" s="319"/>
      <c r="D4075" s="320" t="s">
        <v>1946</v>
      </c>
      <c r="E4075" s="319" t="s">
        <v>2585</v>
      </c>
      <c r="F4075" s="332"/>
      <c r="G4075" s="312">
        <f>ROUND(SUM(I4076:I4079),0)</f>
        <v>104399</v>
      </c>
      <c r="H4075" s="322"/>
      <c r="I4075" s="312"/>
      <c r="J4075" s="313"/>
      <c r="K4075" s="323"/>
    </row>
    <row r="4076" spans="2:11" s="317" customFormat="1" ht="24.9" hidden="1" customHeight="1" thickBot="1" x14ac:dyDescent="0.25">
      <c r="B4076" s="347" t="s">
        <v>1325</v>
      </c>
      <c r="C4076" s="322" t="str">
        <f>+'LISTA DE INSUMOS'!A496</f>
        <v>MAT513</v>
      </c>
      <c r="D4076" s="324" t="str">
        <f>+'LISTA DE INSUMOS'!B496</f>
        <v>Flexocreto</v>
      </c>
      <c r="E4076" s="322" t="str">
        <f>+'LISTA DE INSUMOS'!C496</f>
        <v>M2</v>
      </c>
      <c r="F4076" s="325">
        <v>1</v>
      </c>
      <c r="G4076" s="312">
        <f>'LISTA DE INSUMOS'!E496</f>
        <v>31308.837664582497</v>
      </c>
      <c r="H4076" s="322">
        <v>1.1000000000000001</v>
      </c>
      <c r="I4076" s="312">
        <f>ROUND((F4076*G4076*H4076),0)</f>
        <v>34440</v>
      </c>
      <c r="J4076" s="313"/>
      <c r="K4076" s="323"/>
    </row>
    <row r="4077" spans="2:11" s="317" customFormat="1" ht="24.9" hidden="1" customHeight="1" thickTop="1" thickBot="1" x14ac:dyDescent="0.25">
      <c r="B4077" s="347" t="s">
        <v>1310</v>
      </c>
      <c r="C4077" s="322" t="str">
        <f>+B4057</f>
        <v>ITE381</v>
      </c>
      <c r="D4077" s="324" t="str">
        <f>+D4057</f>
        <v>Concreto fluido 13,8 Mpa (2000 psi) tamaño máximo 1/2"</v>
      </c>
      <c r="E4077" s="322" t="str">
        <f>+E4057</f>
        <v>M3</v>
      </c>
      <c r="F4077" s="325">
        <v>0.09</v>
      </c>
      <c r="G4077" s="312">
        <f>+G4057</f>
        <v>576958</v>
      </c>
      <c r="H4077" s="322">
        <v>1.05</v>
      </c>
      <c r="I4077" s="312">
        <f>ROUND((F4077*G4077*H4077),0)</f>
        <v>54523</v>
      </c>
      <c r="J4077" s="313"/>
      <c r="K4077" s="323"/>
    </row>
    <row r="4078" spans="2:11" s="317" customFormat="1" ht="24.9" hidden="1" customHeight="1" thickTop="1" thickBot="1" x14ac:dyDescent="0.25">
      <c r="B4078" s="372" t="s">
        <v>1034</v>
      </c>
      <c r="C4078" s="322" t="str">
        <f>+'LISTA DE INSUMOS'!A9</f>
        <v>MOB006</v>
      </c>
      <c r="D4078" s="324" t="str">
        <f>+'LISTA DE INSUMOS'!B9</f>
        <v>Cuadrilla A 1 Of + 4 Ay (jornal + prestaciones)</v>
      </c>
      <c r="E4078" s="322" t="str">
        <f>+'LISTA DE INSUMOS'!C9</f>
        <v>Día</v>
      </c>
      <c r="F4078" s="325">
        <v>1</v>
      </c>
      <c r="G4078" s="312">
        <f>'LISTA DE INSUMOS'!E9</f>
        <v>491167</v>
      </c>
      <c r="H4078" s="326">
        <f>1/35</f>
        <v>2.8571428571428571E-2</v>
      </c>
      <c r="I4078" s="312">
        <f>ROUND((F4078*G4078*H4078),0)</f>
        <v>14033</v>
      </c>
      <c r="J4078" s="313"/>
      <c r="K4078" s="323"/>
    </row>
    <row r="4079" spans="2:11" s="317" customFormat="1" ht="24.9" hidden="1" customHeight="1" thickTop="1" thickBot="1" x14ac:dyDescent="0.25">
      <c r="B4079" s="255" t="s">
        <v>1033</v>
      </c>
      <c r="C4079" s="327" t="str">
        <f>+'LISTA DE INSUMOS'!A758</f>
        <v>EQU002</v>
      </c>
      <c r="D4079" s="328" t="str">
        <f>+'LISTA DE INSUMOS'!B758</f>
        <v>Herramienta menor (% mano obra)</v>
      </c>
      <c r="E4079" s="329" t="str">
        <f>+'LISTA DE INSUMOS'!C758</f>
        <v>%MO</v>
      </c>
      <c r="F4079" s="330">
        <v>0.1</v>
      </c>
      <c r="G4079" s="331">
        <f>I4078</f>
        <v>14033</v>
      </c>
      <c r="H4079" s="329">
        <v>0</v>
      </c>
      <c r="I4079" s="331">
        <f>ROUND((F4079*G4079),0)</f>
        <v>1403</v>
      </c>
      <c r="J4079" s="313"/>
      <c r="K4079" s="323"/>
    </row>
    <row r="4080" spans="2:11" ht="24.9" customHeight="1" thickBot="1" x14ac:dyDescent="0.25">
      <c r="B4080" s="191" t="s">
        <v>3000</v>
      </c>
      <c r="C4080" s="120"/>
      <c r="D4080" s="231" t="s">
        <v>295</v>
      </c>
      <c r="E4080" s="120" t="s">
        <v>1435</v>
      </c>
      <c r="F4080" s="138"/>
      <c r="G4080" s="119">
        <f>ROUND(SUM(I4081:I4084),0)</f>
        <v>658958</v>
      </c>
      <c r="H4080" s="120"/>
      <c r="I4080" s="119"/>
      <c r="J4080" s="47"/>
      <c r="K4080" s="143"/>
    </row>
    <row r="4081" spans="2:11" ht="24.9" customHeight="1" thickTop="1" thickBot="1" x14ac:dyDescent="0.25">
      <c r="B4081" s="175" t="s">
        <v>1325</v>
      </c>
      <c r="C4081" s="108" t="str">
        <f>+'LISTA DE INSUMOS'!A497</f>
        <v>MAT514</v>
      </c>
      <c r="D4081" s="139" t="str">
        <f>+'LISTA DE INSUMOS'!B497</f>
        <v>Bolsacreto 1101 o similar</v>
      </c>
      <c r="E4081" s="108" t="str">
        <f>+'LISTA DE INSUMOS'!C497</f>
        <v>Un</v>
      </c>
      <c r="F4081" s="140">
        <v>1</v>
      </c>
      <c r="G4081" s="141">
        <f>'LISTA DE INSUMOS'!E497</f>
        <v>26137.893182032498</v>
      </c>
      <c r="H4081" s="108">
        <v>0</v>
      </c>
      <c r="I4081" s="141">
        <f>ROUND((F4081*G4081),0)</f>
        <v>26138</v>
      </c>
      <c r="J4081" s="47"/>
      <c r="K4081" s="143"/>
    </row>
    <row r="4082" spans="2:11" ht="24.9" customHeight="1" thickTop="1" thickBot="1" x14ac:dyDescent="0.25">
      <c r="B4082" s="191" t="s">
        <v>1310</v>
      </c>
      <c r="C4082" s="108" t="str">
        <f>+B4057</f>
        <v>ITE381</v>
      </c>
      <c r="D4082" s="139" t="str">
        <f>+D4057</f>
        <v>Concreto fluido 13,8 Mpa (2000 psi) tamaño máximo 1/2"</v>
      </c>
      <c r="E4082" s="108" t="str">
        <f>+E4057</f>
        <v>M3</v>
      </c>
      <c r="F4082" s="140">
        <v>1</v>
      </c>
      <c r="G4082" s="141">
        <f>+G4057</f>
        <v>576958</v>
      </c>
      <c r="H4082" s="108">
        <v>1.05</v>
      </c>
      <c r="I4082" s="141">
        <f>ROUND((F4082*G4082*H4082),0)</f>
        <v>605806</v>
      </c>
      <c r="J4082" s="47"/>
      <c r="K4082" s="143"/>
    </row>
    <row r="4083" spans="2:11" ht="24.9" customHeight="1" thickTop="1" thickBot="1" x14ac:dyDescent="0.25">
      <c r="B4083" s="250" t="s">
        <v>1034</v>
      </c>
      <c r="C4083" s="108" t="str">
        <f>+'LISTA DE INSUMOS'!A18</f>
        <v>MOB015</v>
      </c>
      <c r="D4083" s="139" t="str">
        <f>+'LISTA DE INSUMOS'!B18</f>
        <v>Cuadrilla E 1 Of + 1 Ay (jornal + prestaciones)</v>
      </c>
      <c r="E4083" s="108" t="str">
        <f>+'LISTA DE INSUMOS'!C18</f>
        <v>Día</v>
      </c>
      <c r="F4083" s="140">
        <v>1</v>
      </c>
      <c r="G4083" s="141">
        <f>'LISTA DE INSUMOS'!E18</f>
        <v>245584</v>
      </c>
      <c r="H4083" s="142">
        <f>1/10</f>
        <v>0.1</v>
      </c>
      <c r="I4083" s="141">
        <f>ROUND((F4083*G4083*H4083),0)</f>
        <v>24558</v>
      </c>
      <c r="J4083" s="47"/>
      <c r="K4083" s="143"/>
    </row>
    <row r="4084" spans="2:11" ht="24.9" customHeight="1" thickTop="1" thickBot="1" x14ac:dyDescent="0.25">
      <c r="B4084" s="150" t="s">
        <v>1033</v>
      </c>
      <c r="C4084" s="151" t="str">
        <f>+'LISTA DE INSUMOS'!A758</f>
        <v>EQU002</v>
      </c>
      <c r="D4084" s="146" t="str">
        <f>+'LISTA DE INSUMOS'!B758</f>
        <v>Herramienta menor (% mano obra)</v>
      </c>
      <c r="E4084" s="145" t="str">
        <f>+'LISTA DE INSUMOS'!C758</f>
        <v>%MO</v>
      </c>
      <c r="F4084" s="147">
        <v>0.1</v>
      </c>
      <c r="G4084" s="148">
        <f>I4083</f>
        <v>24558</v>
      </c>
      <c r="H4084" s="145">
        <v>0</v>
      </c>
      <c r="I4084" s="148">
        <f>ROUND((F4084*G4084),0)</f>
        <v>2456</v>
      </c>
      <c r="J4084" s="47"/>
      <c r="K4084" s="143"/>
    </row>
    <row r="4085" spans="2:11" s="317" customFormat="1" ht="24.9" hidden="1" customHeight="1" x14ac:dyDescent="0.2">
      <c r="B4085" s="322" t="s">
        <v>2392</v>
      </c>
      <c r="C4085" s="319"/>
      <c r="D4085" s="320" t="s">
        <v>298</v>
      </c>
      <c r="E4085" s="319" t="s">
        <v>1424</v>
      </c>
      <c r="F4085" s="321"/>
      <c r="G4085" s="312">
        <f>ROUND(SUM(I4085:I4089),0)</f>
        <v>16593</v>
      </c>
      <c r="H4085" s="322"/>
      <c r="I4085" s="312"/>
      <c r="J4085" s="313"/>
      <c r="K4085" s="323"/>
    </row>
    <row r="4086" spans="2:11" s="317" customFormat="1" ht="24.9" hidden="1" customHeight="1" thickBot="1" x14ac:dyDescent="0.25">
      <c r="B4086" s="347" t="s">
        <v>1325</v>
      </c>
      <c r="C4086" s="322" t="str">
        <f>+'LISTA DE INSUMOS'!A205</f>
        <v>MAT165</v>
      </c>
      <c r="D4086" s="324" t="str">
        <f>+'LISTA DE INSUMOS'!B205</f>
        <v>Material granular tipo BG A</v>
      </c>
      <c r="E4086" s="322" t="str">
        <f>+'LISTA DE INSUMOS'!C205</f>
        <v>M3</v>
      </c>
      <c r="F4086" s="325">
        <v>0.1</v>
      </c>
      <c r="G4086" s="312">
        <f>'LISTA DE INSUMOS'!E205</f>
        <v>79637.100387123661</v>
      </c>
      <c r="H4086" s="322">
        <v>1.3</v>
      </c>
      <c r="I4086" s="312">
        <f>ROUND((F4086*G4086*H4086),0)</f>
        <v>10353</v>
      </c>
      <c r="J4086" s="313"/>
      <c r="K4086" s="323"/>
    </row>
    <row r="4087" spans="2:11" s="317" customFormat="1" ht="24.9" hidden="1" customHeight="1" thickTop="1" thickBot="1" x14ac:dyDescent="0.25">
      <c r="B4087" s="372" t="s">
        <v>1034</v>
      </c>
      <c r="C4087" s="322" t="str">
        <f>+'LISTA DE INSUMOS'!A9</f>
        <v>MOB006</v>
      </c>
      <c r="D4087" s="324" t="str">
        <f>+'LISTA DE INSUMOS'!B9</f>
        <v>Cuadrilla A 1 Of + 4 Ay (jornal + prestaciones)</v>
      </c>
      <c r="E4087" s="322" t="str">
        <f>+'LISTA DE INSUMOS'!C9</f>
        <v>Día</v>
      </c>
      <c r="F4087" s="325">
        <v>1</v>
      </c>
      <c r="G4087" s="312">
        <f>'LISTA DE INSUMOS'!E9</f>
        <v>491167</v>
      </c>
      <c r="H4087" s="326">
        <f>1/100</f>
        <v>0.01</v>
      </c>
      <c r="I4087" s="312">
        <f>ROUND((F4087*G4087*H4087),0)</f>
        <v>4912</v>
      </c>
      <c r="J4087" s="313"/>
      <c r="K4087" s="323"/>
    </row>
    <row r="4088" spans="2:11" s="317" customFormat="1" ht="24.9" hidden="1" customHeight="1" thickTop="1" x14ac:dyDescent="0.2">
      <c r="B4088" s="652" t="s">
        <v>1033</v>
      </c>
      <c r="C4088" s="322" t="str">
        <f>+'LISTA DE INSUMOS'!A758</f>
        <v>EQU002</v>
      </c>
      <c r="D4088" s="324" t="str">
        <f>+'LISTA DE INSUMOS'!B758</f>
        <v>Herramienta menor (% mano obra)</v>
      </c>
      <c r="E4088" s="322" t="str">
        <f>+'LISTA DE INSUMOS'!C758</f>
        <v>%MO</v>
      </c>
      <c r="F4088" s="325">
        <v>0.1</v>
      </c>
      <c r="G4088" s="312">
        <f>I4087</f>
        <v>4912</v>
      </c>
      <c r="H4088" s="326">
        <v>0</v>
      </c>
      <c r="I4088" s="312">
        <f>ROUND((F4088*G4088),0)</f>
        <v>491</v>
      </c>
      <c r="J4088" s="313"/>
      <c r="K4088" s="323"/>
    </row>
    <row r="4089" spans="2:11" s="317" customFormat="1" ht="24.9" hidden="1" customHeight="1" thickBot="1" x14ac:dyDescent="0.25">
      <c r="B4089" s="653"/>
      <c r="C4089" s="329" t="str">
        <f>+'LISTA DE INSUMOS'!A769</f>
        <v>EQU012</v>
      </c>
      <c r="D4089" s="328" t="str">
        <f>+'LISTA DE INSUMOS'!B769</f>
        <v xml:space="preserve">Vibrocompactador manual </v>
      </c>
      <c r="E4089" s="329" t="str">
        <f>+'LISTA DE INSUMOS'!C769</f>
        <v>Día</v>
      </c>
      <c r="F4089" s="330">
        <v>1</v>
      </c>
      <c r="G4089" s="331">
        <f>'LISTA DE INSUMOS'!E769</f>
        <v>83697.986602732781</v>
      </c>
      <c r="H4089" s="336">
        <f>1/100</f>
        <v>0.01</v>
      </c>
      <c r="I4089" s="331">
        <f>ROUND((F4089*G4089*H4089),0)</f>
        <v>837</v>
      </c>
      <c r="J4089" s="313"/>
      <c r="K4089" s="323"/>
    </row>
    <row r="4090" spans="2:11" ht="24.9" customHeight="1" x14ac:dyDescent="0.2">
      <c r="B4090" s="193" t="s">
        <v>2331</v>
      </c>
      <c r="C4090" s="120"/>
      <c r="D4090" s="112" t="s">
        <v>101</v>
      </c>
      <c r="E4090" s="117" t="s">
        <v>1412</v>
      </c>
      <c r="F4090" s="118"/>
      <c r="G4090" s="119">
        <f>ROUND(SUM(I4091:I4093),0)</f>
        <v>1773</v>
      </c>
      <c r="H4090" s="120"/>
      <c r="I4090" s="119"/>
      <c r="J4090" s="47"/>
      <c r="K4090" s="143"/>
    </row>
    <row r="4091" spans="2:11" ht="24.9" customHeight="1" thickBot="1" x14ac:dyDescent="0.25">
      <c r="B4091" s="175" t="s">
        <v>1325</v>
      </c>
      <c r="C4091" s="108" t="str">
        <f>+'LISTA DE INSUMOS'!A414</f>
        <v>MAT426</v>
      </c>
      <c r="D4091" s="139" t="str">
        <f>+'LISTA DE INSUMOS'!B414</f>
        <v>Masilla Texplaca 1Gl 6.8kg Uso Exterior</v>
      </c>
      <c r="E4091" s="108" t="str">
        <f>+'LISTA DE INSUMOS'!C414</f>
        <v>Gl</v>
      </c>
      <c r="F4091" s="152">
        <v>4.4999999999999998E-2</v>
      </c>
      <c r="G4091" s="141">
        <f>'LISTA DE INSUMOS'!E414</f>
        <v>36195.507182999994</v>
      </c>
      <c r="H4091" s="108">
        <v>1.05</v>
      </c>
      <c r="I4091" s="141">
        <f>ROUND((F4091*G4091*H4091),0)</f>
        <v>1710</v>
      </c>
      <c r="J4091" s="47"/>
      <c r="K4091" s="143"/>
    </row>
    <row r="4092" spans="2:11" ht="24.9" customHeight="1" thickTop="1" thickBot="1" x14ac:dyDescent="0.25">
      <c r="B4092" s="250" t="s">
        <v>1034</v>
      </c>
      <c r="C4092" s="125" t="str">
        <f>+'LISTA DE INSUMOS'!A8</f>
        <v>MOB005</v>
      </c>
      <c r="D4092" s="155" t="str">
        <f>+'LISTA DE INSUMOS'!B8</f>
        <v>Ayudante práctico (jornal + prestaciones)</v>
      </c>
      <c r="E4092" s="125" t="str">
        <f>+'LISTA DE INSUMOS'!C8</f>
        <v>Dia</v>
      </c>
      <c r="F4092" s="140">
        <v>1</v>
      </c>
      <c r="G4092" s="141">
        <f>+'LISTA DE INSUMOS'!E8</f>
        <v>114606</v>
      </c>
      <c r="H4092" s="108">
        <f>0.0005</f>
        <v>5.0000000000000001E-4</v>
      </c>
      <c r="I4092" s="141">
        <f>ROUND((F4092*G4092*H4092),0)</f>
        <v>57</v>
      </c>
      <c r="J4092" s="47"/>
      <c r="K4092" s="143"/>
    </row>
    <row r="4093" spans="2:11" ht="24.9" customHeight="1" thickTop="1" thickBot="1" x14ac:dyDescent="0.25">
      <c r="B4093" s="150" t="s">
        <v>1033</v>
      </c>
      <c r="C4093" s="151" t="str">
        <f>+'LISTA DE INSUMOS'!A758</f>
        <v>EQU002</v>
      </c>
      <c r="D4093" s="146" t="str">
        <f>+'LISTA DE INSUMOS'!B758</f>
        <v>Herramienta menor (% mano obra)</v>
      </c>
      <c r="E4093" s="145" t="str">
        <f>+'LISTA DE INSUMOS'!C758</f>
        <v>%MO</v>
      </c>
      <c r="F4093" s="147">
        <v>0.1</v>
      </c>
      <c r="G4093" s="148">
        <f>I4092</f>
        <v>57</v>
      </c>
      <c r="H4093" s="145">
        <v>0</v>
      </c>
      <c r="I4093" s="148">
        <f>ROUND((F4093*G4093),0)</f>
        <v>6</v>
      </c>
      <c r="J4093" s="47"/>
      <c r="K4093" s="143"/>
    </row>
    <row r="4094" spans="2:11" ht="24.9" customHeight="1" x14ac:dyDescent="0.2">
      <c r="B4094" s="117" t="s">
        <v>3001</v>
      </c>
      <c r="C4094" s="117"/>
      <c r="D4094" s="112" t="s">
        <v>1738</v>
      </c>
      <c r="E4094" s="117" t="s">
        <v>2586</v>
      </c>
      <c r="F4094" s="118"/>
      <c r="G4094" s="119">
        <f>ROUND(SUM(I4095:I4098),0)</f>
        <v>190605</v>
      </c>
      <c r="H4094" s="120"/>
      <c r="I4094" s="119"/>
      <c r="J4094" s="47"/>
      <c r="K4094" s="143"/>
    </row>
    <row r="4095" spans="2:11" ht="24.9" customHeight="1" thickBot="1" x14ac:dyDescent="0.25">
      <c r="B4095" s="175" t="s">
        <v>1325</v>
      </c>
      <c r="C4095" s="108" t="str">
        <f>+'LISTA DE INSUMOS'!A34</f>
        <v>MAT005</v>
      </c>
      <c r="D4095" s="139" t="str">
        <f>+'LISTA DE INSUMOS'!B34</f>
        <v>Piedra media zonga</v>
      </c>
      <c r="E4095" s="108" t="str">
        <f>+'LISTA DE INSUMOS'!C34</f>
        <v>M3</v>
      </c>
      <c r="F4095" s="140">
        <v>1</v>
      </c>
      <c r="G4095" s="141">
        <f>'LISTA DE INSUMOS'!E34</f>
        <v>120549.00000000001</v>
      </c>
      <c r="H4095" s="108">
        <v>1.3</v>
      </c>
      <c r="I4095" s="141">
        <f>ROUND((F4095*G4095*H4095),0)</f>
        <v>156714</v>
      </c>
      <c r="J4095" s="47"/>
      <c r="K4095" s="143"/>
    </row>
    <row r="4096" spans="2:11" ht="24.9" customHeight="1" thickTop="1" x14ac:dyDescent="0.2">
      <c r="B4096" s="678" t="s">
        <v>1034</v>
      </c>
      <c r="C4096" s="108" t="str">
        <f>+'LISTA DE INSUMOS'!A9</f>
        <v>MOB006</v>
      </c>
      <c r="D4096" s="139" t="str">
        <f>+'LISTA DE INSUMOS'!B9</f>
        <v>Cuadrilla A 1 Of + 4 Ay (jornal + prestaciones)</v>
      </c>
      <c r="E4096" s="108" t="str">
        <f>+'LISTA DE INSUMOS'!C9</f>
        <v>Día</v>
      </c>
      <c r="F4096" s="140">
        <v>1</v>
      </c>
      <c r="G4096" s="141">
        <f>'LISTA DE INSUMOS'!E9</f>
        <v>491167</v>
      </c>
      <c r="H4096" s="108">
        <v>0.06</v>
      </c>
      <c r="I4096" s="141">
        <f>ROUND((F4096*G4096*H4096),0)</f>
        <v>29470</v>
      </c>
      <c r="J4096" s="47"/>
      <c r="K4096" s="143"/>
    </row>
    <row r="4097" spans="2:11" ht="24.9" customHeight="1" thickBot="1" x14ac:dyDescent="0.25">
      <c r="B4097" s="705"/>
      <c r="C4097" s="108" t="str">
        <f>+'LISTA DE INSUMOS'!A14</f>
        <v>MOB011</v>
      </c>
      <c r="D4097" s="139" t="str">
        <f>+'LISTA DE INSUMOS'!B14</f>
        <v>Acarreo Horizontal (% mano obra)</v>
      </c>
      <c r="E4097" s="108" t="str">
        <f>+'LISTA DE INSUMOS'!C14</f>
        <v>% MO</v>
      </c>
      <c r="F4097" s="140">
        <v>0.05</v>
      </c>
      <c r="G4097" s="141">
        <f>I4096</f>
        <v>29470</v>
      </c>
      <c r="H4097" s="108">
        <v>0</v>
      </c>
      <c r="I4097" s="141">
        <f>ROUND((F4097*G4097),0)</f>
        <v>1474</v>
      </c>
      <c r="J4097" s="47"/>
      <c r="K4097" s="143"/>
    </row>
    <row r="4098" spans="2:11" ht="24.9" customHeight="1" thickTop="1" thickBot="1" x14ac:dyDescent="0.25">
      <c r="B4098" s="150" t="s">
        <v>1033</v>
      </c>
      <c r="C4098" s="151" t="str">
        <f>+'LISTA DE INSUMOS'!A758</f>
        <v>EQU002</v>
      </c>
      <c r="D4098" s="146" t="str">
        <f>+'LISTA DE INSUMOS'!B758</f>
        <v>Herramienta menor (% mano obra)</v>
      </c>
      <c r="E4098" s="145" t="str">
        <f>+'LISTA DE INSUMOS'!C758</f>
        <v>%MO</v>
      </c>
      <c r="F4098" s="147">
        <v>0.1</v>
      </c>
      <c r="G4098" s="148">
        <f>I4096</f>
        <v>29470</v>
      </c>
      <c r="H4098" s="145">
        <v>0</v>
      </c>
      <c r="I4098" s="148">
        <f>ROUND((F4098*G4098),0)</f>
        <v>2947</v>
      </c>
      <c r="J4098" s="47"/>
      <c r="K4098" s="143"/>
    </row>
    <row r="4099" spans="2:11" ht="24.9" customHeight="1" x14ac:dyDescent="0.2">
      <c r="B4099" s="117" t="s">
        <v>3001</v>
      </c>
      <c r="C4099" s="117"/>
      <c r="D4099" s="112" t="s">
        <v>56</v>
      </c>
      <c r="E4099" s="117" t="s">
        <v>2585</v>
      </c>
      <c r="F4099" s="149"/>
      <c r="G4099" s="119">
        <f>ROUND(SUM(I4100:I4108),0)</f>
        <v>181965</v>
      </c>
      <c r="H4099" s="120"/>
      <c r="I4099" s="119"/>
      <c r="J4099" s="47"/>
      <c r="K4099" s="143"/>
    </row>
    <row r="4100" spans="2:11" ht="24.9" customHeight="1" x14ac:dyDescent="0.2">
      <c r="B4100" s="672" t="s">
        <v>1035</v>
      </c>
      <c r="C4100" s="108" t="str">
        <f>+'LISTA DE INSUMOS'!A45</f>
        <v>MAT016</v>
      </c>
      <c r="D4100" s="139" t="str">
        <f>+'LISTA DE INSUMOS'!B45</f>
        <v>Acero de Fy = 60.000 psi d&gt;1/4 puesto en obra</v>
      </c>
      <c r="E4100" s="108" t="str">
        <f>+'LISTA DE INSUMOS'!C45</f>
        <v>Kg</v>
      </c>
      <c r="F4100" s="140">
        <v>16</v>
      </c>
      <c r="G4100" s="141">
        <f>'LISTA DE INSUMOS'!E45</f>
        <v>4605.3128999999999</v>
      </c>
      <c r="H4100" s="108">
        <v>1.05</v>
      </c>
      <c r="I4100" s="141">
        <f t="shared" ref="I4100:I4106" si="34">ROUND((F4100*G4100*H4100),0)</f>
        <v>77369</v>
      </c>
      <c r="J4100" s="47"/>
      <c r="K4100" s="143"/>
    </row>
    <row r="4101" spans="2:11" ht="27.75" customHeight="1" x14ac:dyDescent="0.2">
      <c r="B4101" s="672"/>
      <c r="C4101" s="108" t="str">
        <f>+'LISTA DE INSUMOS'!A213</f>
        <v>MAT177</v>
      </c>
      <c r="D4101" s="139" t="str">
        <f>+'LISTA DE INSUMOS'!B213</f>
        <v>Soldadura para hierro estructural</v>
      </c>
      <c r="E4101" s="108" t="str">
        <f>+'LISTA DE INSUMOS'!C213</f>
        <v>Kg</v>
      </c>
      <c r="F4101" s="140">
        <v>1</v>
      </c>
      <c r="G4101" s="141">
        <f>'LISTA DE INSUMOS'!E213</f>
        <v>14247.017999999998</v>
      </c>
      <c r="H4101" s="108">
        <v>1.03</v>
      </c>
      <c r="I4101" s="141">
        <f t="shared" si="34"/>
        <v>14674</v>
      </c>
      <c r="J4101" s="47"/>
      <c r="K4101" s="143"/>
    </row>
    <row r="4102" spans="2:11" ht="24.9" customHeight="1" x14ac:dyDescent="0.2">
      <c r="B4102" s="672"/>
      <c r="C4102" s="108" t="str">
        <f>+'LISTA DE INSUMOS'!A153</f>
        <v>MAT112</v>
      </c>
      <c r="D4102" s="139" t="str">
        <f>+'LISTA DE INSUMOS'!B153</f>
        <v>Pintura esmalte para exteriores</v>
      </c>
      <c r="E4102" s="108" t="str">
        <f>+'LISTA DE INSUMOS'!C153</f>
        <v>Gl</v>
      </c>
      <c r="F4102" s="140">
        <v>0.1</v>
      </c>
      <c r="G4102" s="141">
        <f>'LISTA DE INSUMOS'!E153</f>
        <v>99769.889999999985</v>
      </c>
      <c r="H4102" s="108">
        <v>1.05</v>
      </c>
      <c r="I4102" s="141">
        <f t="shared" si="34"/>
        <v>10476</v>
      </c>
      <c r="J4102" s="47"/>
      <c r="K4102" s="143"/>
    </row>
    <row r="4103" spans="2:11" ht="24.9" customHeight="1" thickBot="1" x14ac:dyDescent="0.25">
      <c r="B4103" s="673"/>
      <c r="C4103" s="108" t="str">
        <f>+'LISTA DE INSUMOS'!A214</f>
        <v>MAT180</v>
      </c>
      <c r="D4103" s="139" t="str">
        <f>+'LISTA DE INSUMOS'!B214</f>
        <v>Anticorrosivo gris</v>
      </c>
      <c r="E4103" s="108" t="str">
        <f>+'LISTA DE INSUMOS'!C214</f>
        <v>Gl</v>
      </c>
      <c r="F4103" s="140">
        <v>0.1</v>
      </c>
      <c r="G4103" s="141">
        <f>'LISTA DE INSUMOS'!E214</f>
        <v>65120.489999999991</v>
      </c>
      <c r="H4103" s="108">
        <v>1.05</v>
      </c>
      <c r="I4103" s="141">
        <f t="shared" si="34"/>
        <v>6838</v>
      </c>
      <c r="J4103" s="47"/>
      <c r="K4103" s="143"/>
    </row>
    <row r="4104" spans="2:11" ht="24.9" customHeight="1" thickTop="1" thickBot="1" x14ac:dyDescent="0.25">
      <c r="B4104" s="191" t="s">
        <v>1310</v>
      </c>
      <c r="C4104" s="108" t="str">
        <f>+B574</f>
        <v>ITE96</v>
      </c>
      <c r="D4104" s="139" t="str">
        <f>+D574</f>
        <v>Mortero 1:3 (producción)</v>
      </c>
      <c r="E4104" s="108" t="str">
        <f>+E574</f>
        <v>M3</v>
      </c>
      <c r="F4104" s="140">
        <v>1.4999999999999999E-2</v>
      </c>
      <c r="G4104" s="141">
        <f>G574</f>
        <v>580906</v>
      </c>
      <c r="H4104" s="108">
        <v>1.05</v>
      </c>
      <c r="I4104" s="141">
        <f t="shared" si="34"/>
        <v>9149</v>
      </c>
      <c r="J4104" s="47"/>
      <c r="K4104" s="143"/>
    </row>
    <row r="4105" spans="2:11" ht="24.9" customHeight="1" thickTop="1" x14ac:dyDescent="0.2">
      <c r="B4105" s="678" t="s">
        <v>1034</v>
      </c>
      <c r="C4105" s="108" t="str">
        <f>+'LISTA DE INSUMOS'!A18</f>
        <v>MOB015</v>
      </c>
      <c r="D4105" s="139" t="str">
        <f>+'LISTA DE INSUMOS'!B18</f>
        <v>Cuadrilla E 1 Of + 1 Ay (jornal + prestaciones)</v>
      </c>
      <c r="E4105" s="108" t="str">
        <f>+'LISTA DE INSUMOS'!C18</f>
        <v>Día</v>
      </c>
      <c r="F4105" s="160">
        <v>1</v>
      </c>
      <c r="G4105" s="141">
        <f>'LISTA DE INSUMOS'!E18</f>
        <v>245584</v>
      </c>
      <c r="H4105" s="108">
        <f>1/6</f>
        <v>0.16666666666666666</v>
      </c>
      <c r="I4105" s="141">
        <f t="shared" si="34"/>
        <v>40931</v>
      </c>
      <c r="J4105" s="47"/>
      <c r="K4105" s="143"/>
    </row>
    <row r="4106" spans="2:11" ht="24.9" customHeight="1" thickBot="1" x14ac:dyDescent="0.25">
      <c r="B4106" s="705"/>
      <c r="C4106" s="125" t="str">
        <f>+'LISTA DE INSUMOS'!A12</f>
        <v>MOB009</v>
      </c>
      <c r="D4106" s="155" t="str">
        <f>+'LISTA DE INSUMOS'!B12</f>
        <v>Cuadrilla S (1Sold.+1Ay práctico) (jornal + prestaciones)</v>
      </c>
      <c r="E4106" s="108" t="str">
        <f>+'LISTA DE INSUMOS'!C12</f>
        <v>Día</v>
      </c>
      <c r="F4106" s="140">
        <v>1</v>
      </c>
      <c r="G4106" s="141">
        <f>'LISTA DE INSUMOS'!E12</f>
        <v>261957</v>
      </c>
      <c r="H4106" s="108">
        <f>1/18</f>
        <v>5.5555555555555552E-2</v>
      </c>
      <c r="I4106" s="141">
        <f t="shared" si="34"/>
        <v>14553</v>
      </c>
      <c r="J4106" s="47"/>
      <c r="K4106" s="143"/>
    </row>
    <row r="4107" spans="2:11" ht="30" customHeight="1" thickTop="1" x14ac:dyDescent="0.2">
      <c r="B4107" s="647" t="s">
        <v>1033</v>
      </c>
      <c r="C4107" s="108" t="str">
        <f>+'LISTA DE INSUMOS'!A758</f>
        <v>EQU002</v>
      </c>
      <c r="D4107" s="139" t="str">
        <f>+'LISTA DE INSUMOS'!B758</f>
        <v>Herramienta menor (% mano obra)</v>
      </c>
      <c r="E4107" s="108" t="str">
        <f>+'LISTA DE INSUMOS'!C758</f>
        <v>%MO</v>
      </c>
      <c r="F4107" s="140">
        <v>0.1</v>
      </c>
      <c r="G4107" s="141">
        <f>I4105+I4106</f>
        <v>55484</v>
      </c>
      <c r="H4107" s="108">
        <v>0</v>
      </c>
      <c r="I4107" s="141">
        <f>ROUND((F4107*G4107),0)</f>
        <v>5548</v>
      </c>
      <c r="J4107" s="47"/>
      <c r="K4107" s="143"/>
    </row>
    <row r="4108" spans="2:11" ht="30" customHeight="1" thickBot="1" x14ac:dyDescent="0.25">
      <c r="B4108" s="704"/>
      <c r="C4108" s="194" t="str">
        <f>+'LISTA DE INSUMOS'!A796</f>
        <v>EQU039</v>
      </c>
      <c r="D4108" s="198" t="str">
        <f>+'LISTA DE INSUMOS'!B796</f>
        <v>Equipo soldadura eléctrica</v>
      </c>
      <c r="E4108" s="194" t="str">
        <f>+'LISTA DE INSUMOS'!C796</f>
        <v>Día</v>
      </c>
      <c r="F4108" s="147">
        <v>1</v>
      </c>
      <c r="G4108" s="199">
        <f>+'LISTA DE INSUMOS'!E796</f>
        <v>43693.897103999996</v>
      </c>
      <c r="H4108" s="145">
        <f>1/18</f>
        <v>5.5555555555555552E-2</v>
      </c>
      <c r="I4108" s="148">
        <f>ROUND((F4108*G4108*H4108),0)</f>
        <v>2427</v>
      </c>
      <c r="J4108" s="47"/>
      <c r="K4108" s="143"/>
    </row>
    <row r="4109" spans="2:11" ht="30" customHeight="1" x14ac:dyDescent="0.2">
      <c r="B4109" s="193" t="s">
        <v>2333</v>
      </c>
      <c r="C4109" s="193"/>
      <c r="D4109" s="221" t="s">
        <v>299</v>
      </c>
      <c r="E4109" s="193" t="s">
        <v>1435</v>
      </c>
      <c r="F4109" s="222"/>
      <c r="G4109" s="223">
        <f>ROUND(SUM(I4110:I4113),0)</f>
        <v>666906</v>
      </c>
      <c r="H4109" s="224"/>
      <c r="I4109" s="223"/>
      <c r="J4109" s="47"/>
      <c r="K4109" s="143"/>
    </row>
    <row r="4110" spans="2:11" ht="29.25" customHeight="1" thickBot="1" x14ac:dyDescent="0.25">
      <c r="B4110" s="175" t="s">
        <v>1325</v>
      </c>
      <c r="C4110" s="108" t="str">
        <f>+'LISTA DE INSUMOS'!A517</f>
        <v>MAT534</v>
      </c>
      <c r="D4110" s="139" t="str">
        <f>+'LISTA DE INSUMOS'!B517</f>
        <v>Bolsacreto 1401 o similar</v>
      </c>
      <c r="E4110" s="108" t="str">
        <f>+'LISTA DE INSUMOS'!C517</f>
        <v>Un</v>
      </c>
      <c r="F4110" s="140">
        <v>1</v>
      </c>
      <c r="G4110" s="141">
        <f>'LISTA DE INSUMOS'!E517</f>
        <v>27332.135122049996</v>
      </c>
      <c r="H4110" s="108">
        <v>0</v>
      </c>
      <c r="I4110" s="141">
        <f>ROUND((F4110*G4110),0)</f>
        <v>27332</v>
      </c>
      <c r="J4110" s="47"/>
      <c r="K4110" s="143"/>
    </row>
    <row r="4111" spans="2:11" ht="24.9" customHeight="1" thickTop="1" thickBot="1" x14ac:dyDescent="0.25">
      <c r="B4111" s="191" t="s">
        <v>1310</v>
      </c>
      <c r="C4111" s="108" t="str">
        <f>+B4057</f>
        <v>ITE381</v>
      </c>
      <c r="D4111" s="139" t="str">
        <f>+D4057</f>
        <v>Concreto fluido 13,8 Mpa (2000 psi) tamaño máximo 1/2"</v>
      </c>
      <c r="E4111" s="108" t="str">
        <f>+E4057</f>
        <v>M3</v>
      </c>
      <c r="F4111" s="140">
        <v>1</v>
      </c>
      <c r="G4111" s="141">
        <f>G4057</f>
        <v>576958</v>
      </c>
      <c r="H4111" s="108">
        <v>1.05</v>
      </c>
      <c r="I4111" s="141">
        <f>ROUND((F4111*G4111*H4111),0)</f>
        <v>605806</v>
      </c>
      <c r="J4111" s="47"/>
      <c r="K4111" s="143"/>
    </row>
    <row r="4112" spans="2:11" ht="24.9" customHeight="1" thickTop="1" thickBot="1" x14ac:dyDescent="0.25">
      <c r="B4112" s="250" t="s">
        <v>1034</v>
      </c>
      <c r="C4112" s="108" t="str">
        <f>+'LISTA DE INSUMOS'!A18</f>
        <v>MOB015</v>
      </c>
      <c r="D4112" s="139" t="str">
        <f>+'LISTA DE INSUMOS'!B18</f>
        <v>Cuadrilla E 1 Of + 1 Ay (jornal + prestaciones)</v>
      </c>
      <c r="E4112" s="108" t="str">
        <f>+'LISTA DE INSUMOS'!C18</f>
        <v>Día</v>
      </c>
      <c r="F4112" s="140">
        <v>1</v>
      </c>
      <c r="G4112" s="141">
        <f>'LISTA DE INSUMOS'!E18</f>
        <v>245584</v>
      </c>
      <c r="H4112" s="142">
        <f>1/8</f>
        <v>0.125</v>
      </c>
      <c r="I4112" s="141">
        <f>ROUND((F4112*G4112*H4112),0)</f>
        <v>30698</v>
      </c>
      <c r="J4112" s="47"/>
      <c r="K4112" s="143"/>
    </row>
    <row r="4113" spans="2:11" ht="24.9" customHeight="1" thickTop="1" thickBot="1" x14ac:dyDescent="0.25">
      <c r="B4113" s="150" t="s">
        <v>1033</v>
      </c>
      <c r="C4113" s="151" t="str">
        <f>+'LISTA DE INSUMOS'!A758</f>
        <v>EQU002</v>
      </c>
      <c r="D4113" s="146" t="str">
        <f>+'LISTA DE INSUMOS'!B758</f>
        <v>Herramienta menor (% mano obra)</v>
      </c>
      <c r="E4113" s="145" t="str">
        <f>+'LISTA DE INSUMOS'!C758</f>
        <v>%MO</v>
      </c>
      <c r="F4113" s="147">
        <v>0.1</v>
      </c>
      <c r="G4113" s="148">
        <f>I4112</f>
        <v>30698</v>
      </c>
      <c r="H4113" s="145">
        <v>0</v>
      </c>
      <c r="I4113" s="148">
        <f>ROUND((F4113*G4113),0)</f>
        <v>3070</v>
      </c>
      <c r="J4113" s="47"/>
      <c r="K4113" s="143"/>
    </row>
    <row r="4114" spans="2:11" s="317" customFormat="1" ht="24.9" hidden="1" customHeight="1" x14ac:dyDescent="0.2">
      <c r="B4114" s="322" t="s">
        <v>2393</v>
      </c>
      <c r="C4114" s="322"/>
      <c r="D4114" s="324" t="s">
        <v>369</v>
      </c>
      <c r="E4114" s="322" t="s">
        <v>1424</v>
      </c>
      <c r="F4114" s="332"/>
      <c r="G4114" s="356">
        <f>ROUND(SUM(I4115:I4124),0)</f>
        <v>190413</v>
      </c>
      <c r="H4114" s="322"/>
      <c r="I4114" s="312"/>
      <c r="J4114" s="313"/>
      <c r="K4114" s="323"/>
    </row>
    <row r="4115" spans="2:11" s="317" customFormat="1" ht="24.9" hidden="1" customHeight="1" x14ac:dyDescent="0.2">
      <c r="B4115" s="658" t="s">
        <v>1325</v>
      </c>
      <c r="C4115" s="338" t="str">
        <f>+'LISTA DE INSUMOS'!A357</f>
        <v>MAT350</v>
      </c>
      <c r="D4115" s="339" t="str">
        <f>+'LISTA DE INSUMOS'!B357</f>
        <v>Mezcla asfáltica MDC 2</v>
      </c>
      <c r="E4115" s="322" t="str">
        <f>+'LISTA DE INSUMOS'!C357</f>
        <v>M3</v>
      </c>
      <c r="F4115" s="332">
        <v>7.0000000000000007E-2</v>
      </c>
      <c r="G4115" s="312">
        <f>'LISTA DE INSUMOS'!E357</f>
        <v>807273.28828563448</v>
      </c>
      <c r="H4115" s="322">
        <v>1.25</v>
      </c>
      <c r="I4115" s="312">
        <f>ROUND((F4115*G4115*H4115),0)</f>
        <v>70636</v>
      </c>
      <c r="J4115" s="313"/>
      <c r="K4115" s="323"/>
    </row>
    <row r="4116" spans="2:11" s="317" customFormat="1" ht="24.9" hidden="1" customHeight="1" thickBot="1" x14ac:dyDescent="0.25">
      <c r="B4116" s="668"/>
      <c r="C4116" s="338" t="str">
        <f>+'LISTA DE INSUMOS'!A609</f>
        <v>MAT626</v>
      </c>
      <c r="D4116" s="339" t="str">
        <f>+'LISTA DE INSUMOS'!B609</f>
        <v>Geotextil Repav 450</v>
      </c>
      <c r="E4116" s="322" t="str">
        <f>+'LISTA DE INSUMOS'!C609</f>
        <v>M2</v>
      </c>
      <c r="F4116" s="332">
        <v>1</v>
      </c>
      <c r="G4116" s="312">
        <f>'LISTA DE INSUMOS'!E609</f>
        <v>5740.7346424705202</v>
      </c>
      <c r="H4116" s="322">
        <v>1.1000000000000001</v>
      </c>
      <c r="I4116" s="312">
        <f>ROUND((F4116*G4116*H4116),0)</f>
        <v>6315</v>
      </c>
      <c r="J4116" s="313"/>
      <c r="K4116" s="323"/>
    </row>
    <row r="4117" spans="2:11" s="317" customFormat="1" ht="24.9" hidden="1" customHeight="1" thickTop="1" x14ac:dyDescent="0.2">
      <c r="B4117" s="693" t="s">
        <v>1310</v>
      </c>
      <c r="C4117" s="322" t="str">
        <f>+B338</f>
        <v>ITE057</v>
      </c>
      <c r="D4117" s="324" t="str">
        <f>+D338</f>
        <v>Transporte material asfáltico</v>
      </c>
      <c r="E4117" s="322" t="str">
        <f>+E338</f>
        <v>M3-Km</v>
      </c>
      <c r="F4117" s="325">
        <v>40</v>
      </c>
      <c r="G4117" s="312">
        <f>G338</f>
        <v>1707</v>
      </c>
      <c r="H4117" s="322">
        <v>1.25</v>
      </c>
      <c r="I4117" s="312">
        <f>ROUND((F4117*G4117*H4117),0)</f>
        <v>85350</v>
      </c>
      <c r="J4117" s="313"/>
      <c r="K4117" s="323"/>
    </row>
    <row r="4118" spans="2:11" s="317" customFormat="1" ht="24.9" hidden="1" customHeight="1" x14ac:dyDescent="0.2">
      <c r="B4118" s="658"/>
      <c r="C4118" s="319" t="str">
        <f>+B417</f>
        <v>ITE068</v>
      </c>
      <c r="D4118" s="320" t="str">
        <f>+D417</f>
        <v>Transporte maquinaría pesada</v>
      </c>
      <c r="E4118" s="322" t="str">
        <f>+E417</f>
        <v>Km</v>
      </c>
      <c r="F4118" s="332">
        <v>60</v>
      </c>
      <c r="G4118" s="312">
        <f>G417</f>
        <v>26702</v>
      </c>
      <c r="H4118" s="335">
        <f>1/3000</f>
        <v>3.3333333333333332E-4</v>
      </c>
      <c r="I4118" s="312">
        <f>ROUND((F4118*G4118*H4118),0)</f>
        <v>534</v>
      </c>
      <c r="J4118" s="313"/>
      <c r="K4118" s="323"/>
    </row>
    <row r="4119" spans="2:11" s="317" customFormat="1" ht="24.9" hidden="1" customHeight="1" thickBot="1" x14ac:dyDescent="0.25">
      <c r="B4119" s="668"/>
      <c r="C4119" s="319" t="str">
        <f>+B2841</f>
        <v>ITE267</v>
      </c>
      <c r="D4119" s="320" t="str">
        <f>+D2841</f>
        <v>Imprimación con asfalto líquido</v>
      </c>
      <c r="E4119" s="322" t="str">
        <f>+E2841</f>
        <v>M2</v>
      </c>
      <c r="F4119" s="332">
        <v>1</v>
      </c>
      <c r="G4119" s="312">
        <f>G2841</f>
        <v>23238</v>
      </c>
      <c r="H4119" s="322">
        <v>0</v>
      </c>
      <c r="I4119" s="312">
        <f>ROUND((F4119*G4119),0)</f>
        <v>23238</v>
      </c>
      <c r="J4119" s="313"/>
      <c r="K4119" s="323"/>
    </row>
    <row r="4120" spans="2:11" s="317" customFormat="1" ht="30" hidden="1" customHeight="1" thickTop="1" thickBot="1" x14ac:dyDescent="0.25">
      <c r="B4120" s="342" t="s">
        <v>1034</v>
      </c>
      <c r="C4120" s="322" t="str">
        <f>+'LISTA DE INSUMOS'!A19</f>
        <v>MOB016</v>
      </c>
      <c r="D4120" s="324" t="str">
        <f>+'LISTA DE INSUMOS'!B19</f>
        <v>Cuadrilla F 6 Of + 4 Ay (jornal + prestaciones)</v>
      </c>
      <c r="E4120" s="322" t="str">
        <f>+'LISTA DE INSUMOS'!C19</f>
        <v>Día</v>
      </c>
      <c r="F4120" s="325">
        <v>1</v>
      </c>
      <c r="G4120" s="312">
        <f>'LISTA DE INSUMOS'!E19</f>
        <v>1309782</v>
      </c>
      <c r="H4120" s="326">
        <f>1/450</f>
        <v>2.2222222222222222E-3</v>
      </c>
      <c r="I4120" s="312">
        <f>ROUND((F4120*G4120*H4120),0)</f>
        <v>2911</v>
      </c>
      <c r="J4120" s="313"/>
      <c r="K4120" s="323"/>
    </row>
    <row r="4121" spans="2:11" s="317" customFormat="1" ht="30" hidden="1" customHeight="1" thickTop="1" x14ac:dyDescent="0.2">
      <c r="B4121" s="665" t="s">
        <v>1033</v>
      </c>
      <c r="C4121" s="322" t="str">
        <f>+'LISTA DE INSUMOS'!A758</f>
        <v>EQU002</v>
      </c>
      <c r="D4121" s="324" t="str">
        <f>+'LISTA DE INSUMOS'!B758</f>
        <v>Herramienta menor (% mano obra)</v>
      </c>
      <c r="E4121" s="322" t="str">
        <f>+'LISTA DE INSUMOS'!C758</f>
        <v>%MO</v>
      </c>
      <c r="F4121" s="325">
        <v>0.1</v>
      </c>
      <c r="G4121" s="312">
        <f>I4120</f>
        <v>2911</v>
      </c>
      <c r="H4121" s="322">
        <v>0</v>
      </c>
      <c r="I4121" s="312">
        <f>ROUND((F4121*G4121),0)</f>
        <v>291</v>
      </c>
      <c r="J4121" s="313"/>
      <c r="K4121" s="323"/>
    </row>
    <row r="4122" spans="2:11" s="317" customFormat="1" ht="30" hidden="1" customHeight="1" x14ac:dyDescent="0.2">
      <c r="B4122" s="666"/>
      <c r="C4122" s="322" t="str">
        <f>+'LISTA DE INSUMOS'!A770</f>
        <v>EQU013</v>
      </c>
      <c r="D4122" s="324" t="str">
        <f>+'LISTA DE INSUMOS'!B770</f>
        <v>Cilindro compactador vibratorio Dynapac 7 ton</v>
      </c>
      <c r="E4122" s="322" t="str">
        <f>+'LISTA DE INSUMOS'!C770</f>
        <v>Hr</v>
      </c>
      <c r="F4122" s="325">
        <v>1</v>
      </c>
      <c r="G4122" s="312">
        <f>'LISTA DE INSUMOS'!E770</f>
        <v>108633.95167481998</v>
      </c>
      <c r="H4122" s="326">
        <f>1/430</f>
        <v>2.3255813953488372E-3</v>
      </c>
      <c r="I4122" s="312">
        <f>ROUND((F4122*G4122*H4122),0)</f>
        <v>253</v>
      </c>
      <c r="J4122" s="313"/>
      <c r="K4122" s="323"/>
    </row>
    <row r="4123" spans="2:11" s="317" customFormat="1" ht="24.9" hidden="1" customHeight="1" x14ac:dyDescent="0.2">
      <c r="B4123" s="666"/>
      <c r="C4123" s="338" t="str">
        <f>+'LISTA DE INSUMOS'!A779</f>
        <v>EQU022</v>
      </c>
      <c r="D4123" s="339" t="str">
        <f>+'LISTA DE INSUMOS'!B779</f>
        <v>Compactador neumático  con tractor</v>
      </c>
      <c r="E4123" s="338" t="str">
        <f>+'LISTA DE INSUMOS'!C779</f>
        <v>Hr</v>
      </c>
      <c r="F4123" s="369">
        <v>1</v>
      </c>
      <c r="G4123" s="340">
        <f>'LISTA DE INSUMOS'!E779</f>
        <v>153535.49954600004</v>
      </c>
      <c r="H4123" s="322">
        <f>1/430</f>
        <v>2.3255813953488372E-3</v>
      </c>
      <c r="I4123" s="312">
        <f>ROUND((F4123*G4123*H4123),0)</f>
        <v>357</v>
      </c>
      <c r="J4123" s="313"/>
      <c r="K4123" s="323"/>
    </row>
    <row r="4124" spans="2:11" s="317" customFormat="1" ht="24.9" hidden="1" customHeight="1" thickBot="1" x14ac:dyDescent="0.25">
      <c r="B4124" s="722"/>
      <c r="C4124" s="329" t="str">
        <f>+'LISTA DE INSUMOS'!A776</f>
        <v>EQU019</v>
      </c>
      <c r="D4124" s="328" t="str">
        <f>+'LISTA DE INSUMOS'!B776</f>
        <v>Finisher (pavimentadora) con operario</v>
      </c>
      <c r="E4124" s="329" t="str">
        <f>+'LISTA DE INSUMOS'!C776</f>
        <v>Hr</v>
      </c>
      <c r="F4124" s="330">
        <v>1</v>
      </c>
      <c r="G4124" s="331">
        <f>'LISTA DE INSUMOS'!E776</f>
        <v>226965.521068</v>
      </c>
      <c r="H4124" s="329">
        <f>1/430</f>
        <v>2.3255813953488372E-3</v>
      </c>
      <c r="I4124" s="331">
        <f>ROUND((F4124*G4124*H4124),0)</f>
        <v>528</v>
      </c>
      <c r="J4124" s="313"/>
      <c r="K4124" s="323"/>
    </row>
    <row r="4125" spans="2:11" ht="24.9" customHeight="1" x14ac:dyDescent="0.2">
      <c r="B4125" s="120" t="s">
        <v>3002</v>
      </c>
      <c r="C4125" s="120"/>
      <c r="D4125" s="231" t="s">
        <v>342</v>
      </c>
      <c r="E4125" s="120" t="s">
        <v>1424</v>
      </c>
      <c r="F4125" s="149"/>
      <c r="G4125" s="223">
        <f>ROUND(SUM(I4126:I4132),0)</f>
        <v>220194</v>
      </c>
      <c r="H4125" s="120"/>
      <c r="I4125" s="119"/>
      <c r="J4125" s="47"/>
      <c r="K4125" s="143"/>
    </row>
    <row r="4126" spans="2:11" ht="24.9" customHeight="1" thickBot="1" x14ac:dyDescent="0.25">
      <c r="B4126" s="175" t="s">
        <v>1325</v>
      </c>
      <c r="C4126" s="125" t="str">
        <f>+'LISTA DE INSUMOS'!A357</f>
        <v>MAT350</v>
      </c>
      <c r="D4126" s="155" t="str">
        <f>+'LISTA DE INSUMOS'!B357</f>
        <v>Mezcla asfáltica MDC 2</v>
      </c>
      <c r="E4126" s="108" t="str">
        <f>+'LISTA DE INSUMOS'!C357</f>
        <v>M3</v>
      </c>
      <c r="F4126" s="160">
        <v>0.1</v>
      </c>
      <c r="G4126" s="141">
        <f>'LISTA DE INSUMOS'!E357</f>
        <v>807273.28828563448</v>
      </c>
      <c r="H4126" s="108">
        <v>1.25</v>
      </c>
      <c r="I4126" s="141">
        <f>ROUND((F4126*G4126*H4126),0)</f>
        <v>100909</v>
      </c>
      <c r="J4126" s="47"/>
      <c r="K4126" s="143"/>
    </row>
    <row r="4127" spans="2:11" ht="24.9" customHeight="1" thickTop="1" x14ac:dyDescent="0.2">
      <c r="B4127" s="701" t="s">
        <v>1310</v>
      </c>
      <c r="C4127" s="108" t="str">
        <f>+B338</f>
        <v>ITE057</v>
      </c>
      <c r="D4127" s="139" t="str">
        <f>+D338</f>
        <v>Transporte material asfáltico</v>
      </c>
      <c r="E4127" s="108" t="str">
        <f>+E338</f>
        <v>M3-Km</v>
      </c>
      <c r="F4127" s="140">
        <v>40</v>
      </c>
      <c r="G4127" s="141">
        <f>G338</f>
        <v>1707</v>
      </c>
      <c r="H4127" s="108">
        <v>1.25</v>
      </c>
      <c r="I4127" s="141">
        <f>ROUND((F4127*G4127*H4127),0)</f>
        <v>85350</v>
      </c>
      <c r="J4127" s="47"/>
      <c r="K4127" s="143"/>
    </row>
    <row r="4128" spans="2:11" ht="24.9" customHeight="1" x14ac:dyDescent="0.2">
      <c r="B4128" s="702"/>
      <c r="C4128" s="166" t="str">
        <f>+B417</f>
        <v>ITE068</v>
      </c>
      <c r="D4128" s="167" t="str">
        <f>+D417</f>
        <v>Transporte maquinaría pesada</v>
      </c>
      <c r="E4128" s="108" t="s">
        <v>1906</v>
      </c>
      <c r="F4128" s="160">
        <v>60</v>
      </c>
      <c r="G4128" s="141">
        <f>G417</f>
        <v>26702</v>
      </c>
      <c r="H4128" s="168">
        <f>1/3000</f>
        <v>3.3333333333333332E-4</v>
      </c>
      <c r="I4128" s="141">
        <f>ROUND((F4128*G4128*H4128),0)</f>
        <v>534</v>
      </c>
      <c r="J4128" s="47"/>
      <c r="K4128" s="143"/>
    </row>
    <row r="4129" spans="2:11" ht="27.75" customHeight="1" thickBot="1" x14ac:dyDescent="0.25">
      <c r="B4129" s="703"/>
      <c r="C4129" s="166" t="str">
        <f>+B2841</f>
        <v>ITE267</v>
      </c>
      <c r="D4129" s="167" t="str">
        <f>+D2841</f>
        <v>Imprimación con asfalto líquido</v>
      </c>
      <c r="E4129" s="108" t="str">
        <f>+E2841</f>
        <v>M2</v>
      </c>
      <c r="F4129" s="160">
        <v>1</v>
      </c>
      <c r="G4129" s="141">
        <f>G2841</f>
        <v>23238</v>
      </c>
      <c r="H4129" s="108">
        <v>0</v>
      </c>
      <c r="I4129" s="141">
        <f>ROUND((F4129*G4129),0)</f>
        <v>23238</v>
      </c>
      <c r="J4129" s="47"/>
      <c r="K4129" s="143"/>
    </row>
    <row r="4130" spans="2:11" ht="24.9" customHeight="1" thickTop="1" thickBot="1" x14ac:dyDescent="0.25">
      <c r="B4130" s="250" t="s">
        <v>1034</v>
      </c>
      <c r="C4130" s="108" t="str">
        <f>+'LISTA DE INSUMOS'!A19</f>
        <v>MOB016</v>
      </c>
      <c r="D4130" s="139" t="str">
        <f>+'LISTA DE INSUMOS'!B19</f>
        <v>Cuadrilla F 6 Of + 4 Ay (jornal + prestaciones)</v>
      </c>
      <c r="E4130" s="108" t="str">
        <f>+'LISTA DE INSUMOS'!C19</f>
        <v>Día</v>
      </c>
      <c r="F4130" s="140">
        <v>1</v>
      </c>
      <c r="G4130" s="141">
        <f>'LISTA DE INSUMOS'!E19</f>
        <v>1309782</v>
      </c>
      <c r="H4130" s="142">
        <f>1/150</f>
        <v>6.6666666666666671E-3</v>
      </c>
      <c r="I4130" s="141">
        <f>ROUND((F4130*G4130*H4130),0)</f>
        <v>8732</v>
      </c>
      <c r="J4130" s="47"/>
      <c r="K4130" s="143"/>
    </row>
    <row r="4131" spans="2:11" ht="24.9" customHeight="1" thickTop="1" x14ac:dyDescent="0.2">
      <c r="B4131" s="647" t="s">
        <v>1033</v>
      </c>
      <c r="C4131" s="108" t="str">
        <f>+'LISTA DE INSUMOS'!A758</f>
        <v>EQU002</v>
      </c>
      <c r="D4131" s="139" t="str">
        <f>+'LISTA DE INSUMOS'!B758</f>
        <v>Herramienta menor (% mano obra)</v>
      </c>
      <c r="E4131" s="108" t="str">
        <f>+'LISTA DE INSUMOS'!C758</f>
        <v>%MO</v>
      </c>
      <c r="F4131" s="140">
        <v>0.1</v>
      </c>
      <c r="G4131" s="141">
        <f>I4130</f>
        <v>8732</v>
      </c>
      <c r="H4131" s="108">
        <v>0</v>
      </c>
      <c r="I4131" s="141">
        <f>ROUND((F4131*G4131),0)</f>
        <v>873</v>
      </c>
      <c r="J4131" s="47"/>
      <c r="K4131" s="143"/>
    </row>
    <row r="4132" spans="2:11" ht="24.9" customHeight="1" thickBot="1" x14ac:dyDescent="0.25">
      <c r="B4132" s="704"/>
      <c r="C4132" s="194" t="str">
        <f>+'LISTA DE INSUMOS'!A769</f>
        <v>EQU012</v>
      </c>
      <c r="D4132" s="198" t="str">
        <f>+'LISTA DE INSUMOS'!B769</f>
        <v xml:space="preserve">Vibrocompactador manual </v>
      </c>
      <c r="E4132" s="145" t="str">
        <f>+'LISTA DE INSUMOS'!C769</f>
        <v>Día</v>
      </c>
      <c r="F4132" s="147">
        <v>1</v>
      </c>
      <c r="G4132" s="148">
        <f>'LISTA DE INSUMOS'!E769</f>
        <v>83697.986602732781</v>
      </c>
      <c r="H4132" s="154">
        <f>1/150</f>
        <v>6.6666666666666671E-3</v>
      </c>
      <c r="I4132" s="148">
        <f>ROUND((F4132*G4132*H4132),0)</f>
        <v>558</v>
      </c>
      <c r="J4132" s="47"/>
      <c r="K4132" s="143"/>
    </row>
    <row r="4133" spans="2:11" ht="30" customHeight="1" x14ac:dyDescent="0.2">
      <c r="B4133" s="120" t="s">
        <v>2334</v>
      </c>
      <c r="C4133" s="120"/>
      <c r="D4133" s="231" t="s">
        <v>370</v>
      </c>
      <c r="E4133" s="120" t="s">
        <v>1424</v>
      </c>
      <c r="F4133" s="149"/>
      <c r="G4133" s="223">
        <f>ROUND(SUM(I4134:I4136),0)</f>
        <v>40930</v>
      </c>
      <c r="H4133" s="120"/>
      <c r="I4133" s="119"/>
      <c r="J4133" s="47"/>
      <c r="K4133" s="143"/>
    </row>
    <row r="4134" spans="2:11" ht="30" customHeight="1" x14ac:dyDescent="0.2">
      <c r="B4134" s="650" t="s">
        <v>1034</v>
      </c>
      <c r="C4134" s="108" t="str">
        <f>+'LISTA DE INSUMOS'!A21</f>
        <v>MOB018</v>
      </c>
      <c r="D4134" s="139" t="str">
        <f>+'LISTA DE INSUMOS'!B21</f>
        <v>Cuadrilla H 4 Ay (jornal + prestaciones)</v>
      </c>
      <c r="E4134" s="108" t="str">
        <f>+'LISTA DE INSUMOS'!C21</f>
        <v>Día</v>
      </c>
      <c r="F4134" s="140">
        <v>1</v>
      </c>
      <c r="G4134" s="141">
        <f>'LISTA DE INSUMOS'!E21</f>
        <v>327444</v>
      </c>
      <c r="H4134" s="108">
        <f>1/10</f>
        <v>0.1</v>
      </c>
      <c r="I4134" s="141">
        <f>ROUND((F4134*G4134*H4134),0)</f>
        <v>32744</v>
      </c>
      <c r="J4134" s="47"/>
      <c r="K4134" s="143"/>
    </row>
    <row r="4135" spans="2:11" ht="30" customHeight="1" thickBot="1" x14ac:dyDescent="0.25">
      <c r="B4135" s="664"/>
      <c r="C4135" s="108" t="str">
        <f>+'LISTA DE INSUMOS'!A14</f>
        <v>MOB011</v>
      </c>
      <c r="D4135" s="139" t="str">
        <f>+'LISTA DE INSUMOS'!B14</f>
        <v>Acarreo Horizontal (% mano obra)</v>
      </c>
      <c r="E4135" s="108" t="str">
        <f>+'LISTA DE INSUMOS'!C14</f>
        <v>% MO</v>
      </c>
      <c r="F4135" s="140">
        <v>0.1</v>
      </c>
      <c r="G4135" s="141">
        <f>I4134</f>
        <v>32744</v>
      </c>
      <c r="H4135" s="108">
        <v>0</v>
      </c>
      <c r="I4135" s="141">
        <f>ROUND((F4135*G4135),0)</f>
        <v>3274</v>
      </c>
      <c r="J4135" s="47"/>
      <c r="K4135" s="143"/>
    </row>
    <row r="4136" spans="2:11" ht="24.9" customHeight="1" thickTop="1" thickBot="1" x14ac:dyDescent="0.25">
      <c r="B4136" s="150" t="s">
        <v>1033</v>
      </c>
      <c r="C4136" s="151" t="str">
        <f>+'LISTA DE INSUMOS'!A758</f>
        <v>EQU002</v>
      </c>
      <c r="D4136" s="146" t="str">
        <f>+'LISTA DE INSUMOS'!B758</f>
        <v>Herramienta menor (% mano obra)</v>
      </c>
      <c r="E4136" s="145" t="str">
        <f>+'LISTA DE INSUMOS'!C758</f>
        <v>%MO</v>
      </c>
      <c r="F4136" s="147">
        <v>0.15</v>
      </c>
      <c r="G4136" s="148">
        <f>I4134</f>
        <v>32744</v>
      </c>
      <c r="H4136" s="145">
        <v>0</v>
      </c>
      <c r="I4136" s="148">
        <f>ROUND((F4136*G4136),0)</f>
        <v>4912</v>
      </c>
      <c r="J4136" s="47"/>
      <c r="K4136" s="143"/>
    </row>
    <row r="4137" spans="2:11" ht="24.9" customHeight="1" x14ac:dyDescent="0.2">
      <c r="B4137" s="120" t="s">
        <v>2335</v>
      </c>
      <c r="C4137" s="120"/>
      <c r="D4137" s="231" t="s">
        <v>371</v>
      </c>
      <c r="E4137" s="120" t="s">
        <v>1424</v>
      </c>
      <c r="F4137" s="149"/>
      <c r="G4137" s="223">
        <f>ROUND(SUM(I4138:I4140),0)</f>
        <v>27288</v>
      </c>
      <c r="H4137" s="120"/>
      <c r="I4137" s="119"/>
      <c r="J4137" s="47"/>
      <c r="K4137" s="143"/>
    </row>
    <row r="4138" spans="2:11" ht="24.9" customHeight="1" x14ac:dyDescent="0.2">
      <c r="B4138" s="650" t="s">
        <v>1034</v>
      </c>
      <c r="C4138" s="108" t="str">
        <f>+'LISTA DE INSUMOS'!A21</f>
        <v>MOB018</v>
      </c>
      <c r="D4138" s="139" t="str">
        <f>+'LISTA DE INSUMOS'!B21</f>
        <v>Cuadrilla H 4 Ay (jornal + prestaciones)</v>
      </c>
      <c r="E4138" s="108" t="str">
        <f>+'LISTA DE INSUMOS'!C21</f>
        <v>Día</v>
      </c>
      <c r="F4138" s="140">
        <v>1</v>
      </c>
      <c r="G4138" s="141">
        <f>'LISTA DE INSUMOS'!E21</f>
        <v>327444</v>
      </c>
      <c r="H4138" s="108">
        <f>1/15</f>
        <v>6.6666666666666666E-2</v>
      </c>
      <c r="I4138" s="141">
        <f>ROUND((F4138*G4138*H4138),0)</f>
        <v>21830</v>
      </c>
      <c r="J4138" s="47"/>
      <c r="K4138" s="143"/>
    </row>
    <row r="4139" spans="2:11" ht="24.9" customHeight="1" thickBot="1" x14ac:dyDescent="0.25">
      <c r="B4139" s="664"/>
      <c r="C4139" s="108" t="str">
        <f>+'LISTA DE INSUMOS'!A14</f>
        <v>MOB011</v>
      </c>
      <c r="D4139" s="139" t="str">
        <f>+'LISTA DE INSUMOS'!B14</f>
        <v>Acarreo Horizontal (% mano obra)</v>
      </c>
      <c r="E4139" s="108" t="str">
        <f>+'LISTA DE INSUMOS'!C14</f>
        <v>% MO</v>
      </c>
      <c r="F4139" s="140">
        <v>0.1</v>
      </c>
      <c r="G4139" s="141">
        <f>I4138</f>
        <v>21830</v>
      </c>
      <c r="H4139" s="108">
        <v>0</v>
      </c>
      <c r="I4139" s="141">
        <f>ROUND((F4139*G4139),0)</f>
        <v>2183</v>
      </c>
      <c r="J4139" s="47"/>
      <c r="K4139" s="143"/>
    </row>
    <row r="4140" spans="2:11" ht="24.9" customHeight="1" thickTop="1" thickBot="1" x14ac:dyDescent="0.25">
      <c r="B4140" s="150" t="s">
        <v>1033</v>
      </c>
      <c r="C4140" s="151" t="str">
        <f>+'LISTA DE INSUMOS'!A758</f>
        <v>EQU002</v>
      </c>
      <c r="D4140" s="146" t="str">
        <f>+'LISTA DE INSUMOS'!B758</f>
        <v>Herramienta menor (% mano obra)</v>
      </c>
      <c r="E4140" s="145" t="str">
        <f>+'LISTA DE INSUMOS'!C758</f>
        <v>%MO</v>
      </c>
      <c r="F4140" s="147">
        <v>0.15</v>
      </c>
      <c r="G4140" s="148">
        <f>I4138</f>
        <v>21830</v>
      </c>
      <c r="H4140" s="145">
        <v>0</v>
      </c>
      <c r="I4140" s="148">
        <f>ROUND((F4140*G4140),0)</f>
        <v>3275</v>
      </c>
      <c r="J4140" s="47"/>
      <c r="K4140" s="143"/>
    </row>
    <row r="4141" spans="2:11" ht="27.75" customHeight="1" x14ac:dyDescent="0.2">
      <c r="B4141" s="117" t="s">
        <v>2336</v>
      </c>
      <c r="C4141" s="117"/>
      <c r="D4141" s="112" t="s">
        <v>1979</v>
      </c>
      <c r="E4141" s="117" t="s">
        <v>1412</v>
      </c>
      <c r="F4141" s="118"/>
      <c r="G4141" s="119">
        <f>ROUND(SUM(I4142:I4146),0)</f>
        <v>52765</v>
      </c>
      <c r="H4141" s="120"/>
      <c r="I4141" s="119"/>
      <c r="J4141" s="47"/>
      <c r="K4141" s="143"/>
    </row>
    <row r="4142" spans="2:11" ht="24.9" customHeight="1" x14ac:dyDescent="0.2">
      <c r="B4142" s="672" t="s">
        <v>1035</v>
      </c>
      <c r="C4142" s="108" t="str">
        <f>+'LISTA DE INSUMOS'!A51</f>
        <v>MAT020</v>
      </c>
      <c r="D4142" s="139" t="str">
        <f>+'LISTA DE INSUMOS'!B51</f>
        <v>Guadua basa longitud promedio = 5 m</v>
      </c>
      <c r="E4142" s="108" t="str">
        <f>+'LISTA DE INSUMOS'!C51</f>
        <v>Un</v>
      </c>
      <c r="F4142" s="140">
        <v>0.6</v>
      </c>
      <c r="G4142" s="141">
        <f>'LISTA DE INSUMOS'!E51</f>
        <v>8662.3499999999985</v>
      </c>
      <c r="H4142" s="108">
        <v>1.03</v>
      </c>
      <c r="I4142" s="141">
        <f>ROUND((F4142*G4142*H4142),0)</f>
        <v>5353</v>
      </c>
      <c r="J4142" s="47"/>
      <c r="K4142" s="143"/>
    </row>
    <row r="4143" spans="2:11" ht="24.9" customHeight="1" x14ac:dyDescent="0.2">
      <c r="B4143" s="672"/>
      <c r="C4143" s="108" t="str">
        <f>+'LISTA DE INSUMOS'!A220</f>
        <v>MAT188</v>
      </c>
      <c r="D4143" s="139" t="str">
        <f>+'LISTA DE INSUMOS'!B220</f>
        <v>Guadua sobrebasa longitud promedio = 5 m</v>
      </c>
      <c r="E4143" s="108" t="str">
        <f>+'LISTA DE INSUMOS'!C220</f>
        <v>Un</v>
      </c>
      <c r="F4143" s="140">
        <v>2</v>
      </c>
      <c r="G4143" s="141">
        <f>'LISTA DE INSUMOS'!E220</f>
        <v>8743.4565002399995</v>
      </c>
      <c r="H4143" s="108">
        <v>1.03</v>
      </c>
      <c r="I4143" s="141">
        <f>ROUND((F4143*G4143*H4143),0)</f>
        <v>18012</v>
      </c>
      <c r="J4143" s="47"/>
      <c r="K4143" s="143"/>
    </row>
    <row r="4144" spans="2:11" ht="20.25" customHeight="1" thickBot="1" x14ac:dyDescent="0.25">
      <c r="B4144" s="673"/>
      <c r="C4144" s="108" t="str">
        <f>+'LISTA DE INSUMOS'!A190</f>
        <v>MAT148</v>
      </c>
      <c r="D4144" s="139" t="str">
        <f>+'LISTA DE INSUMOS'!B190</f>
        <v xml:space="preserve">Alambre galvanizado C 12 </v>
      </c>
      <c r="E4144" s="108" t="str">
        <f>+'LISTA DE INSUMOS'!C190</f>
        <v>Kg</v>
      </c>
      <c r="F4144" s="140">
        <v>0.5</v>
      </c>
      <c r="G4144" s="141">
        <f>'LISTA DE INSUMOS'!E190</f>
        <v>10174.934703779998</v>
      </c>
      <c r="H4144" s="108">
        <v>0</v>
      </c>
      <c r="I4144" s="141">
        <f>ROUND((F4144*G4144),0)</f>
        <v>5087</v>
      </c>
      <c r="J4144" s="47"/>
      <c r="K4144" s="143"/>
    </row>
    <row r="4145" spans="2:11" ht="24.9" customHeight="1" thickTop="1" thickBot="1" x14ac:dyDescent="0.25">
      <c r="B4145" s="250" t="s">
        <v>1034</v>
      </c>
      <c r="C4145" s="108" t="str">
        <f>+'LISTA DE INSUMOS'!A18</f>
        <v>MOB015</v>
      </c>
      <c r="D4145" s="139" t="str">
        <f>+'LISTA DE INSUMOS'!B18</f>
        <v>Cuadrilla E 1 Of + 1 Ay (jornal + prestaciones)</v>
      </c>
      <c r="E4145" s="108" t="str">
        <f>+'LISTA DE INSUMOS'!C18</f>
        <v>Día</v>
      </c>
      <c r="F4145" s="140">
        <v>1</v>
      </c>
      <c r="G4145" s="141">
        <f>'LISTA DE INSUMOS'!E18</f>
        <v>245584</v>
      </c>
      <c r="H4145" s="108">
        <v>0.09</v>
      </c>
      <c r="I4145" s="141">
        <f>ROUND((F4145*G4145*H4145),0)</f>
        <v>22103</v>
      </c>
      <c r="J4145" s="47"/>
      <c r="K4145" s="143"/>
    </row>
    <row r="4146" spans="2:11" ht="24.9" customHeight="1" thickTop="1" thickBot="1" x14ac:dyDescent="0.25">
      <c r="B4146" s="242" t="s">
        <v>1033</v>
      </c>
      <c r="C4146" s="145" t="str">
        <f>+'LISTA DE INSUMOS'!A758</f>
        <v>EQU002</v>
      </c>
      <c r="D4146" s="146" t="str">
        <f>+'LISTA DE INSUMOS'!B758</f>
        <v>Herramienta menor (% mano obra)</v>
      </c>
      <c r="E4146" s="145" t="str">
        <f>+'LISTA DE INSUMOS'!C758</f>
        <v>%MO</v>
      </c>
      <c r="F4146" s="147">
        <v>0.1</v>
      </c>
      <c r="G4146" s="148">
        <f>I4145</f>
        <v>22103</v>
      </c>
      <c r="H4146" s="145">
        <v>0</v>
      </c>
      <c r="I4146" s="148">
        <f>ROUND((F4146*G4146),0)</f>
        <v>2210</v>
      </c>
      <c r="J4146" s="47"/>
      <c r="K4146" s="143"/>
    </row>
    <row r="4147" spans="2:11" ht="24.9" customHeight="1" x14ac:dyDescent="0.2">
      <c r="B4147" s="117" t="s">
        <v>3003</v>
      </c>
      <c r="C4147" s="117"/>
      <c r="D4147" s="112" t="s">
        <v>1976</v>
      </c>
      <c r="E4147" s="117" t="s">
        <v>1412</v>
      </c>
      <c r="F4147" s="118"/>
      <c r="G4147" s="119">
        <f>ROUND(SUM(I4148:I4152),0)</f>
        <v>97427</v>
      </c>
      <c r="H4147" s="120"/>
      <c r="I4147" s="119"/>
      <c r="J4147" s="47"/>
      <c r="K4147" s="143"/>
    </row>
    <row r="4148" spans="2:11" ht="24.9" customHeight="1" x14ac:dyDescent="0.2">
      <c r="B4148" s="672" t="s">
        <v>1035</v>
      </c>
      <c r="C4148" s="108" t="str">
        <f>+'LISTA DE INSUMOS'!A51</f>
        <v>MAT020</v>
      </c>
      <c r="D4148" s="139" t="str">
        <f>+'LISTA DE INSUMOS'!B51</f>
        <v>Guadua basa longitud promedio = 5 m</v>
      </c>
      <c r="E4148" s="108" t="str">
        <f>+'LISTA DE INSUMOS'!C51</f>
        <v>Un</v>
      </c>
      <c r="F4148" s="140">
        <v>1.2</v>
      </c>
      <c r="G4148" s="141">
        <f>'LISTA DE INSUMOS'!E51</f>
        <v>8662.3499999999985</v>
      </c>
      <c r="H4148" s="108">
        <v>1.03</v>
      </c>
      <c r="I4148" s="141">
        <f>ROUND((F4148*G4148*H4148),0)</f>
        <v>10707</v>
      </c>
      <c r="J4148" s="47"/>
      <c r="K4148" s="143"/>
    </row>
    <row r="4149" spans="2:11" ht="24.9" customHeight="1" x14ac:dyDescent="0.2">
      <c r="B4149" s="672"/>
      <c r="C4149" s="108" t="str">
        <f>+'LISTA DE INSUMOS'!A220</f>
        <v>MAT188</v>
      </c>
      <c r="D4149" s="139" t="str">
        <f>+'LISTA DE INSUMOS'!B220</f>
        <v>Guadua sobrebasa longitud promedio = 5 m</v>
      </c>
      <c r="E4149" s="108" t="str">
        <f>+'LISTA DE INSUMOS'!C220</f>
        <v>Un</v>
      </c>
      <c r="F4149" s="140">
        <v>4</v>
      </c>
      <c r="G4149" s="141">
        <f>'LISTA DE INSUMOS'!E220</f>
        <v>8743.4565002399995</v>
      </c>
      <c r="H4149" s="108">
        <v>1.03</v>
      </c>
      <c r="I4149" s="141">
        <f>ROUND((F4149*G4149*H4149),0)</f>
        <v>36023</v>
      </c>
      <c r="J4149" s="47"/>
      <c r="K4149" s="143"/>
    </row>
    <row r="4150" spans="2:11" ht="24.9" customHeight="1" thickBot="1" x14ac:dyDescent="0.25">
      <c r="B4150" s="673"/>
      <c r="C4150" s="108" t="str">
        <f>+'LISTA DE INSUMOS'!A190</f>
        <v>MAT148</v>
      </c>
      <c r="D4150" s="139" t="str">
        <f>+'LISTA DE INSUMOS'!B190</f>
        <v xml:space="preserve">Alambre galvanizado C 12 </v>
      </c>
      <c r="E4150" s="108" t="str">
        <f>+'LISTA DE INSUMOS'!C190</f>
        <v>Kg</v>
      </c>
      <c r="F4150" s="140">
        <v>1</v>
      </c>
      <c r="G4150" s="141">
        <f>'LISTA DE INSUMOS'!E190</f>
        <v>10174.934703779998</v>
      </c>
      <c r="H4150" s="108">
        <v>0</v>
      </c>
      <c r="I4150" s="141">
        <f>IF(H4150&gt;=0,(F4150*G4150*(1+H4150/100)),ABS(F4150*G4150/H4150))</f>
        <v>10174.934703779998</v>
      </c>
      <c r="J4150" s="47"/>
      <c r="K4150" s="143"/>
    </row>
    <row r="4151" spans="2:11" ht="24.9" customHeight="1" thickTop="1" thickBot="1" x14ac:dyDescent="0.25">
      <c r="B4151" s="250" t="s">
        <v>1034</v>
      </c>
      <c r="C4151" s="108" t="str">
        <f>+'LISTA DE INSUMOS'!A18</f>
        <v>MOB015</v>
      </c>
      <c r="D4151" s="139" t="str">
        <f>+'LISTA DE INSUMOS'!B18</f>
        <v>Cuadrilla E 1 Of + 1 Ay (jornal + prestaciones)</v>
      </c>
      <c r="E4151" s="108" t="str">
        <f>+'LISTA DE INSUMOS'!C18</f>
        <v>Día</v>
      </c>
      <c r="F4151" s="140">
        <v>1</v>
      </c>
      <c r="G4151" s="141">
        <f>'LISTA DE INSUMOS'!E18</f>
        <v>245584</v>
      </c>
      <c r="H4151" s="108">
        <v>0.15</v>
      </c>
      <c r="I4151" s="141">
        <f>ROUND((F4151*G4151*H4151),0)</f>
        <v>36838</v>
      </c>
      <c r="J4151" s="47"/>
      <c r="K4151" s="143"/>
    </row>
    <row r="4152" spans="2:11" ht="24.9" customHeight="1" thickTop="1" thickBot="1" x14ac:dyDescent="0.25">
      <c r="B4152" s="242" t="s">
        <v>1033</v>
      </c>
      <c r="C4152" s="145" t="str">
        <f>+'LISTA DE INSUMOS'!A758</f>
        <v>EQU002</v>
      </c>
      <c r="D4152" s="146" t="str">
        <f>+'LISTA DE INSUMOS'!B758</f>
        <v>Herramienta menor (% mano obra)</v>
      </c>
      <c r="E4152" s="145" t="str">
        <f>+'LISTA DE INSUMOS'!C758</f>
        <v>%MO</v>
      </c>
      <c r="F4152" s="147">
        <v>0.1</v>
      </c>
      <c r="G4152" s="148">
        <f>I4151</f>
        <v>36838</v>
      </c>
      <c r="H4152" s="145">
        <v>0</v>
      </c>
      <c r="I4152" s="148">
        <f>ROUND((F4152*G4152),0)</f>
        <v>3684</v>
      </c>
      <c r="J4152" s="47"/>
      <c r="K4152" s="143"/>
    </row>
    <row r="4153" spans="2:11" s="105" customFormat="1" ht="24.9" customHeight="1" x14ac:dyDescent="0.2">
      <c r="B4153" s="117" t="s">
        <v>2337</v>
      </c>
      <c r="C4153" s="117"/>
      <c r="D4153" s="112" t="s">
        <v>2411</v>
      </c>
      <c r="E4153" s="117" t="s">
        <v>1412</v>
      </c>
      <c r="F4153" s="118"/>
      <c r="G4153" s="119">
        <f>ROUND(SUM(I4154:I4158),0)</f>
        <v>30727</v>
      </c>
      <c r="H4153" s="120"/>
      <c r="I4153" s="119"/>
      <c r="J4153" s="251"/>
      <c r="K4153" s="431"/>
    </row>
    <row r="4154" spans="2:11" ht="24.9" customHeight="1" x14ac:dyDescent="0.2">
      <c r="B4154" s="719" t="s">
        <v>1035</v>
      </c>
      <c r="C4154" s="108" t="str">
        <f>+'LISTA DE INSUMOS'!A51</f>
        <v>MAT020</v>
      </c>
      <c r="D4154" s="139" t="str">
        <f>+'LISTA DE INSUMOS'!B51</f>
        <v>Guadua basa longitud promedio = 5 m</v>
      </c>
      <c r="E4154" s="108" t="str">
        <f>+'LISTA DE INSUMOS'!C51</f>
        <v>Un</v>
      </c>
      <c r="F4154" s="140">
        <v>0.3</v>
      </c>
      <c r="G4154" s="141">
        <f>'LISTA DE INSUMOS'!E51</f>
        <v>8662.3499999999985</v>
      </c>
      <c r="H4154" s="108">
        <v>1.03</v>
      </c>
      <c r="I4154" s="141">
        <f>ROUND((F4154*G4154*H4154),0)</f>
        <v>2677</v>
      </c>
      <c r="J4154" s="47"/>
      <c r="K4154" s="143"/>
    </row>
    <row r="4155" spans="2:11" ht="24.9" customHeight="1" x14ac:dyDescent="0.2">
      <c r="B4155" s="719"/>
      <c r="C4155" s="108" t="str">
        <f>+'LISTA DE INSUMOS'!A220</f>
        <v>MAT188</v>
      </c>
      <c r="D4155" s="139" t="str">
        <f>+'LISTA DE INSUMOS'!B220</f>
        <v>Guadua sobrebasa longitud promedio = 5 m</v>
      </c>
      <c r="E4155" s="108" t="str">
        <f>+'LISTA DE INSUMOS'!C220</f>
        <v>Un</v>
      </c>
      <c r="F4155" s="140">
        <v>1.2</v>
      </c>
      <c r="G4155" s="141">
        <f>'LISTA DE INSUMOS'!E220</f>
        <v>8743.4565002399995</v>
      </c>
      <c r="H4155" s="108">
        <v>1.03</v>
      </c>
      <c r="I4155" s="141">
        <f>ROUND((F4155*G4155*H4155),0)</f>
        <v>10807</v>
      </c>
      <c r="J4155" s="47"/>
      <c r="K4155" s="143"/>
    </row>
    <row r="4156" spans="2:11" ht="24.9" customHeight="1" thickBot="1" x14ac:dyDescent="0.25">
      <c r="B4156" s="720"/>
      <c r="C4156" s="108" t="str">
        <f>+'LISTA DE INSUMOS'!A190</f>
        <v>MAT148</v>
      </c>
      <c r="D4156" s="139" t="str">
        <f>+'LISTA DE INSUMOS'!B190</f>
        <v xml:space="preserve">Alambre galvanizado C 12 </v>
      </c>
      <c r="E4156" s="108" t="str">
        <f>+'LISTA DE INSUMOS'!C190</f>
        <v>Kg</v>
      </c>
      <c r="F4156" s="140">
        <v>0.5</v>
      </c>
      <c r="G4156" s="141">
        <f>'LISTA DE INSUMOS'!E190</f>
        <v>10174.934703779998</v>
      </c>
      <c r="H4156" s="108">
        <v>0</v>
      </c>
      <c r="I4156" s="141">
        <f>ROUND((F4156*G4156),0)</f>
        <v>5087</v>
      </c>
      <c r="J4156" s="47"/>
      <c r="K4156" s="143"/>
    </row>
    <row r="4157" spans="2:11" ht="24.9" customHeight="1" thickTop="1" thickBot="1" x14ac:dyDescent="0.25">
      <c r="B4157" s="434" t="s">
        <v>1034</v>
      </c>
      <c r="C4157" s="108" t="str">
        <f>+'LISTA DE INSUMOS'!A18</f>
        <v>MOB015</v>
      </c>
      <c r="D4157" s="139" t="str">
        <f>+'LISTA DE INSUMOS'!B18</f>
        <v>Cuadrilla E 1 Of + 1 Ay (jornal + prestaciones)</v>
      </c>
      <c r="E4157" s="108" t="str">
        <f>+'LISTA DE INSUMOS'!C18</f>
        <v>Día</v>
      </c>
      <c r="F4157" s="140">
        <v>1</v>
      </c>
      <c r="G4157" s="141">
        <f>'LISTA DE INSUMOS'!E18</f>
        <v>245584</v>
      </c>
      <c r="H4157" s="108">
        <v>4.4999999999999998E-2</v>
      </c>
      <c r="I4157" s="141">
        <f>ROUND((F4157*G4157*H4157),0)</f>
        <v>11051</v>
      </c>
      <c r="J4157" s="47"/>
      <c r="K4157" s="143"/>
    </row>
    <row r="4158" spans="2:11" ht="24.9" customHeight="1" thickTop="1" thickBot="1" x14ac:dyDescent="0.25">
      <c r="B4158" s="384" t="s">
        <v>1033</v>
      </c>
      <c r="C4158" s="145" t="str">
        <f>+'LISTA DE INSUMOS'!A758</f>
        <v>EQU002</v>
      </c>
      <c r="D4158" s="146" t="str">
        <f>+'LISTA DE INSUMOS'!B758</f>
        <v>Herramienta menor (% mano obra)</v>
      </c>
      <c r="E4158" s="145" t="str">
        <f>+'LISTA DE INSUMOS'!C758</f>
        <v>%MO</v>
      </c>
      <c r="F4158" s="147">
        <v>0.1</v>
      </c>
      <c r="G4158" s="148">
        <f>I4157</f>
        <v>11051</v>
      </c>
      <c r="H4158" s="145">
        <v>0</v>
      </c>
      <c r="I4158" s="148">
        <f>ROUND((F4158*G4158),0)</f>
        <v>1105</v>
      </c>
      <c r="J4158" s="47"/>
      <c r="K4158" s="143"/>
    </row>
    <row r="4159" spans="2:11" ht="24.9" customHeight="1" x14ac:dyDescent="0.2">
      <c r="B4159" s="117" t="s">
        <v>2394</v>
      </c>
      <c r="C4159" s="117"/>
      <c r="D4159" s="112" t="s">
        <v>1978</v>
      </c>
      <c r="E4159" s="117" t="s">
        <v>1412</v>
      </c>
      <c r="F4159" s="118"/>
      <c r="G4159" s="119">
        <f>ROUND(SUM(I4160:I4164),0)</f>
        <v>46985</v>
      </c>
      <c r="H4159" s="120"/>
      <c r="I4159" s="119"/>
      <c r="J4159" s="47"/>
      <c r="K4159" s="143"/>
    </row>
    <row r="4160" spans="2:11" ht="24.9" customHeight="1" x14ac:dyDescent="0.2">
      <c r="B4160" s="672" t="s">
        <v>1035</v>
      </c>
      <c r="C4160" s="108" t="str">
        <f>+'LISTA DE INSUMOS'!A51</f>
        <v>MAT020</v>
      </c>
      <c r="D4160" s="139" t="str">
        <f>+'LISTA DE INSUMOS'!B51</f>
        <v>Guadua basa longitud promedio = 5 m</v>
      </c>
      <c r="E4160" s="108" t="str">
        <f>+'LISTA DE INSUMOS'!C51</f>
        <v>Un</v>
      </c>
      <c r="F4160" s="140">
        <v>0.5</v>
      </c>
      <c r="G4160" s="141">
        <f>'LISTA DE INSUMOS'!E51</f>
        <v>8662.3499999999985</v>
      </c>
      <c r="H4160" s="108">
        <v>1.03</v>
      </c>
      <c r="I4160" s="141">
        <f>ROUND((F4160*G4160*H4160),0)</f>
        <v>4461</v>
      </c>
      <c r="J4160" s="47"/>
      <c r="K4160" s="143"/>
    </row>
    <row r="4161" spans="2:11" ht="24.9" customHeight="1" x14ac:dyDescent="0.2">
      <c r="B4161" s="672"/>
      <c r="C4161" s="108" t="str">
        <f>+'LISTA DE INSUMOS'!A326</f>
        <v>MAT303</v>
      </c>
      <c r="D4161" s="139" t="str">
        <f>+'LISTA DE INSUMOS'!B326</f>
        <v>Esterilla longitud promedio = 4 m</v>
      </c>
      <c r="E4161" s="108" t="str">
        <f>+'LISTA DE INSUMOS'!C326</f>
        <v>Un</v>
      </c>
      <c r="F4161" s="140">
        <v>1</v>
      </c>
      <c r="G4161" s="141">
        <f>'LISTA DE INSUMOS'!E326</f>
        <v>9180.6293252519972</v>
      </c>
      <c r="H4161" s="108">
        <v>1.03</v>
      </c>
      <c r="I4161" s="141">
        <f>ROUND((F4161*G4161*H4161),0)</f>
        <v>9456</v>
      </c>
      <c r="J4161" s="47"/>
      <c r="K4161" s="143"/>
    </row>
    <row r="4162" spans="2:11" ht="33" customHeight="1" thickBot="1" x14ac:dyDescent="0.25">
      <c r="B4162" s="673"/>
      <c r="C4162" s="108" t="str">
        <f>+'LISTA DE INSUMOS'!A190</f>
        <v>MAT148</v>
      </c>
      <c r="D4162" s="139" t="str">
        <f>+'LISTA DE INSUMOS'!B190</f>
        <v xml:space="preserve">Alambre galvanizado C 12 </v>
      </c>
      <c r="E4162" s="108" t="str">
        <f>+'LISTA DE INSUMOS'!C190</f>
        <v>Kg</v>
      </c>
      <c r="F4162" s="140">
        <v>0.3</v>
      </c>
      <c r="G4162" s="141">
        <f>'LISTA DE INSUMOS'!E190</f>
        <v>10174.934703779998</v>
      </c>
      <c r="H4162" s="108">
        <v>0</v>
      </c>
      <c r="I4162" s="141">
        <f>ROUND((F4162*G4162),0)</f>
        <v>3052</v>
      </c>
      <c r="J4162" s="47"/>
      <c r="K4162" s="143"/>
    </row>
    <row r="4163" spans="2:11" ht="24.9" customHeight="1" thickTop="1" thickBot="1" x14ac:dyDescent="0.25">
      <c r="B4163" s="250" t="s">
        <v>1034</v>
      </c>
      <c r="C4163" s="108" t="str">
        <f>+'LISTA DE INSUMOS'!A18</f>
        <v>MOB015</v>
      </c>
      <c r="D4163" s="139" t="str">
        <f>+'LISTA DE INSUMOS'!B18</f>
        <v>Cuadrilla E 1 Of + 1 Ay (jornal + prestaciones)</v>
      </c>
      <c r="E4163" s="108" t="str">
        <f>+'LISTA DE INSUMOS'!C18</f>
        <v>Día</v>
      </c>
      <c r="F4163" s="140">
        <v>1</v>
      </c>
      <c r="G4163" s="141">
        <f>'LISTA DE INSUMOS'!E18</f>
        <v>245584</v>
      </c>
      <c r="H4163" s="108">
        <f>1/9</f>
        <v>0.1111111111111111</v>
      </c>
      <c r="I4163" s="141">
        <f>ROUND((F4163*G4163*H4163),0)</f>
        <v>27287</v>
      </c>
      <c r="J4163" s="47"/>
      <c r="K4163" s="143"/>
    </row>
    <row r="4164" spans="2:11" ht="24.9" customHeight="1" thickTop="1" thickBot="1" x14ac:dyDescent="0.25">
      <c r="B4164" s="242" t="s">
        <v>1033</v>
      </c>
      <c r="C4164" s="145" t="str">
        <f>+'LISTA DE INSUMOS'!A758</f>
        <v>EQU002</v>
      </c>
      <c r="D4164" s="146" t="str">
        <f>+'LISTA DE INSUMOS'!B758</f>
        <v>Herramienta menor (% mano obra)</v>
      </c>
      <c r="E4164" s="145" t="str">
        <f>+'LISTA DE INSUMOS'!C758</f>
        <v>%MO</v>
      </c>
      <c r="F4164" s="147">
        <v>0.1</v>
      </c>
      <c r="G4164" s="148">
        <f>I4163</f>
        <v>27287</v>
      </c>
      <c r="H4164" s="145">
        <v>0</v>
      </c>
      <c r="I4164" s="148">
        <f>ROUND((F4164*G4164),0)</f>
        <v>2729</v>
      </c>
      <c r="J4164" s="47"/>
      <c r="K4164" s="143"/>
    </row>
    <row r="4165" spans="2:11" s="317" customFormat="1" ht="24.9" hidden="1" customHeight="1" x14ac:dyDescent="0.2">
      <c r="B4165" s="319" t="s">
        <v>2395</v>
      </c>
      <c r="C4165" s="319"/>
      <c r="D4165" s="320" t="s">
        <v>1977</v>
      </c>
      <c r="E4165" s="319" t="s">
        <v>1412</v>
      </c>
      <c r="F4165" s="321"/>
      <c r="G4165" s="312">
        <f>ROUND(SUM(I4166:I4170),0)</f>
        <v>40683</v>
      </c>
      <c r="H4165" s="322"/>
      <c r="I4165" s="312"/>
      <c r="J4165" s="313"/>
      <c r="K4165" s="323"/>
    </row>
    <row r="4166" spans="2:11" s="317" customFormat="1" ht="24.9" hidden="1" customHeight="1" x14ac:dyDescent="0.2">
      <c r="B4166" s="658" t="s">
        <v>1325</v>
      </c>
      <c r="C4166" s="322" t="str">
        <f>+'LISTA DE INSUMOS'!A239</f>
        <v>MAT207</v>
      </c>
      <c r="D4166" s="324" t="str">
        <f>+'LISTA DE INSUMOS'!B239</f>
        <v>Cañabrava</v>
      </c>
      <c r="E4166" s="322" t="str">
        <f>+'LISTA DE INSUMOS'!C239</f>
        <v>Un</v>
      </c>
      <c r="F4166" s="325">
        <v>10</v>
      </c>
      <c r="G4166" s="312">
        <f>'LISTA DE INSUMOS'!E239</f>
        <v>425.93123808311992</v>
      </c>
      <c r="H4166" s="322">
        <v>1.03</v>
      </c>
      <c r="I4166" s="312">
        <f>ROUND((F4166*G4166*H4166),0)</f>
        <v>4387</v>
      </c>
      <c r="J4166" s="313"/>
      <c r="K4166" s="323"/>
    </row>
    <row r="4167" spans="2:11" s="317" customFormat="1" ht="24.9" hidden="1" customHeight="1" thickBot="1" x14ac:dyDescent="0.25">
      <c r="B4167" s="668"/>
      <c r="C4167" s="322" t="str">
        <f>+'LISTA DE INSUMOS'!A190</f>
        <v>MAT148</v>
      </c>
      <c r="D4167" s="324" t="str">
        <f>+'LISTA DE INSUMOS'!B190</f>
        <v xml:space="preserve">Alambre galvanizado C 12 </v>
      </c>
      <c r="E4167" s="322" t="str">
        <f>+'LISTA DE INSUMOS'!C190</f>
        <v>Kg</v>
      </c>
      <c r="F4167" s="325">
        <v>0.33300000000000002</v>
      </c>
      <c r="G4167" s="312">
        <f>'LISTA DE INSUMOS'!E190</f>
        <v>10174.934703779998</v>
      </c>
      <c r="H4167" s="322">
        <v>0</v>
      </c>
      <c r="I4167" s="312">
        <f>ROUND((F4167*G4167),0)</f>
        <v>3388</v>
      </c>
      <c r="J4167" s="313"/>
      <c r="K4167" s="323"/>
    </row>
    <row r="4168" spans="2:11" s="317" customFormat="1" ht="24.9" hidden="1" customHeight="1" thickTop="1" thickBot="1" x14ac:dyDescent="0.25">
      <c r="B4168" s="372" t="s">
        <v>1034</v>
      </c>
      <c r="C4168" s="322" t="str">
        <f>+'LISTA DE INSUMOS'!A18</f>
        <v>MOB015</v>
      </c>
      <c r="D4168" s="324" t="str">
        <f>+'LISTA DE INSUMOS'!B18</f>
        <v>Cuadrilla E 1 Of + 1 Ay (jornal + prestaciones)</v>
      </c>
      <c r="E4168" s="322" t="str">
        <f>+'LISTA DE INSUMOS'!C18</f>
        <v>Día</v>
      </c>
      <c r="F4168" s="325">
        <v>1</v>
      </c>
      <c r="G4168" s="312">
        <f>'LISTA DE INSUMOS'!E18</f>
        <v>245584</v>
      </c>
      <c r="H4168" s="322">
        <f>1/10</f>
        <v>0.1</v>
      </c>
      <c r="I4168" s="312">
        <f>ROUND((F4168*G4168*H4168),0)</f>
        <v>24558</v>
      </c>
      <c r="J4168" s="313"/>
      <c r="K4168" s="323"/>
    </row>
    <row r="4169" spans="2:11" s="317" customFormat="1" ht="24.9" hidden="1" customHeight="1" thickTop="1" x14ac:dyDescent="0.2">
      <c r="B4169" s="652" t="s">
        <v>1033</v>
      </c>
      <c r="C4169" s="322" t="str">
        <f>+'LISTA DE INSUMOS'!A758</f>
        <v>EQU002</v>
      </c>
      <c r="D4169" s="324" t="str">
        <f>+'LISTA DE INSUMOS'!B758</f>
        <v>Herramienta menor (% mano obra)</v>
      </c>
      <c r="E4169" s="322" t="str">
        <f>+'LISTA DE INSUMOS'!C758</f>
        <v>%MO</v>
      </c>
      <c r="F4169" s="325">
        <v>0.1</v>
      </c>
      <c r="G4169" s="312">
        <f>I4168</f>
        <v>24558</v>
      </c>
      <c r="H4169" s="322">
        <v>0</v>
      </c>
      <c r="I4169" s="312">
        <f>ROUND((F4169*G4169),0)</f>
        <v>2456</v>
      </c>
      <c r="J4169" s="313"/>
      <c r="K4169" s="323"/>
    </row>
    <row r="4170" spans="2:11" s="317" customFormat="1" ht="24.9" hidden="1" customHeight="1" thickBot="1" x14ac:dyDescent="0.25">
      <c r="B4170" s="653"/>
      <c r="C4170" s="329" t="str">
        <f>+'LISTA DE INSUMOS'!A757</f>
        <v>EQU001</v>
      </c>
      <c r="D4170" s="328" t="str">
        <f>+'LISTA DE INSUMOS'!B757</f>
        <v>Control de agua</v>
      </c>
      <c r="E4170" s="329" t="str">
        <f>+'LISTA DE INSUMOS'!C757</f>
        <v>%MO</v>
      </c>
      <c r="F4170" s="330">
        <v>0.24</v>
      </c>
      <c r="G4170" s="331">
        <f>I4168</f>
        <v>24558</v>
      </c>
      <c r="H4170" s="329">
        <v>0</v>
      </c>
      <c r="I4170" s="331">
        <f>ROUND((F4170*G4170),0)</f>
        <v>5894</v>
      </c>
      <c r="J4170" s="313"/>
      <c r="K4170" s="323"/>
    </row>
    <row r="4171" spans="2:11" ht="24.9" customHeight="1" x14ac:dyDescent="0.2">
      <c r="B4171" s="193" t="s">
        <v>2338</v>
      </c>
      <c r="C4171" s="117"/>
      <c r="D4171" s="112" t="s">
        <v>3308</v>
      </c>
      <c r="E4171" s="117" t="s">
        <v>1412</v>
      </c>
      <c r="F4171" s="118"/>
      <c r="G4171" s="119">
        <f>ROUND(SUM(I4172:I4177),0)</f>
        <v>28316</v>
      </c>
      <c r="H4171" s="120"/>
      <c r="I4171" s="119"/>
      <c r="J4171" s="47"/>
      <c r="K4171" s="143"/>
    </row>
    <row r="4172" spans="2:11" ht="24.9" customHeight="1" x14ac:dyDescent="0.2">
      <c r="B4172" s="672" t="s">
        <v>1035</v>
      </c>
      <c r="C4172" s="108" t="str">
        <f>+'LISTA DE INSUMOS'!A65</f>
        <v>MAT033</v>
      </c>
      <c r="D4172" s="139" t="str">
        <f>+'LISTA DE INSUMOS'!B65</f>
        <v>Alambre de púas C 12,5</v>
      </c>
      <c r="E4172" s="108" t="str">
        <f>+'LISTA DE INSUMOS'!C65</f>
        <v>M</v>
      </c>
      <c r="F4172" s="140">
        <v>3</v>
      </c>
      <c r="G4172" s="141">
        <f>'LISTA DE INSUMOS'!E65</f>
        <v>981.39329999999995</v>
      </c>
      <c r="H4172" s="108">
        <v>0</v>
      </c>
      <c r="I4172" s="141">
        <f>ROUND((F4172*G4172),0)</f>
        <v>2944</v>
      </c>
      <c r="J4172" s="47"/>
      <c r="K4172" s="143"/>
    </row>
    <row r="4173" spans="2:11" ht="24.9" customHeight="1" x14ac:dyDescent="0.2">
      <c r="B4173" s="672"/>
      <c r="C4173" s="108" t="str">
        <f>+'LISTA DE INSUMOS'!A196</f>
        <v>MAT156</v>
      </c>
      <c r="D4173" s="139" t="str">
        <f>+'LISTA DE INSUMOS'!B196</f>
        <v xml:space="preserve">Grapas galvanizada </v>
      </c>
      <c r="E4173" s="108" t="str">
        <f>+'LISTA DE INSUMOS'!C196</f>
        <v>Kg</v>
      </c>
      <c r="F4173" s="152">
        <v>0.01</v>
      </c>
      <c r="G4173" s="141">
        <f>'LISTA DE INSUMOS'!E196</f>
        <v>14878.859999999999</v>
      </c>
      <c r="H4173" s="108">
        <v>0</v>
      </c>
      <c r="I4173" s="141">
        <f>ROUND((F4173*G4173),0)</f>
        <v>149</v>
      </c>
      <c r="J4173" s="47"/>
      <c r="K4173" s="143"/>
    </row>
    <row r="4174" spans="2:11" ht="24.9" customHeight="1" x14ac:dyDescent="0.2">
      <c r="B4174" s="672"/>
      <c r="C4174" s="108" t="str">
        <f>+'LISTA DE INSUMOS'!A247</f>
        <v>MAT216</v>
      </c>
      <c r="D4174" s="139" t="str">
        <f>+'LISTA DE INSUMOS'!B247</f>
        <v xml:space="preserve">Poste de madera dura de 0.08 x 0.08 x 3 m </v>
      </c>
      <c r="E4174" s="108" t="str">
        <f>+'LISTA DE INSUMOS'!C247</f>
        <v>Un</v>
      </c>
      <c r="F4174" s="140">
        <v>0.43332999999999999</v>
      </c>
      <c r="G4174" s="141">
        <f>'LISTA DE INSUMOS'!E247</f>
        <v>35710.774477408791</v>
      </c>
      <c r="H4174" s="108">
        <v>0</v>
      </c>
      <c r="I4174" s="141">
        <f>ROUND((F4174*G4174),0)</f>
        <v>15475</v>
      </c>
      <c r="J4174" s="47"/>
      <c r="K4174" s="143"/>
    </row>
    <row r="4175" spans="2:11" ht="24.9" customHeight="1" thickBot="1" x14ac:dyDescent="0.25">
      <c r="B4175" s="673"/>
      <c r="C4175" s="108" t="str">
        <f>+'LISTA DE INSUMOS'!A190</f>
        <v>MAT148</v>
      </c>
      <c r="D4175" s="139" t="str">
        <f>+'LISTA DE INSUMOS'!B190</f>
        <v xml:space="preserve">Alambre galvanizado C 12 </v>
      </c>
      <c r="E4175" s="108" t="str">
        <f>+'LISTA DE INSUMOS'!C190</f>
        <v>Kg</v>
      </c>
      <c r="F4175" s="140">
        <v>0.25</v>
      </c>
      <c r="G4175" s="141">
        <f>'LISTA DE INSUMOS'!E190</f>
        <v>10174.934703779998</v>
      </c>
      <c r="H4175" s="108">
        <v>0</v>
      </c>
      <c r="I4175" s="141">
        <f>ROUND((F4175*G4175),0)</f>
        <v>2544</v>
      </c>
      <c r="J4175" s="47"/>
      <c r="K4175" s="143"/>
    </row>
    <row r="4176" spans="2:11" ht="24.9" customHeight="1" thickTop="1" thickBot="1" x14ac:dyDescent="0.25">
      <c r="B4176" s="250" t="s">
        <v>1034</v>
      </c>
      <c r="C4176" s="108" t="str">
        <f>+'LISTA DE INSUMOS'!A20</f>
        <v>MOB017</v>
      </c>
      <c r="D4176" s="139" t="str">
        <f>+'LISTA DE INSUMOS'!B20</f>
        <v>Cuadrilla G 1 Of + 2 Ay (jornal + prestaciones)</v>
      </c>
      <c r="E4176" s="108" t="str">
        <f>+'LISTA DE INSUMOS'!C20</f>
        <v>Día</v>
      </c>
      <c r="F4176" s="140">
        <v>1</v>
      </c>
      <c r="G4176" s="141">
        <f>'LISTA DE INSUMOS'!E20</f>
        <v>327445</v>
      </c>
      <c r="H4176" s="108">
        <v>0.02</v>
      </c>
      <c r="I4176" s="141">
        <f>ROUND((F4176*G4176*H4176),0)</f>
        <v>6549</v>
      </c>
      <c r="J4176" s="47"/>
      <c r="K4176" s="143"/>
    </row>
    <row r="4177" spans="2:11" ht="24.9" customHeight="1" thickTop="1" thickBot="1" x14ac:dyDescent="0.25">
      <c r="B4177" s="150" t="s">
        <v>1033</v>
      </c>
      <c r="C4177" s="151" t="str">
        <f>+'LISTA DE INSUMOS'!A758</f>
        <v>EQU002</v>
      </c>
      <c r="D4177" s="146" t="str">
        <f>+'LISTA DE INSUMOS'!B758</f>
        <v>Herramienta menor (% mano obra)</v>
      </c>
      <c r="E4177" s="145" t="str">
        <f>+'LISTA DE INSUMOS'!C758</f>
        <v>%MO</v>
      </c>
      <c r="F4177" s="147">
        <v>0.1</v>
      </c>
      <c r="G4177" s="148">
        <f>I4176</f>
        <v>6549</v>
      </c>
      <c r="H4177" s="145">
        <v>0</v>
      </c>
      <c r="I4177" s="148">
        <f>ROUND((F4177*G4177),0)</f>
        <v>655</v>
      </c>
      <c r="J4177" s="47"/>
      <c r="K4177" s="143"/>
    </row>
    <row r="4178" spans="2:11" s="317" customFormat="1" ht="24.9" hidden="1" customHeight="1" x14ac:dyDescent="0.2">
      <c r="B4178" s="319" t="s">
        <v>2396</v>
      </c>
      <c r="C4178" s="319"/>
      <c r="D4178" s="320" t="s">
        <v>2604</v>
      </c>
      <c r="E4178" s="319" t="s">
        <v>1412</v>
      </c>
      <c r="F4178" s="321"/>
      <c r="G4178" s="312">
        <f>ROUND(SUM(I4179:I4184),0)</f>
        <v>9645</v>
      </c>
      <c r="H4178" s="322"/>
      <c r="I4178" s="312"/>
      <c r="J4178" s="313"/>
      <c r="K4178" s="323"/>
    </row>
    <row r="4179" spans="2:11" s="317" customFormat="1" ht="24.9" hidden="1" customHeight="1" x14ac:dyDescent="0.2">
      <c r="B4179" s="691" t="s">
        <v>1035</v>
      </c>
      <c r="C4179" s="322" t="str">
        <f>+'LISTA DE INSUMOS'!A194</f>
        <v>MAT153</v>
      </c>
      <c r="D4179" s="324" t="str">
        <f>+'LISTA DE INSUMOS'!B194</f>
        <v>Plántula (vetiver, limoncillo, lirio y afines), altura promedio 0.25 m</v>
      </c>
      <c r="E4179" s="322" t="str">
        <f>+'LISTA DE INSUMOS'!C194</f>
        <v>Un</v>
      </c>
      <c r="F4179" s="321">
        <v>5</v>
      </c>
      <c r="G4179" s="312">
        <f>+'LISTA DE INSUMOS'!E194</f>
        <v>1094.1811277443198</v>
      </c>
      <c r="H4179" s="349">
        <v>0</v>
      </c>
      <c r="I4179" s="312">
        <f>ROUND((F4179*G4179),0)</f>
        <v>5471</v>
      </c>
      <c r="J4179" s="313"/>
      <c r="K4179" s="323"/>
    </row>
    <row r="4180" spans="2:11" s="317" customFormat="1" ht="24.9" hidden="1" customHeight="1" x14ac:dyDescent="0.2">
      <c r="B4180" s="691"/>
      <c r="C4180" s="322" t="str">
        <f>+'LISTA DE INSUMOS'!A207</f>
        <v>MAT167</v>
      </c>
      <c r="D4180" s="324" t="str">
        <f>+'LISTA DE INSUMOS'!B207</f>
        <v>Fertilizante Tipo DAP,10-30-10, Triple Quince</v>
      </c>
      <c r="E4180" s="322" t="str">
        <f>+'LISTA DE INSUMOS'!C207</f>
        <v>Kg</v>
      </c>
      <c r="F4180" s="321">
        <v>0.15</v>
      </c>
      <c r="G4180" s="312">
        <f>'LISTA DE INSUMOS'!E207</f>
        <v>5300.1352799999995</v>
      </c>
      <c r="H4180" s="349">
        <v>1.03</v>
      </c>
      <c r="I4180" s="312">
        <f>ROUND((F4180*G4180*H4180),0)</f>
        <v>819</v>
      </c>
      <c r="J4180" s="313"/>
      <c r="K4180" s="323"/>
    </row>
    <row r="4181" spans="2:11" s="317" customFormat="1" ht="24.9" hidden="1" customHeight="1" x14ac:dyDescent="0.2">
      <c r="B4181" s="691"/>
      <c r="C4181" s="322" t="str">
        <f>+'LISTA DE INSUMOS'!A266</f>
        <v>MAT236</v>
      </c>
      <c r="D4181" s="324" t="str">
        <f>+'LISTA DE INSUMOS'!B266</f>
        <v>Calfos</v>
      </c>
      <c r="E4181" s="322" t="str">
        <f>+'LISTA DE INSUMOS'!C266</f>
        <v>Kg</v>
      </c>
      <c r="F4181" s="321">
        <v>0.5</v>
      </c>
      <c r="G4181" s="312">
        <f>'LISTA DE INSUMOS'!E266</f>
        <v>672.63274819540788</v>
      </c>
      <c r="H4181" s="349">
        <v>1.03</v>
      </c>
      <c r="I4181" s="312">
        <f>ROUND((F4181*G4181*H4181),0)</f>
        <v>346</v>
      </c>
      <c r="J4181" s="313"/>
      <c r="K4181" s="323"/>
    </row>
    <row r="4182" spans="2:11" s="317" customFormat="1" ht="24.9" hidden="1" customHeight="1" thickBot="1" x14ac:dyDescent="0.25">
      <c r="B4182" s="692"/>
      <c r="C4182" s="322" t="str">
        <f>+'LISTA DE INSUMOS'!A272</f>
        <v>MAT242</v>
      </c>
      <c r="D4182" s="324" t="str">
        <f>+'LISTA DE INSUMOS'!B272</f>
        <v>Insecticida</v>
      </c>
      <c r="E4182" s="322" t="str">
        <f>+'LISTA DE INSUMOS'!C272</f>
        <v>Kg</v>
      </c>
      <c r="F4182" s="385">
        <f>0.00003*F4179</f>
        <v>1.5000000000000001E-4</v>
      </c>
      <c r="G4182" s="312">
        <f>'LISTA DE INSUMOS'!E272</f>
        <v>47590.798034999993</v>
      </c>
      <c r="H4182" s="349">
        <v>1.03</v>
      </c>
      <c r="I4182" s="312">
        <f>ROUND((F4182*G4182*H4182),0)</f>
        <v>7</v>
      </c>
      <c r="J4182" s="313"/>
      <c r="K4182" s="386"/>
    </row>
    <row r="4183" spans="2:11" s="317" customFormat="1" ht="24.9" hidden="1" customHeight="1" thickTop="1" thickBot="1" x14ac:dyDescent="0.25">
      <c r="B4183" s="372" t="s">
        <v>1034</v>
      </c>
      <c r="C4183" s="322" t="str">
        <f>+'LISTA DE INSUMOS'!A7</f>
        <v>MOB004</v>
      </c>
      <c r="D4183" s="324" t="str">
        <f>+'LISTA DE INSUMOS'!B7</f>
        <v>Ayudante (jornal + prestaciones)</v>
      </c>
      <c r="E4183" s="322" t="str">
        <f>+'LISTA DE INSUMOS'!C7</f>
        <v>Dia</v>
      </c>
      <c r="F4183" s="321">
        <v>1</v>
      </c>
      <c r="G4183" s="312">
        <f>+'LISTA DE INSUMOS'!E7</f>
        <v>81861</v>
      </c>
      <c r="H4183" s="349">
        <f>1/30</f>
        <v>3.3333333333333333E-2</v>
      </c>
      <c r="I4183" s="312">
        <f>ROUND((F4183*G4183*H4183),0)</f>
        <v>2729</v>
      </c>
      <c r="J4183" s="313"/>
      <c r="K4183" s="323"/>
    </row>
    <row r="4184" spans="2:11" s="317" customFormat="1" ht="24.9" hidden="1" customHeight="1" thickTop="1" thickBot="1" x14ac:dyDescent="0.25">
      <c r="B4184" s="255" t="s">
        <v>1033</v>
      </c>
      <c r="C4184" s="327" t="str">
        <f>+'LISTA DE INSUMOS'!A758</f>
        <v>EQU002</v>
      </c>
      <c r="D4184" s="328" t="str">
        <f>+'LISTA DE INSUMOS'!B758</f>
        <v>Herramienta menor (% mano obra)</v>
      </c>
      <c r="E4184" s="329" t="str">
        <f>+'LISTA DE INSUMOS'!C758</f>
        <v>%MO</v>
      </c>
      <c r="F4184" s="362">
        <v>0.1</v>
      </c>
      <c r="G4184" s="331">
        <f>I4183</f>
        <v>2729</v>
      </c>
      <c r="H4184" s="350">
        <v>0</v>
      </c>
      <c r="I4184" s="331">
        <f>ROUND((F4184*G4184),0)</f>
        <v>273</v>
      </c>
      <c r="J4184" s="313"/>
      <c r="K4184" s="323"/>
    </row>
    <row r="4185" spans="2:11" ht="24.9" customHeight="1" x14ac:dyDescent="0.2">
      <c r="B4185" s="117" t="s">
        <v>2339</v>
      </c>
      <c r="C4185" s="117"/>
      <c r="D4185" s="112" t="s">
        <v>57</v>
      </c>
      <c r="E4185" s="117" t="s">
        <v>1906</v>
      </c>
      <c r="F4185" s="118"/>
      <c r="G4185" s="119">
        <f>ROUND(SUM(I4186:I4188),0)</f>
        <v>2459547</v>
      </c>
      <c r="H4185" s="120"/>
      <c r="I4185" s="119"/>
      <c r="J4185" s="47"/>
      <c r="K4185" s="143"/>
    </row>
    <row r="4186" spans="2:11" ht="24.9" customHeight="1" thickBot="1" x14ac:dyDescent="0.25">
      <c r="B4186" s="175" t="s">
        <v>1325</v>
      </c>
      <c r="C4186" s="108" t="str">
        <f>+'LISTA DE INSUMOS'!A602</f>
        <v>MAT619</v>
      </c>
      <c r="D4186" s="139" t="str">
        <f>+'LISTA DE INSUMOS'!B602</f>
        <v>Herbicida</v>
      </c>
      <c r="E4186" s="108" t="str">
        <f>+'LISTA DE INSUMOS'!C602</f>
        <v>Lt</v>
      </c>
      <c r="F4186" s="140">
        <v>5</v>
      </c>
      <c r="G4186" s="141">
        <f>'LISTA DE INSUMOS'!E602</f>
        <v>320217.934223941</v>
      </c>
      <c r="H4186" s="108">
        <v>1.03</v>
      </c>
      <c r="I4186" s="141">
        <f>ROUND((F4186*G4186*H4186),0)</f>
        <v>1649122</v>
      </c>
      <c r="J4186" s="47"/>
      <c r="K4186" s="143"/>
    </row>
    <row r="4187" spans="2:11" ht="24.9" customHeight="1" thickTop="1" thickBot="1" x14ac:dyDescent="0.25">
      <c r="B4187" s="250" t="s">
        <v>1034</v>
      </c>
      <c r="C4187" s="108" t="str">
        <f>+'LISTA DE INSUMOS'!A16</f>
        <v>MOB013</v>
      </c>
      <c r="D4187" s="139" t="str">
        <f>+'LISTA DE INSUMOS'!B16</f>
        <v>Cuadrilla C 1 Of + 7 Ay (jornal + prestaciones)</v>
      </c>
      <c r="E4187" s="108" t="str">
        <f>+'LISTA DE INSUMOS'!C16</f>
        <v>Día</v>
      </c>
      <c r="F4187" s="140">
        <v>1</v>
      </c>
      <c r="G4187" s="141">
        <f>'LISTA DE INSUMOS'!E16</f>
        <v>736750</v>
      </c>
      <c r="H4187" s="108">
        <v>1</v>
      </c>
      <c r="I4187" s="141">
        <f>ROUND((F4187*G4187*H4187),0)</f>
        <v>736750</v>
      </c>
      <c r="J4187" s="47"/>
      <c r="K4187" s="143"/>
    </row>
    <row r="4188" spans="2:11" ht="24.9" customHeight="1" thickTop="1" thickBot="1" x14ac:dyDescent="0.25">
      <c r="B4188" s="150" t="s">
        <v>1033</v>
      </c>
      <c r="C4188" s="151" t="str">
        <f>+'LISTA DE INSUMOS'!A758</f>
        <v>EQU002</v>
      </c>
      <c r="D4188" s="146" t="str">
        <f>+'LISTA DE INSUMOS'!B758</f>
        <v>Herramienta menor (% mano obra)</v>
      </c>
      <c r="E4188" s="145" t="str">
        <f>+'LISTA DE INSUMOS'!C758</f>
        <v>%MO</v>
      </c>
      <c r="F4188" s="147">
        <v>0.1</v>
      </c>
      <c r="G4188" s="148">
        <f>I4187</f>
        <v>736750</v>
      </c>
      <c r="H4188" s="145">
        <v>0</v>
      </c>
      <c r="I4188" s="148">
        <f>ROUND((F4188*G4188),0)</f>
        <v>73675</v>
      </c>
      <c r="J4188" s="47"/>
      <c r="K4188" s="143"/>
    </row>
    <row r="4189" spans="2:11" ht="24.9" customHeight="1" x14ac:dyDescent="0.2">
      <c r="B4189" s="117" t="s">
        <v>2340</v>
      </c>
      <c r="C4189" s="117"/>
      <c r="D4189" s="112" t="s">
        <v>1715</v>
      </c>
      <c r="E4189" s="117" t="s">
        <v>1435</v>
      </c>
      <c r="F4189" s="118"/>
      <c r="G4189" s="119">
        <f>ROUND(SUM(I4190:I4191),0)</f>
        <v>108056</v>
      </c>
      <c r="H4189" s="120"/>
      <c r="I4189" s="119"/>
      <c r="J4189" s="47"/>
      <c r="K4189" s="143"/>
    </row>
    <row r="4190" spans="2:11" ht="24.9" customHeight="1" thickBot="1" x14ac:dyDescent="0.25">
      <c r="B4190" s="250" t="s">
        <v>1034</v>
      </c>
      <c r="C4190" s="108" t="str">
        <f>+'LISTA DE INSUMOS'!A9</f>
        <v>MOB006</v>
      </c>
      <c r="D4190" s="139" t="str">
        <f>+'LISTA DE INSUMOS'!B9</f>
        <v>Cuadrilla A 1 Of + 4 Ay (jornal + prestaciones)</v>
      </c>
      <c r="E4190" s="108" t="str">
        <f>+'LISTA DE INSUMOS'!C9</f>
        <v>Día</v>
      </c>
      <c r="F4190" s="140">
        <v>1</v>
      </c>
      <c r="G4190" s="141">
        <f>'LISTA DE INSUMOS'!E9</f>
        <v>491167</v>
      </c>
      <c r="H4190" s="108">
        <v>0.2</v>
      </c>
      <c r="I4190" s="141">
        <f>ROUND((F4190*G4190*H4190),0)</f>
        <v>98233</v>
      </c>
      <c r="J4190" s="47"/>
      <c r="K4190" s="143"/>
    </row>
    <row r="4191" spans="2:11" ht="24.9" customHeight="1" thickTop="1" thickBot="1" x14ac:dyDescent="0.25">
      <c r="B4191" s="150" t="s">
        <v>1033</v>
      </c>
      <c r="C4191" s="151" t="str">
        <f>+'LISTA DE INSUMOS'!A758</f>
        <v>EQU002</v>
      </c>
      <c r="D4191" s="146" t="str">
        <f>+'LISTA DE INSUMOS'!B758</f>
        <v>Herramienta menor (% mano obra)</v>
      </c>
      <c r="E4191" s="145" t="str">
        <f>+'LISTA DE INSUMOS'!C758</f>
        <v>%MO</v>
      </c>
      <c r="F4191" s="147">
        <v>0.1</v>
      </c>
      <c r="G4191" s="148">
        <f>I4190</f>
        <v>98233</v>
      </c>
      <c r="H4191" s="145">
        <v>0</v>
      </c>
      <c r="I4191" s="148">
        <f>ROUND((F4191*G4191),0)</f>
        <v>9823</v>
      </c>
      <c r="J4191" s="47"/>
      <c r="K4191" s="143"/>
    </row>
    <row r="4192" spans="2:11" s="317" customFormat="1" ht="24.9" hidden="1" customHeight="1" x14ac:dyDescent="0.2">
      <c r="B4192" s="319" t="s">
        <v>2397</v>
      </c>
      <c r="C4192" s="319"/>
      <c r="D4192" s="320" t="s">
        <v>1905</v>
      </c>
      <c r="E4192" s="319" t="s">
        <v>1906</v>
      </c>
      <c r="F4192" s="321"/>
      <c r="G4192" s="312">
        <f>ROUND(SUM(I4193:I4194),0)</f>
        <v>2058752</v>
      </c>
      <c r="H4192" s="322"/>
      <c r="I4192" s="312"/>
      <c r="J4192" s="313"/>
      <c r="K4192" s="323"/>
    </row>
    <row r="4193" spans="2:11" s="317" customFormat="1" ht="24.9" hidden="1" customHeight="1" thickBot="1" x14ac:dyDescent="0.25">
      <c r="B4193" s="372" t="s">
        <v>1034</v>
      </c>
      <c r="C4193" s="322" t="str">
        <f>+'LISTA DE INSUMOS'!A7</f>
        <v>MOB004</v>
      </c>
      <c r="D4193" s="324" t="str">
        <f>+'LISTA DE INSUMOS'!B7</f>
        <v>Ayudante (jornal + prestaciones)</v>
      </c>
      <c r="E4193" s="322" t="str">
        <f>+'LISTA DE INSUMOS'!C7</f>
        <v>Dia</v>
      </c>
      <c r="F4193" s="325">
        <v>1</v>
      </c>
      <c r="G4193" s="312">
        <f>+'LISTA DE INSUMOS'!E7</f>
        <v>81861</v>
      </c>
      <c r="H4193" s="322">
        <f>1/0.7</f>
        <v>1.4285714285714286</v>
      </c>
      <c r="I4193" s="312">
        <f>ROUND((F4193*G4193*H4193),0)</f>
        <v>116944</v>
      </c>
      <c r="J4193" s="313"/>
      <c r="K4193" s="323"/>
    </row>
    <row r="4194" spans="2:11" s="317" customFormat="1" ht="24.9" hidden="1" customHeight="1" thickTop="1" thickBot="1" x14ac:dyDescent="0.25">
      <c r="B4194" s="255" t="s">
        <v>1033</v>
      </c>
      <c r="C4194" s="327" t="str">
        <f>+'LISTA DE INSUMOS'!A764</f>
        <v>EQU008</v>
      </c>
      <c r="D4194" s="328" t="str">
        <f>+'LISTA DE INSUMOS'!B764</f>
        <v xml:space="preserve">Motoniveladora </v>
      </c>
      <c r="E4194" s="329" t="str">
        <f>+'LISTA DE INSUMOS'!C764</f>
        <v>Hr</v>
      </c>
      <c r="F4194" s="330">
        <v>11</v>
      </c>
      <c r="G4194" s="331">
        <f>'LISTA DE INSUMOS'!E764</f>
        <v>176527.98966364568</v>
      </c>
      <c r="H4194" s="329">
        <v>0</v>
      </c>
      <c r="I4194" s="331">
        <f>ROUND((F4194*G4194),0)</f>
        <v>1941808</v>
      </c>
      <c r="J4194" s="313"/>
      <c r="K4194" s="323"/>
    </row>
    <row r="4195" spans="2:11" ht="24.9" customHeight="1" x14ac:dyDescent="0.2">
      <c r="B4195" s="117" t="s">
        <v>2341</v>
      </c>
      <c r="C4195" s="117"/>
      <c r="D4195" s="112" t="s">
        <v>1717</v>
      </c>
      <c r="E4195" s="117" t="s">
        <v>1412</v>
      </c>
      <c r="F4195" s="118"/>
      <c r="G4195" s="119">
        <f>ROUND(SUM(I4196:I4198),0)</f>
        <v>1124</v>
      </c>
      <c r="H4195" s="120"/>
      <c r="I4195" s="119"/>
      <c r="J4195" s="47"/>
      <c r="K4195" s="143"/>
    </row>
    <row r="4196" spans="2:11" ht="24.9" customHeight="1" x14ac:dyDescent="0.2">
      <c r="B4196" s="678" t="s">
        <v>1034</v>
      </c>
      <c r="C4196" s="108" t="str">
        <f>+'LISTA DE INSUMOS'!A21</f>
        <v>MOB018</v>
      </c>
      <c r="D4196" s="139" t="str">
        <f>+'LISTA DE INSUMOS'!B21</f>
        <v>Cuadrilla H 4 Ay (jornal + prestaciones)</v>
      </c>
      <c r="E4196" s="108" t="str">
        <f>+'LISTA DE INSUMOS'!C21</f>
        <v>Día</v>
      </c>
      <c r="F4196" s="140">
        <v>1</v>
      </c>
      <c r="G4196" s="141">
        <f>'LISTA DE INSUMOS'!E21</f>
        <v>327444</v>
      </c>
      <c r="H4196" s="108">
        <f>1/350</f>
        <v>2.8571428571428571E-3</v>
      </c>
      <c r="I4196" s="141">
        <f>ROUND((F4196*G4196*H4196),0)</f>
        <v>936</v>
      </c>
      <c r="J4196" s="47"/>
      <c r="K4196" s="143"/>
    </row>
    <row r="4197" spans="2:11" ht="24.9" customHeight="1" thickBot="1" x14ac:dyDescent="0.25">
      <c r="B4197" s="705"/>
      <c r="C4197" s="108" t="str">
        <f>+'LISTA DE INSUMOS'!A14</f>
        <v>MOB011</v>
      </c>
      <c r="D4197" s="139" t="str">
        <f>+'LISTA DE INSUMOS'!B14</f>
        <v>Acarreo Horizontal (% mano obra)</v>
      </c>
      <c r="E4197" s="108" t="str">
        <f>+'LISTA DE INSUMOS'!C14</f>
        <v>% MO</v>
      </c>
      <c r="F4197" s="140">
        <v>0.1</v>
      </c>
      <c r="G4197" s="141">
        <f>I4196</f>
        <v>936</v>
      </c>
      <c r="H4197" s="108">
        <v>0</v>
      </c>
      <c r="I4197" s="141">
        <f>ROUND((F4197*G4197),0)</f>
        <v>94</v>
      </c>
      <c r="J4197" s="47"/>
      <c r="K4197" s="143"/>
    </row>
    <row r="4198" spans="2:11" ht="24.9" customHeight="1" thickTop="1" thickBot="1" x14ac:dyDescent="0.25">
      <c r="B4198" s="150" t="s">
        <v>1033</v>
      </c>
      <c r="C4198" s="151" t="str">
        <f>+'LISTA DE INSUMOS'!A758</f>
        <v>EQU002</v>
      </c>
      <c r="D4198" s="146" t="str">
        <f>+'LISTA DE INSUMOS'!B758</f>
        <v>Herramienta menor (% mano obra)</v>
      </c>
      <c r="E4198" s="145" t="str">
        <f>+'LISTA DE INSUMOS'!C758</f>
        <v>%MO</v>
      </c>
      <c r="F4198" s="147">
        <v>0.1</v>
      </c>
      <c r="G4198" s="148">
        <f>I4196</f>
        <v>936</v>
      </c>
      <c r="H4198" s="145">
        <v>0</v>
      </c>
      <c r="I4198" s="148">
        <f>ROUND((F4198*G4198),0)</f>
        <v>94</v>
      </c>
      <c r="J4198" s="47"/>
      <c r="K4198" s="143"/>
    </row>
    <row r="4199" spans="2:11" ht="24.9" customHeight="1" x14ac:dyDescent="0.2">
      <c r="B4199" s="117" t="s">
        <v>2342</v>
      </c>
      <c r="C4199" s="117"/>
      <c r="D4199" s="112" t="s">
        <v>64</v>
      </c>
      <c r="E4199" s="117" t="s">
        <v>2586</v>
      </c>
      <c r="F4199" s="149"/>
      <c r="G4199" s="119">
        <f>ROUND(SUM(I4199:I4206),0)</f>
        <v>933005</v>
      </c>
      <c r="H4199" s="120"/>
      <c r="I4199" s="119"/>
      <c r="J4199" s="47"/>
      <c r="K4199" s="143"/>
    </row>
    <row r="4200" spans="2:11" ht="24.9" customHeight="1" x14ac:dyDescent="0.2">
      <c r="B4200" s="657" t="s">
        <v>1325</v>
      </c>
      <c r="C4200" s="108" t="str">
        <f>+'LISTA DE INSUMOS'!A67</f>
        <v>MAT034</v>
      </c>
      <c r="D4200" s="139" t="str">
        <f>+'LISTA DE INSUMOS'!B67</f>
        <v>ACPM</v>
      </c>
      <c r="E4200" s="108" t="str">
        <f>+'LISTA DE INSUMOS'!C67</f>
        <v>Gl</v>
      </c>
      <c r="F4200" s="140">
        <v>0.6</v>
      </c>
      <c r="G4200" s="141">
        <f>'LISTA DE INSUMOS'!E67</f>
        <v>9681.4499999999989</v>
      </c>
      <c r="H4200" s="108">
        <v>1.05</v>
      </c>
      <c r="I4200" s="141">
        <f>ROUND((F4200*G4200*H4200),0)</f>
        <v>6099</v>
      </c>
      <c r="J4200" s="47"/>
      <c r="K4200" s="143"/>
    </row>
    <row r="4201" spans="2:11" ht="24.9" customHeight="1" thickBot="1" x14ac:dyDescent="0.25">
      <c r="B4201" s="659"/>
      <c r="C4201" s="108" t="str">
        <f>+'LISTA DE INSUMOS'!A93</f>
        <v>MAT051</v>
      </c>
      <c r="D4201" s="139" t="str">
        <f>+'LISTA DE INSUMOS'!B93</f>
        <v>Antisol blanco</v>
      </c>
      <c r="E4201" s="108" t="str">
        <f>+'LISTA DE INSUMOS'!C93</f>
        <v>Kg</v>
      </c>
      <c r="F4201" s="140">
        <v>2.5</v>
      </c>
      <c r="G4201" s="141">
        <f>'LISTA DE INSUMOS'!E93</f>
        <v>11510.734499999999</v>
      </c>
      <c r="H4201" s="108">
        <v>1.03</v>
      </c>
      <c r="I4201" s="141">
        <f>ROUND((F4201*G4201*H4201),0)</f>
        <v>29640</v>
      </c>
      <c r="J4201" s="47"/>
      <c r="K4201" s="143"/>
    </row>
    <row r="4202" spans="2:11" ht="24.9" customHeight="1" thickTop="1" thickBot="1" x14ac:dyDescent="0.25">
      <c r="B4202" s="191" t="s">
        <v>1310</v>
      </c>
      <c r="C4202" s="108" t="str">
        <f>+B4554</f>
        <v>ITE432</v>
      </c>
      <c r="D4202" s="139" t="str">
        <f>+D4554</f>
        <v>Concreto de 24,5 Mpa (3500 PSI) (producción)</v>
      </c>
      <c r="E4202" s="108" t="str">
        <f>+E4554</f>
        <v>M3</v>
      </c>
      <c r="F4202" s="140">
        <v>1</v>
      </c>
      <c r="G4202" s="141">
        <f>+G4554</f>
        <v>580880</v>
      </c>
      <c r="H4202" s="205">
        <v>1.05</v>
      </c>
      <c r="I4202" s="141">
        <f>ROUND((F4202*G4202*H4202),0)</f>
        <v>609924</v>
      </c>
      <c r="J4202" s="47"/>
      <c r="K4202" s="143"/>
    </row>
    <row r="4203" spans="2:11" ht="24.75" customHeight="1" thickTop="1" thickBot="1" x14ac:dyDescent="0.25">
      <c r="B4203" s="156" t="s">
        <v>1034</v>
      </c>
      <c r="C4203" s="108" t="str">
        <f>+'LISTA DE INSUMOS'!A9</f>
        <v>MOB006</v>
      </c>
      <c r="D4203" s="139" t="str">
        <f>+'LISTA DE INSUMOS'!B9</f>
        <v>Cuadrilla A 1 Of + 4 Ay (jornal + prestaciones)</v>
      </c>
      <c r="E4203" s="108" t="str">
        <f>+'LISTA DE INSUMOS'!C9</f>
        <v>Día</v>
      </c>
      <c r="F4203" s="140">
        <v>1</v>
      </c>
      <c r="G4203" s="141">
        <f>'LISTA DE INSUMOS'!E9</f>
        <v>491167</v>
      </c>
      <c r="H4203" s="205">
        <f>1/2</f>
        <v>0.5</v>
      </c>
      <c r="I4203" s="141">
        <f>ROUND((F4203*G4203*H4203),0)</f>
        <v>245584</v>
      </c>
      <c r="J4203" s="47"/>
      <c r="K4203" s="143"/>
    </row>
    <row r="4204" spans="2:11" ht="30" customHeight="1" thickTop="1" x14ac:dyDescent="0.2">
      <c r="B4204" s="674" t="s">
        <v>1033</v>
      </c>
      <c r="C4204" s="108" t="str">
        <f>+'LISTA DE INSUMOS'!A758</f>
        <v>EQU002</v>
      </c>
      <c r="D4204" s="139" t="str">
        <f>+'LISTA DE INSUMOS'!B758</f>
        <v>Herramienta menor (% mano obra)</v>
      </c>
      <c r="E4204" s="108" t="str">
        <f>+'LISTA DE INSUMOS'!C758</f>
        <v>%MO</v>
      </c>
      <c r="F4204" s="140">
        <v>0.1</v>
      </c>
      <c r="G4204" s="141">
        <f>I4203</f>
        <v>245584</v>
      </c>
      <c r="H4204" s="205">
        <v>0</v>
      </c>
      <c r="I4204" s="141">
        <f>ROUND((F4204*G4204),0)</f>
        <v>24558</v>
      </c>
      <c r="J4204" s="47"/>
      <c r="K4204" s="143"/>
    </row>
    <row r="4205" spans="2:11" ht="30" customHeight="1" thickBot="1" x14ac:dyDescent="0.25">
      <c r="B4205" s="675"/>
      <c r="C4205" s="108" t="str">
        <f>+'LISTA DE INSUMOS'!A775</f>
        <v>EQU018</v>
      </c>
      <c r="D4205" s="139" t="str">
        <f>+'LISTA DE INSUMOS'!B775</f>
        <v>Vibrador eléctrico o a gasolina</v>
      </c>
      <c r="E4205" s="108" t="str">
        <f>+'LISTA DE INSUMOS'!C775</f>
        <v>Día</v>
      </c>
      <c r="F4205" s="160">
        <v>1</v>
      </c>
      <c r="G4205" s="141">
        <f>'LISTA DE INSUMOS'!E775</f>
        <v>42234.2781968536</v>
      </c>
      <c r="H4205" s="205">
        <f>1/5</f>
        <v>0.2</v>
      </c>
      <c r="I4205" s="141">
        <f>ROUND((F4205*G4205*H4205),0)</f>
        <v>8447</v>
      </c>
      <c r="J4205" s="47"/>
      <c r="K4205" s="143"/>
    </row>
    <row r="4206" spans="2:11" ht="30" customHeight="1" thickTop="1" thickBot="1" x14ac:dyDescent="0.25">
      <c r="B4206" s="171" t="s">
        <v>421</v>
      </c>
      <c r="C4206" s="145" t="str">
        <f>+'LISTA DE INSUMOS'!A823</f>
        <v>ESY001</v>
      </c>
      <c r="D4206" s="146" t="str">
        <f>+'LISTA DE INSUMOS'!B823</f>
        <v>Ensayo resistencia concretos (un testigo)</v>
      </c>
      <c r="E4206" s="145" t="str">
        <f>+'LISTA DE INSUMOS'!C823</f>
        <v>Un</v>
      </c>
      <c r="F4206" s="172">
        <f>1/10*3</f>
        <v>0.30000000000000004</v>
      </c>
      <c r="G4206" s="173">
        <f>'LISTA DE INSUMOS'!E823</f>
        <v>29175.946249999997</v>
      </c>
      <c r="H4206" s="174">
        <v>0</v>
      </c>
      <c r="I4206" s="148">
        <f>ROUND((F4206*G4206),0)</f>
        <v>8753</v>
      </c>
      <c r="J4206" s="47"/>
      <c r="K4206" s="143"/>
    </row>
    <row r="4207" spans="2:11" s="317" customFormat="1" ht="24.9" hidden="1" customHeight="1" x14ac:dyDescent="0.2">
      <c r="B4207" s="319" t="s">
        <v>2398</v>
      </c>
      <c r="C4207" s="319"/>
      <c r="D4207" s="320" t="s">
        <v>183</v>
      </c>
      <c r="E4207" s="319" t="s">
        <v>2586</v>
      </c>
      <c r="F4207" s="321"/>
      <c r="G4207" s="312">
        <f>ROUND(SUM(I4208:I4216),0)</f>
        <v>217807</v>
      </c>
      <c r="H4207" s="322"/>
      <c r="I4207" s="312"/>
      <c r="J4207" s="313"/>
      <c r="K4207" s="323"/>
    </row>
    <row r="4208" spans="2:11" s="317" customFormat="1" ht="24.9" hidden="1" customHeight="1" thickBot="1" x14ac:dyDescent="0.25">
      <c r="B4208" s="347" t="s">
        <v>1325</v>
      </c>
      <c r="C4208" s="322" t="str">
        <f>+'LISTA DE INSUMOS'!A269</f>
        <v>MAT239</v>
      </c>
      <c r="D4208" s="324" t="str">
        <f>+'LISTA DE INSUMOS'!B269</f>
        <v>Material granular SBG A TIPO INVIAS</v>
      </c>
      <c r="E4208" s="322" t="str">
        <f>+'LISTA DE INSUMOS'!C269</f>
        <v>M3</v>
      </c>
      <c r="F4208" s="321">
        <v>1</v>
      </c>
      <c r="G4208" s="312">
        <f>'LISTA DE INSUMOS'!E269</f>
        <v>104650.06690874998</v>
      </c>
      <c r="H4208" s="349">
        <v>1.3</v>
      </c>
      <c r="I4208" s="312">
        <f>ROUND((F4208*G4208*H4208),0)</f>
        <v>136045</v>
      </c>
      <c r="J4208" s="313"/>
      <c r="K4208" s="323"/>
    </row>
    <row r="4209" spans="2:11" s="317" customFormat="1" ht="24.9" hidden="1" customHeight="1" thickTop="1" x14ac:dyDescent="0.2">
      <c r="B4209" s="658" t="s">
        <v>1310</v>
      </c>
      <c r="C4209" s="322" t="str">
        <f>+B336</f>
        <v>ITE056</v>
      </c>
      <c r="D4209" s="320" t="str">
        <f>+D336</f>
        <v xml:space="preserve">Transporte material &lt; 40 Km </v>
      </c>
      <c r="E4209" s="322" t="str">
        <f>+E336</f>
        <v>M3-Km</v>
      </c>
      <c r="F4209" s="321">
        <v>30</v>
      </c>
      <c r="G4209" s="312">
        <f>G336</f>
        <v>1634</v>
      </c>
      <c r="H4209" s="349">
        <v>0</v>
      </c>
      <c r="I4209" s="312">
        <f>ROUND((F4209*G4209),0)</f>
        <v>49020</v>
      </c>
      <c r="J4209" s="313"/>
      <c r="K4209" s="323"/>
    </row>
    <row r="4210" spans="2:11" s="317" customFormat="1" ht="24.9" hidden="1" customHeight="1" thickBot="1" x14ac:dyDescent="0.25">
      <c r="B4210" s="658"/>
      <c r="C4210" s="322" t="str">
        <f>+B417</f>
        <v>ITE068</v>
      </c>
      <c r="D4210" s="320" t="str">
        <f>+D417</f>
        <v>Transporte maquinaría pesada</v>
      </c>
      <c r="E4210" s="319" t="str">
        <f>+E417</f>
        <v>Km</v>
      </c>
      <c r="F4210" s="321">
        <v>60</v>
      </c>
      <c r="G4210" s="312">
        <f>G417</f>
        <v>26702</v>
      </c>
      <c r="H4210" s="349">
        <f>1/200</f>
        <v>5.0000000000000001E-3</v>
      </c>
      <c r="I4210" s="312">
        <f>ROUND((F4210*G4210*H4210),0)</f>
        <v>8011</v>
      </c>
      <c r="J4210" s="313"/>
      <c r="K4210" s="323"/>
    </row>
    <row r="4211" spans="2:11" s="317" customFormat="1" ht="30" hidden="1" customHeight="1" thickTop="1" thickBot="1" x14ac:dyDescent="0.25">
      <c r="B4211" s="342" t="s">
        <v>1034</v>
      </c>
      <c r="C4211" s="322" t="str">
        <f>+'LISTA DE INSUMOS'!A9</f>
        <v>MOB006</v>
      </c>
      <c r="D4211" s="324" t="str">
        <f>+'LISTA DE INSUMOS'!B9</f>
        <v>Cuadrilla A 1 Of + 4 Ay (jornal + prestaciones)</v>
      </c>
      <c r="E4211" s="322" t="str">
        <f>+'LISTA DE INSUMOS'!C9</f>
        <v>Día</v>
      </c>
      <c r="F4211" s="325">
        <v>1</v>
      </c>
      <c r="G4211" s="312">
        <f>'LISTA DE INSUMOS'!E9</f>
        <v>491167</v>
      </c>
      <c r="H4211" s="326">
        <f>1/50</f>
        <v>0.02</v>
      </c>
      <c r="I4211" s="312">
        <f>ROUND((F4211*G4211*H4211),0)</f>
        <v>9823</v>
      </c>
      <c r="J4211" s="313"/>
      <c r="K4211" s="323"/>
    </row>
    <row r="4212" spans="2:11" s="317" customFormat="1" ht="30" hidden="1" customHeight="1" thickTop="1" x14ac:dyDescent="0.2">
      <c r="B4212" s="693" t="s">
        <v>1033</v>
      </c>
      <c r="C4212" s="322" t="str">
        <f>+'LISTA DE INSUMOS'!A764</f>
        <v>EQU008</v>
      </c>
      <c r="D4212" s="324" t="str">
        <f>+'LISTA DE INSUMOS'!B764</f>
        <v xml:space="preserve">Motoniveladora </v>
      </c>
      <c r="E4212" s="322" t="str">
        <f>+'LISTA DE INSUMOS'!C764</f>
        <v>Hr</v>
      </c>
      <c r="F4212" s="321">
        <v>1</v>
      </c>
      <c r="G4212" s="312">
        <f>'LISTA DE INSUMOS'!E764</f>
        <v>176527.98966364568</v>
      </c>
      <c r="H4212" s="383">
        <f>1/30</f>
        <v>3.3333333333333333E-2</v>
      </c>
      <c r="I4212" s="312">
        <f>ROUND((F4212*G4212*H4212),0)</f>
        <v>5884</v>
      </c>
      <c r="J4212" s="313"/>
      <c r="K4212" s="323"/>
    </row>
    <row r="4213" spans="2:11" s="317" customFormat="1" ht="30" hidden="1" customHeight="1" x14ac:dyDescent="0.2">
      <c r="B4213" s="658"/>
      <c r="C4213" s="322" t="str">
        <f>+'LISTA DE INSUMOS'!A780</f>
        <v>EQU023</v>
      </c>
      <c r="D4213" s="324" t="str">
        <f>+'LISTA DE INSUMOS'!B780</f>
        <v>Carrotanque agua</v>
      </c>
      <c r="E4213" s="322" t="str">
        <f>+'LISTA DE INSUMOS'!C780</f>
        <v>Hr</v>
      </c>
      <c r="F4213" s="321">
        <v>1</v>
      </c>
      <c r="G4213" s="312">
        <f>'LISTA DE INSUMOS'!E780</f>
        <v>80105.478023999996</v>
      </c>
      <c r="H4213" s="383">
        <f>1/30</f>
        <v>3.3333333333333333E-2</v>
      </c>
      <c r="I4213" s="312">
        <f>ROUND((F4213*G4213*H4213),0)</f>
        <v>2670</v>
      </c>
      <c r="J4213" s="313"/>
      <c r="K4213" s="323"/>
    </row>
    <row r="4214" spans="2:11" s="317" customFormat="1" ht="24.9" hidden="1" customHeight="1" x14ac:dyDescent="0.2">
      <c r="B4214" s="658"/>
      <c r="C4214" s="322" t="str">
        <f>+'LISTA DE INSUMOS'!A770</f>
        <v>EQU013</v>
      </c>
      <c r="D4214" s="324" t="str">
        <f>+'LISTA DE INSUMOS'!B770</f>
        <v>Cilindro compactador vibratorio Dynapac 7 ton</v>
      </c>
      <c r="E4214" s="322" t="str">
        <f>+'LISTA DE INSUMOS'!C770</f>
        <v>Hr</v>
      </c>
      <c r="F4214" s="321">
        <v>1</v>
      </c>
      <c r="G4214" s="312">
        <f>'LISTA DE INSUMOS'!E770</f>
        <v>108633.95167481998</v>
      </c>
      <c r="H4214" s="383">
        <f>1/30</f>
        <v>3.3333333333333333E-2</v>
      </c>
      <c r="I4214" s="312">
        <f>ROUND((F4214*G4214*H4214),0)</f>
        <v>3621</v>
      </c>
      <c r="J4214" s="313"/>
      <c r="K4214" s="323"/>
    </row>
    <row r="4215" spans="2:11" s="317" customFormat="1" ht="24.9" hidden="1" customHeight="1" thickBot="1" x14ac:dyDescent="0.25">
      <c r="B4215" s="668"/>
      <c r="C4215" s="322" t="str">
        <f>+'LISTA DE INSUMOS'!A758</f>
        <v>EQU002</v>
      </c>
      <c r="D4215" s="324" t="str">
        <f>+'LISTA DE INSUMOS'!B758</f>
        <v>Herramienta menor (% mano obra)</v>
      </c>
      <c r="E4215" s="322" t="str">
        <f>+'LISTA DE INSUMOS'!C758</f>
        <v>%MO</v>
      </c>
      <c r="F4215" s="321">
        <v>0.1</v>
      </c>
      <c r="G4215" s="312">
        <f>I4211</f>
        <v>9823</v>
      </c>
      <c r="H4215" s="349">
        <v>0</v>
      </c>
      <c r="I4215" s="312">
        <f>ROUND((F4215*G4215),0)</f>
        <v>982</v>
      </c>
      <c r="J4215" s="313"/>
      <c r="K4215" s="323"/>
    </row>
    <row r="4216" spans="2:11" s="317" customFormat="1" ht="24.9" hidden="1" customHeight="1" thickTop="1" thickBot="1" x14ac:dyDescent="0.25">
      <c r="B4216" s="343" t="s">
        <v>421</v>
      </c>
      <c r="C4216" s="329" t="s">
        <v>419</v>
      </c>
      <c r="D4216" s="328" t="s">
        <v>420</v>
      </c>
      <c r="E4216" s="329" t="s">
        <v>1435</v>
      </c>
      <c r="F4216" s="344">
        <f>1/40</f>
        <v>2.5000000000000001E-2</v>
      </c>
      <c r="G4216" s="345">
        <f>'LISTA DE INSUMOS'!E824</f>
        <v>70022.270999999993</v>
      </c>
      <c r="H4216" s="346">
        <v>0</v>
      </c>
      <c r="I4216" s="331">
        <f>ROUND((F4216*G4216),0)</f>
        <v>1751</v>
      </c>
      <c r="J4216" s="313"/>
      <c r="K4216" s="323"/>
    </row>
    <row r="4217" spans="2:11" ht="24.9" customHeight="1" x14ac:dyDescent="0.2">
      <c r="B4217" s="117" t="s">
        <v>2343</v>
      </c>
      <c r="C4217" s="117"/>
      <c r="D4217" s="112" t="s">
        <v>1078</v>
      </c>
      <c r="E4217" s="117" t="s">
        <v>1412</v>
      </c>
      <c r="F4217" s="118"/>
      <c r="G4217" s="119">
        <f>ROUND(SUM(I4217:I4222),0)</f>
        <v>9033</v>
      </c>
      <c r="H4217" s="120"/>
      <c r="I4217" s="119"/>
      <c r="J4217" s="47"/>
      <c r="K4217" s="143"/>
    </row>
    <row r="4218" spans="2:11" ht="30" customHeight="1" x14ac:dyDescent="0.2">
      <c r="B4218" s="672" t="s">
        <v>1035</v>
      </c>
      <c r="C4218" s="108" t="str">
        <f>+'LISTA DE INSUMOS'!A220</f>
        <v>MAT188</v>
      </c>
      <c r="D4218" s="139" t="str">
        <f>+'LISTA DE INSUMOS'!B220</f>
        <v>Guadua sobrebasa longitud promedio = 5 m</v>
      </c>
      <c r="E4218" s="108" t="str">
        <f>+'LISTA DE INSUMOS'!C220</f>
        <v>Un</v>
      </c>
      <c r="F4218" s="140">
        <v>0.33</v>
      </c>
      <c r="G4218" s="141">
        <f>'LISTA DE INSUMOS'!E220</f>
        <v>8743.4565002399995</v>
      </c>
      <c r="H4218" s="108">
        <f>1/5</f>
        <v>0.2</v>
      </c>
      <c r="I4218" s="141">
        <f>ROUND((F4218*G4218*H4218),0)</f>
        <v>577</v>
      </c>
      <c r="J4218" s="47"/>
      <c r="K4218" s="143"/>
    </row>
    <row r="4219" spans="2:11" ht="30" customHeight="1" x14ac:dyDescent="0.2">
      <c r="B4219" s="672"/>
      <c r="C4219" s="108" t="str">
        <f>+'LISTA DE INSUMOS'!A52</f>
        <v>MAT021</v>
      </c>
      <c r="D4219" s="139" t="str">
        <f>+'LISTA DE INSUMOS'!B52</f>
        <v>Puntilla (promedio)</v>
      </c>
      <c r="E4219" s="108" t="str">
        <f>+'LISTA DE INSUMOS'!C52</f>
        <v>Lb</v>
      </c>
      <c r="F4219" s="140">
        <v>0.05</v>
      </c>
      <c r="G4219" s="141">
        <f>'LISTA DE INSUMOS'!E52</f>
        <v>6690.6972299999998</v>
      </c>
      <c r="H4219" s="108">
        <v>1.03</v>
      </c>
      <c r="I4219" s="141">
        <f>ROUND((F4219*G4219*H4219),0)</f>
        <v>345</v>
      </c>
      <c r="J4219" s="47"/>
      <c r="K4219" s="143"/>
    </row>
    <row r="4220" spans="2:11" ht="30" customHeight="1" thickBot="1" x14ac:dyDescent="0.25">
      <c r="B4220" s="673"/>
      <c r="C4220" s="108" t="str">
        <f>+'LISTA DE INSUMOS'!A401</f>
        <v>MAT412</v>
      </c>
      <c r="D4220" s="139" t="str">
        <f>+'LISTA DE INSUMOS'!B401</f>
        <v>Tela de cerramiento a = 2,10 m (rollo por 100 m)</v>
      </c>
      <c r="E4220" s="108" t="str">
        <f>+'LISTA DE INSUMOS'!C401</f>
        <v>M2</v>
      </c>
      <c r="F4220" s="140">
        <v>2.1</v>
      </c>
      <c r="G4220" s="141">
        <f>'LISTA DE INSUMOS'!E401</f>
        <v>2045.4370408164</v>
      </c>
      <c r="H4220" s="108">
        <v>1.05</v>
      </c>
      <c r="I4220" s="141">
        <f>ROUND((F4220*G4220*H4220),0)</f>
        <v>4510</v>
      </c>
      <c r="J4220" s="47"/>
      <c r="K4220" s="143"/>
    </row>
    <row r="4221" spans="2:11" ht="24.9" customHeight="1" thickTop="1" thickBot="1" x14ac:dyDescent="0.25">
      <c r="B4221" s="250" t="s">
        <v>1034</v>
      </c>
      <c r="C4221" s="108" t="str">
        <f>+'LISTA DE INSUMOS'!A7</f>
        <v>MOB004</v>
      </c>
      <c r="D4221" s="139" t="str">
        <f>+'LISTA DE INSUMOS'!B7</f>
        <v>Ayudante (jornal + prestaciones)</v>
      </c>
      <c r="E4221" s="108" t="str">
        <f>+'LISTA DE INSUMOS'!C7</f>
        <v>Dia</v>
      </c>
      <c r="F4221" s="140">
        <v>1</v>
      </c>
      <c r="G4221" s="141">
        <f>+'LISTA DE INSUMOS'!E7</f>
        <v>81861</v>
      </c>
      <c r="H4221" s="108">
        <f>1/25</f>
        <v>0.04</v>
      </c>
      <c r="I4221" s="141">
        <f>ROUND((F4221*G4221*H4221),0)</f>
        <v>3274</v>
      </c>
      <c r="J4221" s="47"/>
      <c r="K4221" s="143"/>
    </row>
    <row r="4222" spans="2:11" ht="24.9" customHeight="1" thickTop="1" thickBot="1" x14ac:dyDescent="0.25">
      <c r="B4222" s="150" t="s">
        <v>1033</v>
      </c>
      <c r="C4222" s="151" t="str">
        <f>+'LISTA DE INSUMOS'!A758</f>
        <v>EQU002</v>
      </c>
      <c r="D4222" s="146" t="str">
        <f>+'LISTA DE INSUMOS'!B758</f>
        <v>Herramienta menor (% mano obra)</v>
      </c>
      <c r="E4222" s="145" t="str">
        <f>+'LISTA DE INSUMOS'!C758</f>
        <v>%MO</v>
      </c>
      <c r="F4222" s="147">
        <v>0.1</v>
      </c>
      <c r="G4222" s="148">
        <f>I4221</f>
        <v>3274</v>
      </c>
      <c r="H4222" s="145">
        <v>0</v>
      </c>
      <c r="I4222" s="148">
        <f>ROUND((F4222*G4222),0)</f>
        <v>327</v>
      </c>
      <c r="J4222" s="47"/>
      <c r="K4222" s="143"/>
    </row>
    <row r="4223" spans="2:11" ht="24.9" customHeight="1" x14ac:dyDescent="0.2">
      <c r="B4223" s="117" t="s">
        <v>3004</v>
      </c>
      <c r="C4223" s="117"/>
      <c r="D4223" s="112" t="s">
        <v>1597</v>
      </c>
      <c r="E4223" s="117" t="s">
        <v>2585</v>
      </c>
      <c r="F4223" s="118"/>
      <c r="G4223" s="119">
        <f>ROUND(SUM(I4224:I4225),0)</f>
        <v>1801</v>
      </c>
      <c r="H4223" s="120"/>
      <c r="I4223" s="119"/>
      <c r="J4223" s="47"/>
      <c r="K4223" s="143"/>
    </row>
    <row r="4224" spans="2:11" ht="24.9" customHeight="1" thickBot="1" x14ac:dyDescent="0.25">
      <c r="B4224" s="250" t="s">
        <v>1034</v>
      </c>
      <c r="C4224" s="108" t="str">
        <f>+'LISTA DE INSUMOS'!A20</f>
        <v>MOB017</v>
      </c>
      <c r="D4224" s="139" t="str">
        <f>+'LISTA DE INSUMOS'!B20</f>
        <v>Cuadrilla G 1 Of + 2 Ay (jornal + prestaciones)</v>
      </c>
      <c r="E4224" s="108" t="str">
        <f>+'LISTA DE INSUMOS'!C20</f>
        <v>Día</v>
      </c>
      <c r="F4224" s="140">
        <v>1</v>
      </c>
      <c r="G4224" s="141">
        <f>'LISTA DE INSUMOS'!E20</f>
        <v>327445</v>
      </c>
      <c r="H4224" s="108">
        <v>5.0000000000000001E-3</v>
      </c>
      <c r="I4224" s="141">
        <f>ROUND((F4224*G4224*H4224),0)</f>
        <v>1637</v>
      </c>
      <c r="J4224" s="47"/>
      <c r="K4224" s="143"/>
    </row>
    <row r="4225" spans="2:11" ht="24.9" customHeight="1" thickTop="1" thickBot="1" x14ac:dyDescent="0.25">
      <c r="B4225" s="150" t="s">
        <v>1033</v>
      </c>
      <c r="C4225" s="151" t="str">
        <f>+'LISTA DE INSUMOS'!A758</f>
        <v>EQU002</v>
      </c>
      <c r="D4225" s="146" t="str">
        <f>+'LISTA DE INSUMOS'!B758</f>
        <v>Herramienta menor (% mano obra)</v>
      </c>
      <c r="E4225" s="145" t="str">
        <f>+'LISTA DE INSUMOS'!C758</f>
        <v>%MO</v>
      </c>
      <c r="F4225" s="147">
        <v>0.1</v>
      </c>
      <c r="G4225" s="148">
        <f>I4224</f>
        <v>1637</v>
      </c>
      <c r="H4225" s="145">
        <v>0</v>
      </c>
      <c r="I4225" s="148">
        <f>ROUND((F4225*G4225),0)</f>
        <v>164</v>
      </c>
      <c r="J4225" s="47"/>
      <c r="K4225" s="143"/>
    </row>
    <row r="4226" spans="2:11" ht="24.9" customHeight="1" x14ac:dyDescent="0.2">
      <c r="B4226" s="117" t="s">
        <v>479</v>
      </c>
      <c r="C4226" s="120"/>
      <c r="D4226" s="112" t="s">
        <v>1539</v>
      </c>
      <c r="E4226" s="117" t="s">
        <v>1412</v>
      </c>
      <c r="F4226" s="118"/>
      <c r="G4226" s="119">
        <f>ROUND(SUM(I4227:I4228),0)</f>
        <v>11123</v>
      </c>
      <c r="H4226" s="120"/>
      <c r="I4226" s="119"/>
      <c r="J4226" s="47"/>
      <c r="K4226" s="143"/>
    </row>
    <row r="4227" spans="2:11" ht="24.9" customHeight="1" thickBot="1" x14ac:dyDescent="0.25">
      <c r="B4227" s="250" t="s">
        <v>1034</v>
      </c>
      <c r="C4227" s="108" t="str">
        <f>+'LISTA DE INSUMOS'!A5</f>
        <v>MOB002</v>
      </c>
      <c r="D4227" s="139" t="str">
        <f>+'LISTA DE INSUMOS'!B5</f>
        <v>Oficial (jornal + prestaciones)</v>
      </c>
      <c r="E4227" s="108" t="str">
        <f>+'LISTA DE INSUMOS'!C5</f>
        <v>Día</v>
      </c>
      <c r="F4227" s="140">
        <v>1</v>
      </c>
      <c r="G4227" s="141">
        <f>'LISTA DE INSUMOS'!E5</f>
        <v>163723</v>
      </c>
      <c r="H4227" s="205">
        <f>1/20</f>
        <v>0.05</v>
      </c>
      <c r="I4227" s="141">
        <f>ROUND((F4227*G4227*H4227),0)</f>
        <v>8186</v>
      </c>
      <c r="J4227" s="47"/>
      <c r="K4227" s="143"/>
    </row>
    <row r="4228" spans="2:11" ht="24.9" customHeight="1" thickTop="1" thickBot="1" x14ac:dyDescent="0.25">
      <c r="B4228" s="150" t="s">
        <v>1033</v>
      </c>
      <c r="C4228" s="151" t="str">
        <f>+'LISTA DE INSUMOS'!A792</f>
        <v>EQU035</v>
      </c>
      <c r="D4228" s="146" t="str">
        <f>+'LISTA DE INSUMOS'!B792</f>
        <v>Cortadora de ladrillo con disco</v>
      </c>
      <c r="E4228" s="145" t="str">
        <f>+'LISTA DE INSUMOS'!C792</f>
        <v>Día</v>
      </c>
      <c r="F4228" s="147">
        <v>1</v>
      </c>
      <c r="G4228" s="148">
        <f>'LISTA DE INSUMOS'!E792</f>
        <v>58744.017217600012</v>
      </c>
      <c r="H4228" s="206">
        <f>1/20</f>
        <v>0.05</v>
      </c>
      <c r="I4228" s="148">
        <f>ROUND((F4228*G4228*H4228),0)</f>
        <v>2937</v>
      </c>
      <c r="J4228" s="47"/>
      <c r="K4228" s="143"/>
    </row>
    <row r="4229" spans="2:11" s="317" customFormat="1" ht="24.9" hidden="1" customHeight="1" x14ac:dyDescent="0.2">
      <c r="B4229" s="319" t="s">
        <v>2399</v>
      </c>
      <c r="C4229" s="319"/>
      <c r="D4229" s="320" t="s">
        <v>1555</v>
      </c>
      <c r="E4229" s="319" t="s">
        <v>2585</v>
      </c>
      <c r="F4229" s="321"/>
      <c r="G4229" s="312">
        <f>ROUND(SUM(I4230:I4233),0)</f>
        <v>11256</v>
      </c>
      <c r="H4229" s="322"/>
      <c r="I4229" s="312"/>
      <c r="J4229" s="313"/>
      <c r="K4229" s="323"/>
    </row>
    <row r="4230" spans="2:11" s="317" customFormat="1" ht="24.9" hidden="1" customHeight="1" x14ac:dyDescent="0.2">
      <c r="B4230" s="714" t="s">
        <v>1034</v>
      </c>
      <c r="C4230" s="322" t="str">
        <f>+'LISTA DE INSUMOS'!A7</f>
        <v>MOB004</v>
      </c>
      <c r="D4230" s="324" t="str">
        <f>+'LISTA DE INSUMOS'!B7</f>
        <v>Ayudante (jornal + prestaciones)</v>
      </c>
      <c r="E4230" s="322" t="str">
        <f>+'LISTA DE INSUMOS'!C7</f>
        <v>Dia</v>
      </c>
      <c r="F4230" s="325">
        <v>1</v>
      </c>
      <c r="G4230" s="312">
        <f>+'LISTA DE INSUMOS'!E7</f>
        <v>81861</v>
      </c>
      <c r="H4230" s="322">
        <f>1/16</f>
        <v>6.25E-2</v>
      </c>
      <c r="I4230" s="312">
        <f>ROUND((F4230*G4230*H4230),0)</f>
        <v>5116</v>
      </c>
      <c r="J4230" s="313"/>
      <c r="K4230" s="323"/>
    </row>
    <row r="4231" spans="2:11" s="317" customFormat="1" ht="24.9" hidden="1" customHeight="1" thickBot="1" x14ac:dyDescent="0.25">
      <c r="B4231" s="715"/>
      <c r="C4231" s="322" t="str">
        <f>+'LISTA DE INSUMOS'!A14</f>
        <v>MOB011</v>
      </c>
      <c r="D4231" s="324" t="str">
        <f>+'LISTA DE INSUMOS'!B14</f>
        <v>Acarreo Horizontal (% mano obra)</v>
      </c>
      <c r="E4231" s="322" t="str">
        <f>+'LISTA DE INSUMOS'!C14</f>
        <v>% MO</v>
      </c>
      <c r="F4231" s="325">
        <v>1</v>
      </c>
      <c r="G4231" s="312">
        <f>I4230</f>
        <v>5116</v>
      </c>
      <c r="H4231" s="322">
        <v>0</v>
      </c>
      <c r="I4231" s="312">
        <f>ROUND((F4231*G4231),0)</f>
        <v>5116</v>
      </c>
      <c r="J4231" s="313"/>
      <c r="K4231" s="323"/>
    </row>
    <row r="4232" spans="2:11" s="317" customFormat="1" ht="24.9" hidden="1" customHeight="1" thickTop="1" x14ac:dyDescent="0.2">
      <c r="B4232" s="652" t="s">
        <v>1033</v>
      </c>
      <c r="C4232" s="322" t="str">
        <f>+'LISTA DE INSUMOS'!A758</f>
        <v>EQU002</v>
      </c>
      <c r="D4232" s="324" t="str">
        <f>+'LISTA DE INSUMOS'!B758</f>
        <v>Herramienta menor (% mano obra)</v>
      </c>
      <c r="E4232" s="322" t="str">
        <f>+'LISTA DE INSUMOS'!C758</f>
        <v>%MO</v>
      </c>
      <c r="F4232" s="325">
        <v>0.1</v>
      </c>
      <c r="G4232" s="312">
        <f>I4230</f>
        <v>5116</v>
      </c>
      <c r="H4232" s="322">
        <v>0</v>
      </c>
      <c r="I4232" s="312">
        <f>ROUND((F4232*G4232),0)</f>
        <v>512</v>
      </c>
      <c r="J4232" s="313"/>
      <c r="K4232" s="323"/>
    </row>
    <row r="4233" spans="2:11" s="317" customFormat="1" ht="24.9" hidden="1" customHeight="1" thickBot="1" x14ac:dyDescent="0.25">
      <c r="B4233" s="653"/>
      <c r="C4233" s="329" t="str">
        <f>+'LISTA DE INSUMOS'!A762</f>
        <v>EQU006</v>
      </c>
      <c r="D4233" s="328" t="str">
        <f>+'LISTA DE INSUMOS'!B762</f>
        <v>Andamio (% mano obra)</v>
      </c>
      <c r="E4233" s="329" t="str">
        <f>+'LISTA DE INSUMOS'!C762</f>
        <v>%MO</v>
      </c>
      <c r="F4233" s="330">
        <v>0.1</v>
      </c>
      <c r="G4233" s="331">
        <f>I4230</f>
        <v>5116</v>
      </c>
      <c r="H4233" s="329">
        <v>0</v>
      </c>
      <c r="I4233" s="331">
        <f>ROUND((F4233*G4233),0)</f>
        <v>512</v>
      </c>
      <c r="J4233" s="313"/>
      <c r="K4233" s="323"/>
    </row>
    <row r="4234" spans="2:11" ht="24.9" customHeight="1" x14ac:dyDescent="0.2">
      <c r="B4234" s="117" t="s">
        <v>3005</v>
      </c>
      <c r="C4234" s="117"/>
      <c r="D4234" s="112" t="s">
        <v>1574</v>
      </c>
      <c r="E4234" s="117" t="s">
        <v>1412</v>
      </c>
      <c r="F4234" s="118"/>
      <c r="G4234" s="119">
        <f>ROUND(SUM(I4235:I4237),0)</f>
        <v>4715</v>
      </c>
      <c r="H4234" s="120"/>
      <c r="I4234" s="119"/>
      <c r="J4234" s="47"/>
      <c r="K4234" s="143"/>
    </row>
    <row r="4235" spans="2:11" ht="24.9" customHeight="1" x14ac:dyDescent="0.2">
      <c r="B4235" s="678" t="s">
        <v>1034</v>
      </c>
      <c r="C4235" s="108" t="str">
        <f>+'LISTA DE INSUMOS'!A21</f>
        <v>MOB018</v>
      </c>
      <c r="D4235" s="139" t="str">
        <f>+'LISTA DE INSUMOS'!B21</f>
        <v>Cuadrilla H 4 Ay (jornal + prestaciones)</v>
      </c>
      <c r="E4235" s="108" t="str">
        <f>+'LISTA DE INSUMOS'!C21</f>
        <v>Día</v>
      </c>
      <c r="F4235" s="140">
        <v>1</v>
      </c>
      <c r="G4235" s="141">
        <f>'LISTA DE INSUMOS'!E21</f>
        <v>327444</v>
      </c>
      <c r="H4235" s="108">
        <v>1.2E-2</v>
      </c>
      <c r="I4235" s="141">
        <f>ROUND((F4235*G4235*H4235),0)</f>
        <v>3929</v>
      </c>
      <c r="J4235" s="47"/>
      <c r="K4235" s="143"/>
    </row>
    <row r="4236" spans="2:11" ht="24.9" customHeight="1" thickBot="1" x14ac:dyDescent="0.25">
      <c r="B4236" s="705"/>
      <c r="C4236" s="108" t="str">
        <f>+'LISTA DE INSUMOS'!A14</f>
        <v>MOB011</v>
      </c>
      <c r="D4236" s="139" t="str">
        <f>+'LISTA DE INSUMOS'!B14</f>
        <v>Acarreo Horizontal (% mano obra)</v>
      </c>
      <c r="E4236" s="108" t="str">
        <f>+'LISTA DE INSUMOS'!C14</f>
        <v>% MO</v>
      </c>
      <c r="F4236" s="140">
        <v>0.1</v>
      </c>
      <c r="G4236" s="141">
        <f>I4235</f>
        <v>3929</v>
      </c>
      <c r="H4236" s="108">
        <v>0</v>
      </c>
      <c r="I4236" s="141">
        <f>ROUND((F4236*G4236),0)</f>
        <v>393</v>
      </c>
      <c r="J4236" s="47"/>
      <c r="K4236" s="143"/>
    </row>
    <row r="4237" spans="2:11" ht="24.9" customHeight="1" thickTop="1" thickBot="1" x14ac:dyDescent="0.25">
      <c r="B4237" s="150" t="s">
        <v>1033</v>
      </c>
      <c r="C4237" s="151" t="str">
        <f>+'LISTA DE INSUMOS'!A758</f>
        <v>EQU002</v>
      </c>
      <c r="D4237" s="146" t="str">
        <f>+'LISTA DE INSUMOS'!B758</f>
        <v>Herramienta menor (% mano obra)</v>
      </c>
      <c r="E4237" s="145" t="str">
        <f>+'LISTA DE INSUMOS'!C758</f>
        <v>%MO</v>
      </c>
      <c r="F4237" s="147">
        <v>0.1</v>
      </c>
      <c r="G4237" s="148">
        <f>I4235</f>
        <v>3929</v>
      </c>
      <c r="H4237" s="145">
        <v>0</v>
      </c>
      <c r="I4237" s="148">
        <f>ROUND((F4237*G4237),0)</f>
        <v>393</v>
      </c>
      <c r="J4237" s="47"/>
      <c r="K4237" s="143"/>
    </row>
    <row r="4238" spans="2:11" ht="24.9" customHeight="1" x14ac:dyDescent="0.2">
      <c r="B4238" s="117" t="s">
        <v>3006</v>
      </c>
      <c r="C4238" s="117"/>
      <c r="D4238" s="112" t="s">
        <v>1598</v>
      </c>
      <c r="E4238" s="117" t="s">
        <v>1412</v>
      </c>
      <c r="F4238" s="118"/>
      <c r="G4238" s="119">
        <f>ROUND(SUM(I4239:I4241),0)</f>
        <v>2359</v>
      </c>
      <c r="H4238" s="120"/>
      <c r="I4238" s="119"/>
      <c r="J4238" s="47"/>
      <c r="K4238" s="143"/>
    </row>
    <row r="4239" spans="2:11" ht="24.9" customHeight="1" thickBot="1" x14ac:dyDescent="0.25">
      <c r="B4239" s="250" t="s">
        <v>1034</v>
      </c>
      <c r="C4239" s="125" t="str">
        <f>+'LISTA DE INSUMOS'!A23</f>
        <v>MOB020</v>
      </c>
      <c r="D4239" s="225" t="str">
        <f>+'LISTA DE INSUMOS'!B23</f>
        <v>Cuadrilla J (1 Of eléctrico+1Ay eléctrico) (jornal + prestaciones)</v>
      </c>
      <c r="E4239" s="125" t="str">
        <f>+'LISTA DE INSUMOS'!C23</f>
        <v>Día</v>
      </c>
      <c r="F4239" s="140">
        <v>1</v>
      </c>
      <c r="G4239" s="141">
        <f>'LISTA DE INSUMOS'!E23</f>
        <v>294701</v>
      </c>
      <c r="H4239" s="108">
        <f>1/150</f>
        <v>6.6666666666666671E-3</v>
      </c>
      <c r="I4239" s="141">
        <f>ROUND((F4239*G4239*H4239),0)</f>
        <v>1965</v>
      </c>
      <c r="J4239" s="47"/>
      <c r="K4239" s="143"/>
    </row>
    <row r="4240" spans="2:11" ht="24.9" customHeight="1" thickTop="1" x14ac:dyDescent="0.2">
      <c r="B4240" s="647" t="s">
        <v>1033</v>
      </c>
      <c r="C4240" s="108" t="str">
        <f>+'LISTA DE INSUMOS'!A758</f>
        <v>EQU002</v>
      </c>
      <c r="D4240" s="139" t="str">
        <f>+'LISTA DE INSUMOS'!B758</f>
        <v>Herramienta menor (% mano obra)</v>
      </c>
      <c r="E4240" s="108" t="str">
        <f>+'LISTA DE INSUMOS'!C758</f>
        <v>%MO</v>
      </c>
      <c r="F4240" s="140">
        <v>0.1</v>
      </c>
      <c r="G4240" s="141">
        <f>I4239</f>
        <v>1965</v>
      </c>
      <c r="H4240" s="108">
        <v>0</v>
      </c>
      <c r="I4240" s="141">
        <f>ROUND((F4240*G4240),0)</f>
        <v>197</v>
      </c>
      <c r="J4240" s="47"/>
      <c r="K4240" s="143"/>
    </row>
    <row r="4241" spans="2:11" ht="24.9" customHeight="1" thickBot="1" x14ac:dyDescent="0.25">
      <c r="B4241" s="704"/>
      <c r="C4241" s="145" t="str">
        <f>+'LISTA DE INSUMOS'!A762</f>
        <v>EQU006</v>
      </c>
      <c r="D4241" s="146" t="str">
        <f>+'LISTA DE INSUMOS'!B762</f>
        <v>Andamio (% mano obra)</v>
      </c>
      <c r="E4241" s="145" t="str">
        <f>+'LISTA DE INSUMOS'!C762</f>
        <v>%MO</v>
      </c>
      <c r="F4241" s="147">
        <v>0.1</v>
      </c>
      <c r="G4241" s="148">
        <f>I4239</f>
        <v>1965</v>
      </c>
      <c r="H4241" s="145">
        <v>0</v>
      </c>
      <c r="I4241" s="148">
        <f>ROUND((F4241*G4241),0)</f>
        <v>197</v>
      </c>
      <c r="J4241" s="47"/>
      <c r="K4241" s="143"/>
    </row>
    <row r="4242" spans="2:11" s="317" customFormat="1" ht="24.9" hidden="1" customHeight="1" x14ac:dyDescent="0.2">
      <c r="B4242" s="353" t="s">
        <v>2400</v>
      </c>
      <c r="C4242" s="319"/>
      <c r="D4242" s="320" t="s">
        <v>1477</v>
      </c>
      <c r="E4242" s="319" t="s">
        <v>1412</v>
      </c>
      <c r="F4242" s="321"/>
      <c r="G4242" s="312">
        <f>ROUND(SUM(I4243:I4250),0)</f>
        <v>68107</v>
      </c>
      <c r="H4242" s="322"/>
      <c r="I4242" s="312"/>
      <c r="J4242" s="313"/>
      <c r="K4242" s="323"/>
    </row>
    <row r="4243" spans="2:11" s="317" customFormat="1" ht="24.9" hidden="1" customHeight="1" x14ac:dyDescent="0.2">
      <c r="B4243" s="691" t="s">
        <v>1035</v>
      </c>
      <c r="C4243" s="322" t="str">
        <f>+'LISTA DE INSUMOS'!A326</f>
        <v>MAT303</v>
      </c>
      <c r="D4243" s="324" t="str">
        <f>+'LISTA DE INSUMOS'!B326</f>
        <v>Esterilla longitud promedio = 4 m</v>
      </c>
      <c r="E4243" s="322" t="str">
        <f>+'LISTA DE INSUMOS'!C326</f>
        <v>Un</v>
      </c>
      <c r="F4243" s="325">
        <f>1/(3*0.25)</f>
        <v>1.3333333333333333</v>
      </c>
      <c r="G4243" s="312">
        <f>'LISTA DE INSUMOS'!E326</f>
        <v>9180.6293252519972</v>
      </c>
      <c r="H4243" s="322">
        <v>1.03</v>
      </c>
      <c r="I4243" s="312">
        <f>ROUND((F4243*G4243*H4243),0)</f>
        <v>12608</v>
      </c>
      <c r="J4243" s="313"/>
      <c r="K4243" s="323"/>
    </row>
    <row r="4244" spans="2:11" s="317" customFormat="1" ht="24.9" hidden="1" customHeight="1" x14ac:dyDescent="0.2">
      <c r="B4244" s="691"/>
      <c r="C4244" s="322" t="str">
        <f>+'LISTA DE INSUMOS'!A196</f>
        <v>MAT156</v>
      </c>
      <c r="D4244" s="324" t="str">
        <f>+'LISTA DE INSUMOS'!B196</f>
        <v xml:space="preserve">Grapas galvanizada </v>
      </c>
      <c r="E4244" s="322" t="str">
        <f>+'LISTA DE INSUMOS'!C196</f>
        <v>Kg</v>
      </c>
      <c r="F4244" s="351">
        <v>3.0000000000000001E-3</v>
      </c>
      <c r="G4244" s="312">
        <f>'LISTA DE INSUMOS'!E196</f>
        <v>14878.859999999999</v>
      </c>
      <c r="H4244" s="322">
        <v>0</v>
      </c>
      <c r="I4244" s="312">
        <f>ROUND((F4244*G4244),0)</f>
        <v>45</v>
      </c>
      <c r="J4244" s="313"/>
      <c r="K4244" s="323"/>
    </row>
    <row r="4245" spans="2:11" s="317" customFormat="1" ht="24.9" hidden="1" customHeight="1" x14ac:dyDescent="0.2">
      <c r="B4245" s="691"/>
      <c r="C4245" s="322" t="str">
        <f>+'LISTA DE INSUMOS'!A51</f>
        <v>MAT020</v>
      </c>
      <c r="D4245" s="324" t="str">
        <f>+'LISTA DE INSUMOS'!B51</f>
        <v>Guadua basa longitud promedio = 5 m</v>
      </c>
      <c r="E4245" s="322" t="str">
        <f>+'LISTA DE INSUMOS'!C51</f>
        <v>Un</v>
      </c>
      <c r="F4245" s="325">
        <v>0.33</v>
      </c>
      <c r="G4245" s="312">
        <f>'LISTA DE INSUMOS'!E51</f>
        <v>8662.3499999999985</v>
      </c>
      <c r="H4245" s="322">
        <v>1.03</v>
      </c>
      <c r="I4245" s="312">
        <f>ROUND((F4245*G4245*H4245),0)</f>
        <v>2944</v>
      </c>
      <c r="J4245" s="313"/>
      <c r="K4245" s="323"/>
    </row>
    <row r="4246" spans="2:11" s="317" customFormat="1" ht="24.9" hidden="1" customHeight="1" x14ac:dyDescent="0.2">
      <c r="B4246" s="691"/>
      <c r="C4246" s="322" t="str">
        <f>+'LISTA DE INSUMOS'!A50</f>
        <v>MAT019</v>
      </c>
      <c r="D4246" s="324" t="str">
        <f>+'LISTA DE INSUMOS'!B50</f>
        <v>Listón sajo de 5 x 3 cm x 2,5 m (varilla)</v>
      </c>
      <c r="E4246" s="322" t="str">
        <f>+'LISTA DE INSUMOS'!C50</f>
        <v>M</v>
      </c>
      <c r="F4246" s="325">
        <v>4.5</v>
      </c>
      <c r="G4246" s="312">
        <f>'LISTA DE INSUMOS'!E50</f>
        <v>7285.5458999999992</v>
      </c>
      <c r="H4246" s="322">
        <v>1.03</v>
      </c>
      <c r="I4246" s="312">
        <f>ROUND((F4246*G4246*H4246),0)</f>
        <v>33769</v>
      </c>
      <c r="J4246" s="313"/>
      <c r="K4246" s="323"/>
    </row>
    <row r="4247" spans="2:11" s="317" customFormat="1" ht="24.9" hidden="1" customHeight="1" x14ac:dyDescent="0.2">
      <c r="B4247" s="691"/>
      <c r="C4247" s="322" t="str">
        <f>+'LISTA DE INSUMOS'!A52</f>
        <v>MAT021</v>
      </c>
      <c r="D4247" s="324" t="str">
        <f>+'LISTA DE INSUMOS'!B52</f>
        <v>Puntilla (promedio)</v>
      </c>
      <c r="E4247" s="322" t="str">
        <f>+'LISTA DE INSUMOS'!C52</f>
        <v>Lb</v>
      </c>
      <c r="F4247" s="325">
        <v>0.05</v>
      </c>
      <c r="G4247" s="312">
        <f>'LISTA DE INSUMOS'!E52</f>
        <v>6690.6972299999998</v>
      </c>
      <c r="H4247" s="322">
        <v>0</v>
      </c>
      <c r="I4247" s="312">
        <f>ROUND((F4247*G4247),0)</f>
        <v>335</v>
      </c>
      <c r="J4247" s="313"/>
      <c r="K4247" s="323"/>
    </row>
    <row r="4248" spans="2:11" s="317" customFormat="1" ht="24.9" hidden="1" customHeight="1" thickBot="1" x14ac:dyDescent="0.25">
      <c r="B4248" s="692"/>
      <c r="C4248" s="322" t="str">
        <f>+'LISTA DE INSUMOS'!A53</f>
        <v>MAT022</v>
      </c>
      <c r="D4248" s="324" t="str">
        <f>+'LISTA DE INSUMOS'!B53</f>
        <v>Alambre negro calibre 17</v>
      </c>
      <c r="E4248" s="322" t="str">
        <f>+'LISTA DE INSUMOS'!C53</f>
        <v>Kg</v>
      </c>
      <c r="F4248" s="325">
        <v>0.05</v>
      </c>
      <c r="G4248" s="312">
        <f>'LISTA DE INSUMOS'!E53</f>
        <v>7948.98</v>
      </c>
      <c r="H4248" s="322">
        <v>0</v>
      </c>
      <c r="I4248" s="312">
        <f>ROUND((F4248*G4248),0)</f>
        <v>397</v>
      </c>
      <c r="J4248" s="313"/>
      <c r="K4248" s="323"/>
    </row>
    <row r="4249" spans="2:11" s="317" customFormat="1" ht="24.9" hidden="1" customHeight="1" thickTop="1" thickBot="1" x14ac:dyDescent="0.25">
      <c r="B4249" s="372" t="s">
        <v>1034</v>
      </c>
      <c r="C4249" s="322" t="str">
        <f>+'LISTA DE INSUMOS'!A9</f>
        <v>MOB006</v>
      </c>
      <c r="D4249" s="324" t="str">
        <f>+'LISTA DE INSUMOS'!B9</f>
        <v>Cuadrilla A 1 Of + 4 Ay (jornal + prestaciones)</v>
      </c>
      <c r="E4249" s="322" t="str">
        <f>+'LISTA DE INSUMOS'!C9</f>
        <v>Día</v>
      </c>
      <c r="F4249" s="325">
        <v>1</v>
      </c>
      <c r="G4249" s="312">
        <f>'LISTA DE INSUMOS'!E9</f>
        <v>491167</v>
      </c>
      <c r="H4249" s="322">
        <f>1/30</f>
        <v>3.3333333333333333E-2</v>
      </c>
      <c r="I4249" s="312">
        <f>ROUND((F4249*G4249*H4249),0)</f>
        <v>16372</v>
      </c>
      <c r="J4249" s="313"/>
      <c r="K4249" s="323"/>
    </row>
    <row r="4250" spans="2:11" s="317" customFormat="1" ht="24.9" hidden="1" customHeight="1" thickTop="1" thickBot="1" x14ac:dyDescent="0.25">
      <c r="B4250" s="255" t="s">
        <v>1033</v>
      </c>
      <c r="C4250" s="327" t="str">
        <f>+'LISTA DE INSUMOS'!A758</f>
        <v>EQU002</v>
      </c>
      <c r="D4250" s="328" t="str">
        <f>+'LISTA DE INSUMOS'!B758</f>
        <v>Herramienta menor (% mano obra)</v>
      </c>
      <c r="E4250" s="329" t="str">
        <f>+'LISTA DE INSUMOS'!C758</f>
        <v>%MO</v>
      </c>
      <c r="F4250" s="330">
        <v>0.1</v>
      </c>
      <c r="G4250" s="331">
        <f>I4249</f>
        <v>16372</v>
      </c>
      <c r="H4250" s="329">
        <v>0</v>
      </c>
      <c r="I4250" s="331">
        <f>ROUND((F4250*G4250),0)</f>
        <v>1637</v>
      </c>
      <c r="J4250" s="313"/>
      <c r="K4250" s="323"/>
    </row>
    <row r="4251" spans="2:11" s="317" customFormat="1" ht="24.9" hidden="1" customHeight="1" x14ac:dyDescent="0.2">
      <c r="B4251" s="319" t="s">
        <v>2401</v>
      </c>
      <c r="C4251" s="319"/>
      <c r="D4251" s="320" t="s">
        <v>59</v>
      </c>
      <c r="E4251" s="319" t="s">
        <v>1435</v>
      </c>
      <c r="F4251" s="321"/>
      <c r="G4251" s="312">
        <f>ROUND(SUM(I4252:I4254),0)</f>
        <v>18419</v>
      </c>
      <c r="H4251" s="322"/>
      <c r="I4251" s="312"/>
      <c r="J4251" s="313"/>
      <c r="K4251" s="323"/>
    </row>
    <row r="4252" spans="2:11" s="317" customFormat="1" ht="24.9" hidden="1" customHeight="1" thickBot="1" x14ac:dyDescent="0.25">
      <c r="B4252" s="372" t="s">
        <v>1034</v>
      </c>
      <c r="C4252" s="322" t="str">
        <f>+'LISTA DE INSUMOS'!A18</f>
        <v>MOB015</v>
      </c>
      <c r="D4252" s="324" t="str">
        <f>+'LISTA DE INSUMOS'!B18</f>
        <v>Cuadrilla E 1 Of + 1 Ay (jornal + prestaciones)</v>
      </c>
      <c r="E4252" s="322" t="str">
        <f>+'LISTA DE INSUMOS'!C18</f>
        <v>Día</v>
      </c>
      <c r="F4252" s="325">
        <v>1</v>
      </c>
      <c r="G4252" s="312">
        <f>'LISTA DE INSUMOS'!E18</f>
        <v>245584</v>
      </c>
      <c r="H4252" s="322">
        <f>1/16</f>
        <v>6.25E-2</v>
      </c>
      <c r="I4252" s="312">
        <f>ROUND((F4252*G4252*H4252),0)</f>
        <v>15349</v>
      </c>
      <c r="J4252" s="313"/>
      <c r="K4252" s="323"/>
    </row>
    <row r="4253" spans="2:11" s="317" customFormat="1" ht="24.9" hidden="1" customHeight="1" thickTop="1" x14ac:dyDescent="0.2">
      <c r="B4253" s="652" t="s">
        <v>1033</v>
      </c>
      <c r="C4253" s="322" t="str">
        <f>+'LISTA DE INSUMOS'!A758</f>
        <v>EQU002</v>
      </c>
      <c r="D4253" s="324" t="str">
        <f>+'LISTA DE INSUMOS'!B758</f>
        <v>Herramienta menor (% mano obra)</v>
      </c>
      <c r="E4253" s="322" t="str">
        <f>+'LISTA DE INSUMOS'!C758</f>
        <v>%MO</v>
      </c>
      <c r="F4253" s="325">
        <v>0.1</v>
      </c>
      <c r="G4253" s="312">
        <f>I4252</f>
        <v>15349</v>
      </c>
      <c r="H4253" s="322">
        <v>0</v>
      </c>
      <c r="I4253" s="312">
        <f>ROUND((F4253*G4253),0)</f>
        <v>1535</v>
      </c>
      <c r="J4253" s="313"/>
      <c r="K4253" s="323"/>
    </row>
    <row r="4254" spans="2:11" s="317" customFormat="1" ht="30" hidden="1" customHeight="1" thickBot="1" x14ac:dyDescent="0.25">
      <c r="B4254" s="653"/>
      <c r="C4254" s="329" t="str">
        <f>+'LISTA DE INSUMOS'!A762</f>
        <v>EQU006</v>
      </c>
      <c r="D4254" s="328" t="str">
        <f>+'LISTA DE INSUMOS'!B762</f>
        <v>Andamio (% mano obra)</v>
      </c>
      <c r="E4254" s="329" t="str">
        <f>+'LISTA DE INSUMOS'!C762</f>
        <v>%MO</v>
      </c>
      <c r="F4254" s="330">
        <v>0.1</v>
      </c>
      <c r="G4254" s="331">
        <f>I4252</f>
        <v>15349</v>
      </c>
      <c r="H4254" s="329">
        <v>0</v>
      </c>
      <c r="I4254" s="331">
        <f>ROUND((F4254*G4254),0)</f>
        <v>1535</v>
      </c>
      <c r="J4254" s="313"/>
      <c r="K4254" s="323"/>
    </row>
    <row r="4255" spans="2:11" ht="24.9" customHeight="1" x14ac:dyDescent="0.2">
      <c r="B4255" s="193" t="s">
        <v>3007</v>
      </c>
      <c r="C4255" s="117"/>
      <c r="D4255" s="112" t="s">
        <v>1583</v>
      </c>
      <c r="E4255" s="117" t="s">
        <v>1412</v>
      </c>
      <c r="F4255" s="118"/>
      <c r="G4255" s="119">
        <f>ROUND(SUM(I4256:I4259),0)</f>
        <v>5320</v>
      </c>
      <c r="H4255" s="120"/>
      <c r="I4255" s="119"/>
      <c r="J4255" s="47"/>
      <c r="K4255" s="143"/>
    </row>
    <row r="4256" spans="2:11" ht="24.9" customHeight="1" x14ac:dyDescent="0.2">
      <c r="B4256" s="678" t="s">
        <v>1034</v>
      </c>
      <c r="C4256" s="108" t="str">
        <f>+'LISTA DE INSUMOS'!A18</f>
        <v>MOB015</v>
      </c>
      <c r="D4256" s="139" t="str">
        <f>+'LISTA DE INSUMOS'!B18</f>
        <v>Cuadrilla E 1 Of + 1 Ay (jornal + prestaciones)</v>
      </c>
      <c r="E4256" s="108" t="str">
        <f>+'LISTA DE INSUMOS'!C18</f>
        <v>Día</v>
      </c>
      <c r="F4256" s="140">
        <v>1</v>
      </c>
      <c r="G4256" s="141">
        <f>'LISTA DE INSUMOS'!E18</f>
        <v>245584</v>
      </c>
      <c r="H4256" s="108">
        <f>1/60</f>
        <v>1.6666666666666666E-2</v>
      </c>
      <c r="I4256" s="141">
        <f>ROUND((F4256*G4256*H4256),0)</f>
        <v>4093</v>
      </c>
      <c r="J4256" s="47"/>
      <c r="K4256" s="143"/>
    </row>
    <row r="4257" spans="2:11" ht="24.9" customHeight="1" thickBot="1" x14ac:dyDescent="0.25">
      <c r="B4257" s="705"/>
      <c r="C4257" s="108" t="str">
        <f>+'LISTA DE INSUMOS'!A14</f>
        <v>MOB011</v>
      </c>
      <c r="D4257" s="139" t="str">
        <f>+'LISTA DE INSUMOS'!B14</f>
        <v>Acarreo Horizontal (% mano obra)</v>
      </c>
      <c r="E4257" s="108" t="str">
        <f>+'LISTA DE INSUMOS'!C14</f>
        <v>% MO</v>
      </c>
      <c r="F4257" s="140">
        <v>0.1</v>
      </c>
      <c r="G4257" s="141">
        <f>I4256</f>
        <v>4093</v>
      </c>
      <c r="H4257" s="108">
        <v>0</v>
      </c>
      <c r="I4257" s="141">
        <f>ROUND((F4257*G4257),0)</f>
        <v>409</v>
      </c>
      <c r="J4257" s="47"/>
      <c r="K4257" s="143"/>
    </row>
    <row r="4258" spans="2:11" ht="24.9" customHeight="1" thickTop="1" x14ac:dyDescent="0.2">
      <c r="B4258" s="647" t="s">
        <v>1033</v>
      </c>
      <c r="C4258" s="108" t="str">
        <f>+'LISTA DE INSUMOS'!A758</f>
        <v>EQU002</v>
      </c>
      <c r="D4258" s="139" t="str">
        <f>+'LISTA DE INSUMOS'!B758</f>
        <v>Herramienta menor (% mano obra)</v>
      </c>
      <c r="E4258" s="108" t="str">
        <f>+'LISTA DE INSUMOS'!C758</f>
        <v>%MO</v>
      </c>
      <c r="F4258" s="140">
        <v>0.1</v>
      </c>
      <c r="G4258" s="141">
        <f>I4256</f>
        <v>4093</v>
      </c>
      <c r="H4258" s="108">
        <v>0</v>
      </c>
      <c r="I4258" s="141">
        <f>ROUND((F4258*G4258),0)</f>
        <v>409</v>
      </c>
      <c r="J4258" s="47"/>
      <c r="K4258" s="143"/>
    </row>
    <row r="4259" spans="2:11" ht="24.9" customHeight="1" thickBot="1" x14ac:dyDescent="0.25">
      <c r="B4259" s="704"/>
      <c r="C4259" s="145" t="str">
        <f>+'LISTA DE INSUMOS'!A762</f>
        <v>EQU006</v>
      </c>
      <c r="D4259" s="146" t="str">
        <f>+'LISTA DE INSUMOS'!B762</f>
        <v>Andamio (% mano obra)</v>
      </c>
      <c r="E4259" s="145" t="str">
        <f>+'LISTA DE INSUMOS'!C762</f>
        <v>%MO</v>
      </c>
      <c r="F4259" s="147">
        <v>0.1</v>
      </c>
      <c r="G4259" s="148">
        <f>I4256</f>
        <v>4093</v>
      </c>
      <c r="H4259" s="145">
        <v>0</v>
      </c>
      <c r="I4259" s="148">
        <f>ROUND((F4259*G4259),0)</f>
        <v>409</v>
      </c>
      <c r="J4259" s="47"/>
      <c r="K4259" s="143"/>
    </row>
    <row r="4260" spans="2:11" ht="24.9" customHeight="1" x14ac:dyDescent="0.2">
      <c r="B4260" s="193" t="s">
        <v>3008</v>
      </c>
      <c r="C4260" s="117"/>
      <c r="D4260" s="112" t="s">
        <v>1594</v>
      </c>
      <c r="E4260" s="117" t="s">
        <v>1412</v>
      </c>
      <c r="F4260" s="118"/>
      <c r="G4260" s="119">
        <f>ROUND(SUM(I4261:I4264),0)</f>
        <v>6385</v>
      </c>
      <c r="H4260" s="120"/>
      <c r="I4260" s="119"/>
      <c r="J4260" s="47"/>
      <c r="K4260" s="143"/>
    </row>
    <row r="4261" spans="2:11" ht="24.9" customHeight="1" x14ac:dyDescent="0.2">
      <c r="B4261" s="678" t="s">
        <v>1034</v>
      </c>
      <c r="C4261" s="108" t="str">
        <f>+'LISTA DE INSUMOS'!A18</f>
        <v>MOB015</v>
      </c>
      <c r="D4261" s="139" t="str">
        <f>+'LISTA DE INSUMOS'!B18</f>
        <v>Cuadrilla E 1 Of + 1 Ay (jornal + prestaciones)</v>
      </c>
      <c r="E4261" s="108" t="str">
        <f>+'LISTA DE INSUMOS'!C18</f>
        <v>Día</v>
      </c>
      <c r="F4261" s="140">
        <v>1</v>
      </c>
      <c r="G4261" s="141">
        <f>'LISTA DE INSUMOS'!E18</f>
        <v>245584</v>
      </c>
      <c r="H4261" s="108">
        <v>0.02</v>
      </c>
      <c r="I4261" s="141">
        <f>ROUND((F4261*G4261*H4261),0)</f>
        <v>4912</v>
      </c>
      <c r="J4261" s="47"/>
      <c r="K4261" s="143"/>
    </row>
    <row r="4262" spans="2:11" ht="24.9" customHeight="1" thickBot="1" x14ac:dyDescent="0.25">
      <c r="B4262" s="705"/>
      <c r="C4262" s="108" t="str">
        <f>+'LISTA DE INSUMOS'!A14</f>
        <v>MOB011</v>
      </c>
      <c r="D4262" s="139" t="str">
        <f>+'LISTA DE INSUMOS'!B14</f>
        <v>Acarreo Horizontal (% mano obra)</v>
      </c>
      <c r="E4262" s="108" t="str">
        <f>+'LISTA DE INSUMOS'!C14</f>
        <v>% MO</v>
      </c>
      <c r="F4262" s="140">
        <v>0.1</v>
      </c>
      <c r="G4262" s="141">
        <f>I4261</f>
        <v>4912</v>
      </c>
      <c r="H4262" s="108">
        <v>0</v>
      </c>
      <c r="I4262" s="141">
        <f>ROUND((F4262*G4262),0)</f>
        <v>491</v>
      </c>
      <c r="J4262" s="47"/>
      <c r="K4262" s="143"/>
    </row>
    <row r="4263" spans="2:11" ht="24.9" customHeight="1" thickTop="1" x14ac:dyDescent="0.2">
      <c r="B4263" s="647" t="s">
        <v>1033</v>
      </c>
      <c r="C4263" s="108" t="str">
        <f>+'LISTA DE INSUMOS'!A758</f>
        <v>EQU002</v>
      </c>
      <c r="D4263" s="139" t="str">
        <f>+'LISTA DE INSUMOS'!B758</f>
        <v>Herramienta menor (% mano obra)</v>
      </c>
      <c r="E4263" s="108" t="str">
        <f>+'LISTA DE INSUMOS'!C758</f>
        <v>%MO</v>
      </c>
      <c r="F4263" s="140">
        <v>0.1</v>
      </c>
      <c r="G4263" s="141">
        <f>I4261</f>
        <v>4912</v>
      </c>
      <c r="H4263" s="108">
        <v>0</v>
      </c>
      <c r="I4263" s="141">
        <f>ROUND((F4263*G4263),0)</f>
        <v>491</v>
      </c>
      <c r="J4263" s="47"/>
      <c r="K4263" s="143"/>
    </row>
    <row r="4264" spans="2:11" ht="24.9" customHeight="1" thickBot="1" x14ac:dyDescent="0.25">
      <c r="B4264" s="704"/>
      <c r="C4264" s="145" t="str">
        <f>+'LISTA DE INSUMOS'!A786</f>
        <v>EQU029</v>
      </c>
      <c r="D4264" s="146" t="str">
        <f>+'LISTA DE INSUMOS'!B786</f>
        <v>Manejo de tubería</v>
      </c>
      <c r="E4264" s="145" t="str">
        <f>+'LISTA DE INSUMOS'!C786</f>
        <v>%MO</v>
      </c>
      <c r="F4264" s="147">
        <v>0.1</v>
      </c>
      <c r="G4264" s="148">
        <f>I4261</f>
        <v>4912</v>
      </c>
      <c r="H4264" s="145">
        <v>0</v>
      </c>
      <c r="I4264" s="148">
        <f>ROUND((F4264*G4264),0)</f>
        <v>491</v>
      </c>
      <c r="J4264" s="47"/>
      <c r="K4264" s="143"/>
    </row>
    <row r="4265" spans="2:11" ht="24.9" customHeight="1" x14ac:dyDescent="0.2">
      <c r="B4265" s="193" t="s">
        <v>3009</v>
      </c>
      <c r="C4265" s="117"/>
      <c r="D4265" s="112" t="s">
        <v>1593</v>
      </c>
      <c r="E4265" s="117" t="s">
        <v>1412</v>
      </c>
      <c r="F4265" s="118"/>
      <c r="G4265" s="119">
        <f>ROUND(SUM(I4266:I4269),0)</f>
        <v>17191</v>
      </c>
      <c r="H4265" s="120"/>
      <c r="I4265" s="119"/>
      <c r="J4265" s="47"/>
      <c r="K4265" s="143"/>
    </row>
    <row r="4266" spans="2:11" ht="24.9" customHeight="1" x14ac:dyDescent="0.2">
      <c r="B4266" s="678" t="s">
        <v>1034</v>
      </c>
      <c r="C4266" s="108" t="str">
        <f>+'LISTA DE INSUMOS'!A18</f>
        <v>MOB015</v>
      </c>
      <c r="D4266" s="139" t="str">
        <f>+'LISTA DE INSUMOS'!B18</f>
        <v>Cuadrilla E 1 Of + 1 Ay (jornal + prestaciones)</v>
      </c>
      <c r="E4266" s="108" t="str">
        <f>+'LISTA DE INSUMOS'!C18</f>
        <v>Día</v>
      </c>
      <c r="F4266" s="140">
        <v>1</v>
      </c>
      <c r="G4266" s="141">
        <f>'LISTA DE INSUMOS'!E18</f>
        <v>245584</v>
      </c>
      <c r="H4266" s="108">
        <v>0.05</v>
      </c>
      <c r="I4266" s="141">
        <f>ROUND((F4266*G4266*H4266),0)</f>
        <v>12279</v>
      </c>
      <c r="J4266" s="47"/>
      <c r="K4266" s="143"/>
    </row>
    <row r="4267" spans="2:11" ht="24.9" customHeight="1" thickBot="1" x14ac:dyDescent="0.25">
      <c r="B4267" s="705"/>
      <c r="C4267" s="108" t="str">
        <f>+'LISTA DE INSUMOS'!A14</f>
        <v>MOB011</v>
      </c>
      <c r="D4267" s="139" t="str">
        <f>+'LISTA DE INSUMOS'!B14</f>
        <v>Acarreo Horizontal (% mano obra)</v>
      </c>
      <c r="E4267" s="108" t="str">
        <f>+'LISTA DE INSUMOS'!C14</f>
        <v>% MO</v>
      </c>
      <c r="F4267" s="140">
        <v>0.1</v>
      </c>
      <c r="G4267" s="141">
        <f>I4266</f>
        <v>12279</v>
      </c>
      <c r="H4267" s="108">
        <v>0</v>
      </c>
      <c r="I4267" s="141">
        <f>ROUND((F4267*G4267),0)</f>
        <v>1228</v>
      </c>
      <c r="J4267" s="47"/>
      <c r="K4267" s="143"/>
    </row>
    <row r="4268" spans="2:11" ht="24.9" customHeight="1" thickTop="1" x14ac:dyDescent="0.2">
      <c r="B4268" s="647" t="s">
        <v>1033</v>
      </c>
      <c r="C4268" s="108" t="str">
        <f>+'LISTA DE INSUMOS'!A758</f>
        <v>EQU002</v>
      </c>
      <c r="D4268" s="139" t="str">
        <f>+'LISTA DE INSUMOS'!B758</f>
        <v>Herramienta menor (% mano obra)</v>
      </c>
      <c r="E4268" s="108" t="str">
        <f>+'LISTA DE INSUMOS'!C758</f>
        <v>%MO</v>
      </c>
      <c r="F4268" s="140">
        <v>0.1</v>
      </c>
      <c r="G4268" s="141">
        <f>I4266</f>
        <v>12279</v>
      </c>
      <c r="H4268" s="108">
        <v>0</v>
      </c>
      <c r="I4268" s="141">
        <f>ROUND((F4268*G4268),0)</f>
        <v>1228</v>
      </c>
      <c r="J4268" s="47"/>
      <c r="K4268" s="143"/>
    </row>
    <row r="4269" spans="2:11" ht="24.9" customHeight="1" thickBot="1" x14ac:dyDescent="0.25">
      <c r="B4269" s="704"/>
      <c r="C4269" s="145" t="str">
        <f>+'LISTA DE INSUMOS'!A786</f>
        <v>EQU029</v>
      </c>
      <c r="D4269" s="146" t="str">
        <f>+'LISTA DE INSUMOS'!B786</f>
        <v>Manejo de tubería</v>
      </c>
      <c r="E4269" s="145" t="str">
        <f>+'LISTA DE INSUMOS'!C786</f>
        <v>%MO</v>
      </c>
      <c r="F4269" s="147">
        <v>0.2</v>
      </c>
      <c r="G4269" s="148">
        <f>I4266</f>
        <v>12279</v>
      </c>
      <c r="H4269" s="145">
        <v>0</v>
      </c>
      <c r="I4269" s="148">
        <f>ROUND((F4269*G4269),0)</f>
        <v>2456</v>
      </c>
      <c r="J4269" s="47"/>
      <c r="K4269" s="143"/>
    </row>
    <row r="4270" spans="2:11" ht="24.9" customHeight="1" x14ac:dyDescent="0.2">
      <c r="B4270" s="193" t="s">
        <v>3010</v>
      </c>
      <c r="C4270" s="117"/>
      <c r="D4270" s="112" t="s">
        <v>300</v>
      </c>
      <c r="E4270" s="117" t="s">
        <v>2585</v>
      </c>
      <c r="F4270" s="118"/>
      <c r="G4270" s="119">
        <f>ROUND(SUM(I4271:I4274),0)</f>
        <v>2944</v>
      </c>
      <c r="H4270" s="120"/>
      <c r="I4270" s="119"/>
      <c r="J4270" s="47"/>
      <c r="K4270" s="143"/>
    </row>
    <row r="4271" spans="2:11" ht="24.9" customHeight="1" thickBot="1" x14ac:dyDescent="0.25">
      <c r="B4271" s="191" t="s">
        <v>1310</v>
      </c>
      <c r="C4271" s="166" t="str">
        <f>+B417</f>
        <v>ITE068</v>
      </c>
      <c r="D4271" s="167" t="str">
        <f>+D417</f>
        <v>Transporte maquinaría pesada</v>
      </c>
      <c r="E4271" s="108" t="str">
        <f>+E417</f>
        <v>Km</v>
      </c>
      <c r="F4271" s="160">
        <v>30</v>
      </c>
      <c r="G4271" s="141">
        <f>G417</f>
        <v>26702</v>
      </c>
      <c r="H4271" s="168">
        <f>1/1000</f>
        <v>1E-3</v>
      </c>
      <c r="I4271" s="141">
        <f>ROUND((F4271*G4271*H4271),0)</f>
        <v>801</v>
      </c>
      <c r="J4271" s="47"/>
      <c r="K4271" s="143"/>
    </row>
    <row r="4272" spans="2:11" ht="24.9" customHeight="1" thickTop="1" thickBot="1" x14ac:dyDescent="0.25">
      <c r="B4272" s="250" t="s">
        <v>1034</v>
      </c>
      <c r="C4272" s="108" t="str">
        <f>+'LISTA DE INSUMOS'!A21</f>
        <v>MOB018</v>
      </c>
      <c r="D4272" s="139" t="str">
        <f>+'LISTA DE INSUMOS'!B21</f>
        <v>Cuadrilla H 4 Ay (jornal + prestaciones)</v>
      </c>
      <c r="E4272" s="108" t="str">
        <f>+'LISTA DE INSUMOS'!C21</f>
        <v>Día</v>
      </c>
      <c r="F4272" s="140">
        <v>1</v>
      </c>
      <c r="G4272" s="141">
        <f>'LISTA DE INSUMOS'!E21</f>
        <v>327444</v>
      </c>
      <c r="H4272" s="108">
        <f>1/175</f>
        <v>5.7142857142857143E-3</v>
      </c>
      <c r="I4272" s="141">
        <f>ROUND((F4272*G4272*H4272),0)</f>
        <v>1871</v>
      </c>
      <c r="J4272" s="47"/>
      <c r="K4272" s="143"/>
    </row>
    <row r="4273" spans="2:11" ht="24.9" customHeight="1" thickTop="1" x14ac:dyDescent="0.2">
      <c r="B4273" s="647" t="s">
        <v>1033</v>
      </c>
      <c r="C4273" s="108" t="str">
        <f>+'LISTA DE INSUMOS'!A758</f>
        <v>EQU002</v>
      </c>
      <c r="D4273" s="139" t="str">
        <f>+'LISTA DE INSUMOS'!B758</f>
        <v>Herramienta menor (% mano obra)</v>
      </c>
      <c r="E4273" s="108" t="str">
        <f>+'LISTA DE INSUMOS'!C758</f>
        <v>%MO</v>
      </c>
      <c r="F4273" s="140">
        <v>0.1</v>
      </c>
      <c r="G4273" s="141">
        <f>I4271</f>
        <v>801</v>
      </c>
      <c r="H4273" s="108">
        <v>0</v>
      </c>
      <c r="I4273" s="141">
        <f>ROUND((F4273*G4273),0)</f>
        <v>80</v>
      </c>
      <c r="J4273" s="47"/>
      <c r="K4273" s="143"/>
    </row>
    <row r="4274" spans="2:11" ht="24.9" customHeight="1" thickBot="1" x14ac:dyDescent="0.25">
      <c r="B4274" s="704"/>
      <c r="C4274" s="145" t="str">
        <f>+'LISTA DE INSUMOS'!A760</f>
        <v>EQU004</v>
      </c>
      <c r="D4274" s="146" t="str">
        <f>+'LISTA DE INSUMOS'!B760</f>
        <v>Buldózer D65-8</v>
      </c>
      <c r="E4274" s="145" t="str">
        <f>+'LISTA DE INSUMOS'!C760</f>
        <v>Hr</v>
      </c>
      <c r="F4274" s="147">
        <v>1</v>
      </c>
      <c r="G4274" s="148">
        <f>'LISTA DE INSUMOS'!E760</f>
        <v>191706.97354379998</v>
      </c>
      <c r="H4274" s="196">
        <f>1/1000</f>
        <v>1E-3</v>
      </c>
      <c r="I4274" s="148">
        <f>ROUND((F4274*G4274*H4274),0)</f>
        <v>192</v>
      </c>
      <c r="J4274" s="47"/>
      <c r="K4274" s="143"/>
    </row>
    <row r="4275" spans="2:11" ht="24.9" customHeight="1" x14ac:dyDescent="0.2">
      <c r="B4275" s="117" t="s">
        <v>3011</v>
      </c>
      <c r="C4275" s="117"/>
      <c r="D4275" s="112" t="s">
        <v>1478</v>
      </c>
      <c r="E4275" s="117" t="s">
        <v>1412</v>
      </c>
      <c r="F4275" s="118"/>
      <c r="G4275" s="119">
        <f>ROUND(SUM(I4276:I4282),0)</f>
        <v>64543</v>
      </c>
      <c r="H4275" s="120"/>
      <c r="I4275" s="119"/>
      <c r="J4275" s="47"/>
      <c r="K4275" s="143"/>
    </row>
    <row r="4276" spans="2:11" ht="24.9" customHeight="1" x14ac:dyDescent="0.2">
      <c r="B4276" s="672" t="s">
        <v>1035</v>
      </c>
      <c r="C4276" s="108" t="str">
        <f>+'LISTA DE INSUMOS'!A51</f>
        <v>MAT020</v>
      </c>
      <c r="D4276" s="139" t="str">
        <f>+'LISTA DE INSUMOS'!B51</f>
        <v>Guadua basa longitud promedio = 5 m</v>
      </c>
      <c r="E4276" s="108" t="str">
        <f>+'LISTA DE INSUMOS'!C51</f>
        <v>Un</v>
      </c>
      <c r="F4276" s="140">
        <v>0.5</v>
      </c>
      <c r="G4276" s="141">
        <f>'LISTA DE INSUMOS'!E51</f>
        <v>8662.3499999999985</v>
      </c>
      <c r="H4276" s="108">
        <v>1.03</v>
      </c>
      <c r="I4276" s="141">
        <f>ROUND((F4276*G4276*H4276),0)</f>
        <v>4461</v>
      </c>
      <c r="J4276" s="47"/>
      <c r="K4276" s="143"/>
    </row>
    <row r="4277" spans="2:11" ht="24.9" customHeight="1" x14ac:dyDescent="0.2">
      <c r="B4277" s="672"/>
      <c r="C4277" s="108" t="str">
        <f>+'LISTA DE INSUMOS'!A196</f>
        <v>MAT156</v>
      </c>
      <c r="D4277" s="139" t="str">
        <f>+'LISTA DE INSUMOS'!B196</f>
        <v xml:space="preserve">Grapas galvanizada </v>
      </c>
      <c r="E4277" s="108" t="str">
        <f>+'LISTA DE INSUMOS'!C196</f>
        <v>Kg</v>
      </c>
      <c r="F4277" s="140">
        <v>3.0000000000000001E-3</v>
      </c>
      <c r="G4277" s="141">
        <f>+'LISTA DE INSUMOS'!E196</f>
        <v>14878.859999999999</v>
      </c>
      <c r="H4277" s="108">
        <v>0</v>
      </c>
      <c r="I4277" s="141">
        <f>ROUND((F4277*G4277),0)</f>
        <v>45</v>
      </c>
      <c r="J4277" s="47"/>
      <c r="K4277" s="143"/>
    </row>
    <row r="4278" spans="2:11" ht="30" customHeight="1" x14ac:dyDescent="0.2">
      <c r="B4278" s="672"/>
      <c r="C4278" s="108" t="str">
        <f>+'LISTA DE INSUMOS'!A132</f>
        <v>MAT091</v>
      </c>
      <c r="D4278" s="139" t="str">
        <f>+'LISTA DE INSUMOS'!B132</f>
        <v>Varillón de sajo</v>
      </c>
      <c r="E4278" s="108" t="str">
        <f>+'LISTA DE INSUMOS'!C132</f>
        <v>M</v>
      </c>
      <c r="F4278" s="140">
        <v>3.1</v>
      </c>
      <c r="G4278" s="141">
        <f>'LISTA DE INSUMOS'!E132</f>
        <v>2979.6450687603597</v>
      </c>
      <c r="H4278" s="108">
        <v>1.03</v>
      </c>
      <c r="I4278" s="141">
        <f>ROUND((F4278*G4278*H4278),0)</f>
        <v>9514</v>
      </c>
      <c r="J4278" s="47"/>
      <c r="K4278" s="143"/>
    </row>
    <row r="4279" spans="2:11" ht="30" customHeight="1" x14ac:dyDescent="0.2">
      <c r="B4279" s="672"/>
      <c r="C4279" s="108" t="str">
        <f>+'LISTA DE INSUMOS'!A410</f>
        <v>MAT421</v>
      </c>
      <c r="D4279" s="139" t="str">
        <f>+'LISTA DE INSUMOS'!B410</f>
        <v>Teja Zinc Ondulada 3.058x0.80mt Cal 34 0.20mm</v>
      </c>
      <c r="E4279" s="108" t="str">
        <f>+'LISTA DE INSUMOS'!C410</f>
        <v>M2</v>
      </c>
      <c r="F4279" s="140">
        <v>2.4</v>
      </c>
      <c r="G4279" s="141">
        <f>'LISTA DE INSUMOS'!E410</f>
        <v>17557.802309849998</v>
      </c>
      <c r="H4279" s="108">
        <v>1.03</v>
      </c>
      <c r="I4279" s="141">
        <f>ROUND((F4279*G4279*H4279),0)</f>
        <v>43403</v>
      </c>
      <c r="J4279" s="47"/>
      <c r="K4279" s="143"/>
    </row>
    <row r="4280" spans="2:11" ht="30" customHeight="1" thickBot="1" x14ac:dyDescent="0.25">
      <c r="B4280" s="673"/>
      <c r="C4280" s="108" t="str">
        <f>+'LISTA DE INSUMOS'!A52</f>
        <v>MAT021</v>
      </c>
      <c r="D4280" s="139" t="str">
        <f>+'LISTA DE INSUMOS'!B52</f>
        <v>Puntilla (promedio)</v>
      </c>
      <c r="E4280" s="108" t="str">
        <f>+'LISTA DE INSUMOS'!C52</f>
        <v>Lb</v>
      </c>
      <c r="F4280" s="140">
        <v>0.16700000000000001</v>
      </c>
      <c r="G4280" s="141">
        <f>'LISTA DE INSUMOS'!E52</f>
        <v>6690.6972299999998</v>
      </c>
      <c r="H4280" s="108">
        <v>0</v>
      </c>
      <c r="I4280" s="141">
        <f>ROUND((F4280*G4280),0)</f>
        <v>1117</v>
      </c>
      <c r="J4280" s="47"/>
      <c r="K4280" s="143"/>
    </row>
    <row r="4281" spans="2:11" ht="24.9" customHeight="1" thickTop="1" thickBot="1" x14ac:dyDescent="0.25">
      <c r="B4281" s="250" t="s">
        <v>1034</v>
      </c>
      <c r="C4281" s="108" t="str">
        <f>+'LISTA DE INSUMOS'!A18</f>
        <v>MOB015</v>
      </c>
      <c r="D4281" s="139" t="str">
        <f>+'LISTA DE INSUMOS'!B18</f>
        <v>Cuadrilla E 1 Of + 1 Ay (jornal + prestaciones)</v>
      </c>
      <c r="E4281" s="108" t="str">
        <f>+'LISTA DE INSUMOS'!C18</f>
        <v>Día</v>
      </c>
      <c r="F4281" s="140">
        <v>1</v>
      </c>
      <c r="G4281" s="141">
        <f>'LISTA DE INSUMOS'!E18</f>
        <v>245584</v>
      </c>
      <c r="H4281" s="108">
        <f>1/45</f>
        <v>2.2222222222222223E-2</v>
      </c>
      <c r="I4281" s="141">
        <f>ROUND((F4281*G4281*H4281),0)</f>
        <v>5457</v>
      </c>
      <c r="J4281" s="47"/>
      <c r="K4281" s="143"/>
    </row>
    <row r="4282" spans="2:11" ht="24.9" customHeight="1" thickTop="1" thickBot="1" x14ac:dyDescent="0.25">
      <c r="B4282" s="150" t="s">
        <v>1033</v>
      </c>
      <c r="C4282" s="151" t="str">
        <f>+'LISTA DE INSUMOS'!A758</f>
        <v>EQU002</v>
      </c>
      <c r="D4282" s="146" t="str">
        <f>+'LISTA DE INSUMOS'!B758</f>
        <v>Herramienta menor (% mano obra)</v>
      </c>
      <c r="E4282" s="145" t="str">
        <f>+'LISTA DE INSUMOS'!C758</f>
        <v>%MO</v>
      </c>
      <c r="F4282" s="147">
        <v>0.1</v>
      </c>
      <c r="G4282" s="148">
        <f>I4281</f>
        <v>5457</v>
      </c>
      <c r="H4282" s="145">
        <v>0</v>
      </c>
      <c r="I4282" s="148">
        <f>ROUND((F4282*G4282),0)</f>
        <v>546</v>
      </c>
      <c r="J4282" s="47"/>
      <c r="K4282" s="143"/>
    </row>
    <row r="4283" spans="2:11" ht="24.9" customHeight="1" x14ac:dyDescent="0.2">
      <c r="B4283" s="117" t="s">
        <v>3012</v>
      </c>
      <c r="C4283" s="117"/>
      <c r="D4283" s="112" t="s">
        <v>1599</v>
      </c>
      <c r="E4283" s="117" t="s">
        <v>2585</v>
      </c>
      <c r="F4283" s="118"/>
      <c r="G4283" s="119">
        <f>ROUND(SUM(I4284:I4285),0)</f>
        <v>12280</v>
      </c>
      <c r="H4283" s="120"/>
      <c r="I4283" s="119"/>
      <c r="J4283" s="47"/>
      <c r="K4283" s="143"/>
    </row>
    <row r="4284" spans="2:11" ht="24.9" customHeight="1" thickBot="1" x14ac:dyDescent="0.25">
      <c r="B4284" s="250" t="s">
        <v>1034</v>
      </c>
      <c r="C4284" s="108" t="str">
        <f>+'LISTA DE INSUMOS'!A18</f>
        <v>MOB015</v>
      </c>
      <c r="D4284" s="139" t="str">
        <f>+'LISTA DE INSUMOS'!B18</f>
        <v>Cuadrilla E 1 Of + 1 Ay (jornal + prestaciones)</v>
      </c>
      <c r="E4284" s="108" t="str">
        <f>+'LISTA DE INSUMOS'!C18</f>
        <v>Día</v>
      </c>
      <c r="F4284" s="140">
        <v>1</v>
      </c>
      <c r="G4284" s="141">
        <f>'LISTA DE INSUMOS'!E18</f>
        <v>245584</v>
      </c>
      <c r="H4284" s="108">
        <f>1/24</f>
        <v>4.1666666666666664E-2</v>
      </c>
      <c r="I4284" s="141">
        <f>ROUND((F4284*G4284*H4284),0)</f>
        <v>10233</v>
      </c>
      <c r="J4284" s="47"/>
      <c r="K4284" s="143"/>
    </row>
    <row r="4285" spans="2:11" ht="24.9" customHeight="1" thickTop="1" thickBot="1" x14ac:dyDescent="0.25">
      <c r="B4285" s="150" t="s">
        <v>1033</v>
      </c>
      <c r="C4285" s="151" t="str">
        <f>+'LISTA DE INSUMOS'!A758</f>
        <v>EQU002</v>
      </c>
      <c r="D4285" s="146" t="str">
        <f>+'LISTA DE INSUMOS'!B758</f>
        <v>Herramienta menor (% mano obra)</v>
      </c>
      <c r="E4285" s="145" t="str">
        <f>+'LISTA DE INSUMOS'!C758</f>
        <v>%MO</v>
      </c>
      <c r="F4285" s="147">
        <v>0.2</v>
      </c>
      <c r="G4285" s="148">
        <f>I4284</f>
        <v>10233</v>
      </c>
      <c r="H4285" s="145">
        <v>0</v>
      </c>
      <c r="I4285" s="148">
        <f>ROUND((F4285*G4285),0)</f>
        <v>2047</v>
      </c>
      <c r="J4285" s="47"/>
      <c r="K4285" s="143"/>
    </row>
    <row r="4286" spans="2:11" ht="24.9" customHeight="1" x14ac:dyDescent="0.2">
      <c r="B4286" s="117" t="s">
        <v>3013</v>
      </c>
      <c r="C4286" s="117"/>
      <c r="D4286" s="112" t="s">
        <v>1573</v>
      </c>
      <c r="E4286" s="117" t="s">
        <v>2585</v>
      </c>
      <c r="F4286" s="118"/>
      <c r="G4286" s="119">
        <f>ROUND(SUM(I4287:I4289),0)</f>
        <v>26196</v>
      </c>
      <c r="H4286" s="120"/>
      <c r="I4286" s="119"/>
      <c r="J4286" s="47"/>
      <c r="K4286" s="143"/>
    </row>
    <row r="4287" spans="2:11" ht="24.9" customHeight="1" x14ac:dyDescent="0.2">
      <c r="B4287" s="712" t="s">
        <v>1034</v>
      </c>
      <c r="C4287" s="108" t="str">
        <f>+'LISTA DE INSUMOS'!A21</f>
        <v>MOB018</v>
      </c>
      <c r="D4287" s="139" t="str">
        <f>+'LISTA DE INSUMOS'!B21</f>
        <v>Cuadrilla H 4 Ay (jornal + prestaciones)</v>
      </c>
      <c r="E4287" s="108" t="str">
        <f>+'LISTA DE INSUMOS'!C21</f>
        <v>Día</v>
      </c>
      <c r="F4287" s="140">
        <v>1</v>
      </c>
      <c r="G4287" s="141">
        <f>'LISTA DE INSUMOS'!E21</f>
        <v>327444</v>
      </c>
      <c r="H4287" s="108">
        <f>1/15</f>
        <v>6.6666666666666666E-2</v>
      </c>
      <c r="I4287" s="141">
        <f>ROUND((F4287*G4287*H4287),0)</f>
        <v>21830</v>
      </c>
      <c r="J4287" s="47"/>
      <c r="K4287" s="143"/>
    </row>
    <row r="4288" spans="2:11" ht="24.9" customHeight="1" thickBot="1" x14ac:dyDescent="0.25">
      <c r="B4288" s="713"/>
      <c r="C4288" s="108" t="str">
        <f>+'LISTA DE INSUMOS'!A14</f>
        <v>MOB011</v>
      </c>
      <c r="D4288" s="139" t="str">
        <f>+'LISTA DE INSUMOS'!B14</f>
        <v>Acarreo Horizontal (% mano obra)</v>
      </c>
      <c r="E4288" s="108" t="str">
        <f>+'LISTA DE INSUMOS'!C14</f>
        <v>% MO</v>
      </c>
      <c r="F4288" s="140">
        <v>0.1</v>
      </c>
      <c r="G4288" s="141">
        <f>I4287</f>
        <v>21830</v>
      </c>
      <c r="H4288" s="108">
        <v>0</v>
      </c>
      <c r="I4288" s="141">
        <f>ROUND((F4288*G4288),0)</f>
        <v>2183</v>
      </c>
      <c r="J4288" s="47"/>
      <c r="K4288" s="143"/>
    </row>
    <row r="4289" spans="2:11" ht="24.9" customHeight="1" thickTop="1" thickBot="1" x14ac:dyDescent="0.25">
      <c r="B4289" s="150" t="s">
        <v>1033</v>
      </c>
      <c r="C4289" s="151" t="str">
        <f>+'LISTA DE INSUMOS'!A758</f>
        <v>EQU002</v>
      </c>
      <c r="D4289" s="146" t="str">
        <f>+'LISTA DE INSUMOS'!B758</f>
        <v>Herramienta menor (% mano obra)</v>
      </c>
      <c r="E4289" s="145" t="str">
        <f>+'LISTA DE INSUMOS'!C758</f>
        <v>%MO</v>
      </c>
      <c r="F4289" s="147">
        <v>0.1</v>
      </c>
      <c r="G4289" s="148">
        <f>I4287</f>
        <v>21830</v>
      </c>
      <c r="H4289" s="145">
        <v>0</v>
      </c>
      <c r="I4289" s="148">
        <f>ROUND((F4289*G4289),0)</f>
        <v>2183</v>
      </c>
      <c r="J4289" s="47"/>
      <c r="K4289" s="143"/>
    </row>
    <row r="4290" spans="2:11" ht="24.9" customHeight="1" x14ac:dyDescent="0.2">
      <c r="B4290" s="230" t="s">
        <v>1605</v>
      </c>
      <c r="C4290" s="117"/>
      <c r="D4290" s="112" t="s">
        <v>1716</v>
      </c>
      <c r="E4290" s="117" t="s">
        <v>2585</v>
      </c>
      <c r="F4290" s="118"/>
      <c r="G4290" s="119">
        <f>ROUND(SUM(I4291:I4293),0)</f>
        <v>3057</v>
      </c>
      <c r="H4290" s="120"/>
      <c r="I4290" s="119"/>
      <c r="J4290" s="47"/>
      <c r="K4290" s="143"/>
    </row>
    <row r="4291" spans="2:11" ht="24.9" customHeight="1" thickBot="1" x14ac:dyDescent="0.25">
      <c r="B4291" s="175" t="s">
        <v>1325</v>
      </c>
      <c r="C4291" s="108" t="str">
        <f>+'LISTA DE INSUMOS'!A42</f>
        <v>MAT013</v>
      </c>
      <c r="D4291" s="139" t="str">
        <f>+'LISTA DE INSUMOS'!B42</f>
        <v xml:space="preserve">Agua </v>
      </c>
      <c r="E4291" s="108" t="str">
        <f>+'LISTA DE INSUMOS'!C42</f>
        <v>Lt</v>
      </c>
      <c r="F4291" s="140">
        <v>5</v>
      </c>
      <c r="G4291" s="141">
        <f>'LISTA DE INSUMOS'!E42</f>
        <v>96.828790046226644</v>
      </c>
      <c r="H4291" s="108">
        <v>0</v>
      </c>
      <c r="I4291" s="141">
        <f>ROUND((F4291*G4291),0)</f>
        <v>484</v>
      </c>
      <c r="J4291" s="47"/>
      <c r="K4291" s="143"/>
    </row>
    <row r="4292" spans="2:11" ht="24.9" customHeight="1" thickTop="1" thickBot="1" x14ac:dyDescent="0.25">
      <c r="B4292" s="250" t="s">
        <v>1034</v>
      </c>
      <c r="C4292" s="108" t="str">
        <f>+'LISTA DE INSUMOS'!A7</f>
        <v>MOB004</v>
      </c>
      <c r="D4292" s="139" t="str">
        <f>+'LISTA DE INSUMOS'!B7</f>
        <v>Ayudante (jornal + prestaciones)</v>
      </c>
      <c r="E4292" s="108" t="str">
        <f>+'LISTA DE INSUMOS'!C7</f>
        <v>Dia</v>
      </c>
      <c r="F4292" s="140">
        <v>1</v>
      </c>
      <c r="G4292" s="141">
        <f>+'LISTA DE INSUMOS'!E7</f>
        <v>81861</v>
      </c>
      <c r="H4292" s="108">
        <f>1/35</f>
        <v>2.8571428571428571E-2</v>
      </c>
      <c r="I4292" s="141">
        <f>ROUND((F4292*G4292*H4292),0)</f>
        <v>2339</v>
      </c>
      <c r="J4292" s="47"/>
      <c r="K4292" s="143"/>
    </row>
    <row r="4293" spans="2:11" ht="24.9" customHeight="1" thickTop="1" thickBot="1" x14ac:dyDescent="0.25">
      <c r="B4293" s="150" t="s">
        <v>1033</v>
      </c>
      <c r="C4293" s="151" t="str">
        <f>+'LISTA DE INSUMOS'!A758</f>
        <v>EQU002</v>
      </c>
      <c r="D4293" s="146" t="str">
        <f>+'LISTA DE INSUMOS'!B758</f>
        <v>Herramienta menor (% mano obra)</v>
      </c>
      <c r="E4293" s="145" t="str">
        <f>+'LISTA DE INSUMOS'!C758</f>
        <v>%MO</v>
      </c>
      <c r="F4293" s="147">
        <v>0.1</v>
      </c>
      <c r="G4293" s="148">
        <f>I4292</f>
        <v>2339</v>
      </c>
      <c r="H4293" s="145">
        <v>0</v>
      </c>
      <c r="I4293" s="148">
        <f>ROUND((F4293*G4293),0)</f>
        <v>234</v>
      </c>
      <c r="J4293" s="47"/>
      <c r="K4293" s="143"/>
    </row>
    <row r="4294" spans="2:11" s="317" customFormat="1" ht="24.9" hidden="1" customHeight="1" x14ac:dyDescent="0.2">
      <c r="B4294" s="319" t="s">
        <v>2000</v>
      </c>
      <c r="C4294" s="319"/>
      <c r="D4294" s="320" t="s">
        <v>1706</v>
      </c>
      <c r="E4294" s="319" t="s">
        <v>2585</v>
      </c>
      <c r="F4294" s="321"/>
      <c r="G4294" s="312">
        <f>ROUND(SUM(I4295:I4297),0)</f>
        <v>2485</v>
      </c>
      <c r="H4294" s="322"/>
      <c r="I4294" s="312"/>
      <c r="J4294" s="313"/>
      <c r="K4294" s="323"/>
    </row>
    <row r="4295" spans="2:11" s="317" customFormat="1" ht="24.9" hidden="1" customHeight="1" thickBot="1" x14ac:dyDescent="0.25">
      <c r="B4295" s="347" t="s">
        <v>1325</v>
      </c>
      <c r="C4295" s="322" t="str">
        <f>+'LISTA DE INSUMOS'!A42</f>
        <v>MAT013</v>
      </c>
      <c r="D4295" s="324" t="str">
        <f>+'LISTA DE INSUMOS'!B42</f>
        <v xml:space="preserve">Agua </v>
      </c>
      <c r="E4295" s="322" t="str">
        <f>+'LISTA DE INSUMOS'!C42</f>
        <v>Lt</v>
      </c>
      <c r="F4295" s="321">
        <v>5</v>
      </c>
      <c r="G4295" s="312">
        <f>'LISTA DE INSUMOS'!E42</f>
        <v>96.828790046226644</v>
      </c>
      <c r="H4295" s="349">
        <v>0</v>
      </c>
      <c r="I4295" s="312">
        <f>ROUND((F4295*G4295),0)</f>
        <v>484</v>
      </c>
      <c r="J4295" s="313"/>
      <c r="K4295" s="323"/>
    </row>
    <row r="4296" spans="2:11" s="317" customFormat="1" ht="24.9" hidden="1" customHeight="1" thickTop="1" thickBot="1" x14ac:dyDescent="0.25">
      <c r="B4296" s="372" t="s">
        <v>1034</v>
      </c>
      <c r="C4296" s="322" t="str">
        <f>+'LISTA DE INSUMOS'!A7</f>
        <v>MOB004</v>
      </c>
      <c r="D4296" s="324" t="str">
        <f>+'LISTA DE INSUMOS'!B7</f>
        <v>Ayudante (jornal + prestaciones)</v>
      </c>
      <c r="E4296" s="322" t="str">
        <f>+'LISTA DE INSUMOS'!C7</f>
        <v>Dia</v>
      </c>
      <c r="F4296" s="321">
        <v>1</v>
      </c>
      <c r="G4296" s="312">
        <f>+'LISTA DE INSUMOS'!E7</f>
        <v>81861</v>
      </c>
      <c r="H4296" s="349">
        <f>1/45</f>
        <v>2.2222222222222223E-2</v>
      </c>
      <c r="I4296" s="312">
        <f>ROUND((F4296*G4296*H4296),0)</f>
        <v>1819</v>
      </c>
      <c r="J4296" s="313"/>
      <c r="K4296" s="323"/>
    </row>
    <row r="4297" spans="2:11" s="317" customFormat="1" ht="24.9" hidden="1" customHeight="1" thickTop="1" thickBot="1" x14ac:dyDescent="0.25">
      <c r="B4297" s="255" t="s">
        <v>1033</v>
      </c>
      <c r="C4297" s="327" t="str">
        <f>+'LISTA DE INSUMOS'!A758</f>
        <v>EQU002</v>
      </c>
      <c r="D4297" s="328" t="str">
        <f>+'LISTA DE INSUMOS'!B758</f>
        <v>Herramienta menor (% mano obra)</v>
      </c>
      <c r="E4297" s="329" t="str">
        <f>+'LISTA DE INSUMOS'!C758</f>
        <v>%MO</v>
      </c>
      <c r="F4297" s="362">
        <v>0.1</v>
      </c>
      <c r="G4297" s="331">
        <f>I4296</f>
        <v>1819</v>
      </c>
      <c r="H4297" s="350">
        <v>0</v>
      </c>
      <c r="I4297" s="331">
        <f>ROUND((F4297*G4297),0)</f>
        <v>182</v>
      </c>
      <c r="J4297" s="313"/>
      <c r="K4297" s="323"/>
    </row>
    <row r="4298" spans="2:11" s="317" customFormat="1" ht="24.9" hidden="1" customHeight="1" x14ac:dyDescent="0.2">
      <c r="B4298" s="319" t="s">
        <v>2019</v>
      </c>
      <c r="C4298" s="319"/>
      <c r="D4298" s="320" t="s">
        <v>1575</v>
      </c>
      <c r="E4298" s="319" t="s">
        <v>1435</v>
      </c>
      <c r="F4298" s="321"/>
      <c r="G4298" s="312">
        <f>ROUND(SUM(I4299:I4300),0)</f>
        <v>94140</v>
      </c>
      <c r="H4298" s="322"/>
      <c r="I4298" s="312"/>
      <c r="J4298" s="313"/>
      <c r="K4298" s="323"/>
    </row>
    <row r="4299" spans="2:11" s="317" customFormat="1" ht="24.9" hidden="1" customHeight="1" thickBot="1" x14ac:dyDescent="0.25">
      <c r="B4299" s="372" t="s">
        <v>1034</v>
      </c>
      <c r="C4299" s="322" t="str">
        <f>+'LISTA DE INSUMOS'!A7</f>
        <v>MOB004</v>
      </c>
      <c r="D4299" s="324" t="str">
        <f>+'LISTA DE INSUMOS'!B7</f>
        <v>Ayudante (jornal + prestaciones)</v>
      </c>
      <c r="E4299" s="322" t="str">
        <f>+'LISTA DE INSUMOS'!C7</f>
        <v>Dia</v>
      </c>
      <c r="F4299" s="325">
        <v>1</v>
      </c>
      <c r="G4299" s="312">
        <f>+'LISTA DE INSUMOS'!E7</f>
        <v>81861</v>
      </c>
      <c r="H4299" s="322">
        <f>1/1</f>
        <v>1</v>
      </c>
      <c r="I4299" s="312">
        <f>ROUND((F4299*G4299*H4299),0)</f>
        <v>81861</v>
      </c>
      <c r="J4299" s="313"/>
      <c r="K4299" s="323"/>
    </row>
    <row r="4300" spans="2:11" s="317" customFormat="1" ht="24.9" hidden="1" customHeight="1" thickTop="1" thickBot="1" x14ac:dyDescent="0.25">
      <c r="B4300" s="255" t="s">
        <v>1033</v>
      </c>
      <c r="C4300" s="327" t="str">
        <f>+'LISTA DE INSUMOS'!A758</f>
        <v>EQU002</v>
      </c>
      <c r="D4300" s="328" t="str">
        <f>+'LISTA DE INSUMOS'!B758</f>
        <v>Herramienta menor (% mano obra)</v>
      </c>
      <c r="E4300" s="329" t="str">
        <f>+'LISTA DE INSUMOS'!C758</f>
        <v>%MO</v>
      </c>
      <c r="F4300" s="330">
        <v>0.15</v>
      </c>
      <c r="G4300" s="331">
        <f>I4299</f>
        <v>81861</v>
      </c>
      <c r="H4300" s="329">
        <v>0</v>
      </c>
      <c r="I4300" s="331">
        <f>ROUND((F4300*G4300),0)</f>
        <v>12279</v>
      </c>
      <c r="J4300" s="313"/>
      <c r="K4300" s="323"/>
    </row>
    <row r="4301" spans="2:11" ht="24.9" customHeight="1" x14ac:dyDescent="0.2">
      <c r="B4301" s="117" t="s">
        <v>3014</v>
      </c>
      <c r="C4301" s="117"/>
      <c r="D4301" s="112" t="s">
        <v>1903</v>
      </c>
      <c r="E4301" s="117" t="s">
        <v>2586</v>
      </c>
      <c r="F4301" s="118"/>
      <c r="G4301" s="119">
        <f>ROUND(SUM(I4302:I4304),0)</f>
        <v>26196</v>
      </c>
      <c r="H4301" s="120"/>
      <c r="I4301" s="119"/>
      <c r="J4301" s="47"/>
      <c r="K4301" s="143"/>
    </row>
    <row r="4302" spans="2:11" ht="24.9" customHeight="1" x14ac:dyDescent="0.2">
      <c r="B4302" s="650" t="s">
        <v>1034</v>
      </c>
      <c r="C4302" s="108" t="str">
        <f>+'LISTA DE INSUMOS'!A21</f>
        <v>MOB018</v>
      </c>
      <c r="D4302" s="139" t="str">
        <f>+'LISTA DE INSUMOS'!B21</f>
        <v>Cuadrilla H 4 Ay (jornal + prestaciones)</v>
      </c>
      <c r="E4302" s="108" t="str">
        <f>+'LISTA DE INSUMOS'!C21</f>
        <v>Día</v>
      </c>
      <c r="F4302" s="176">
        <v>1</v>
      </c>
      <c r="G4302" s="141">
        <f>'LISTA DE INSUMOS'!E21</f>
        <v>327444</v>
      </c>
      <c r="H4302" s="205">
        <f>1/15</f>
        <v>6.6666666666666666E-2</v>
      </c>
      <c r="I4302" s="141">
        <f>ROUND((F4302*G4302*H4302),0)</f>
        <v>21830</v>
      </c>
      <c r="J4302" s="47"/>
      <c r="K4302" s="143"/>
    </row>
    <row r="4303" spans="2:11" ht="24.9" customHeight="1" thickBot="1" x14ac:dyDescent="0.25">
      <c r="B4303" s="664"/>
      <c r="C4303" s="108" t="str">
        <f>+'LISTA DE INSUMOS'!A14</f>
        <v>MOB011</v>
      </c>
      <c r="D4303" s="139" t="str">
        <f>+'LISTA DE INSUMOS'!B14</f>
        <v>Acarreo Horizontal (% mano obra)</v>
      </c>
      <c r="E4303" s="108" t="str">
        <f>+'LISTA DE INSUMOS'!C14</f>
        <v>% MO</v>
      </c>
      <c r="F4303" s="176">
        <v>0.1</v>
      </c>
      <c r="G4303" s="141">
        <f>I4302</f>
        <v>21830</v>
      </c>
      <c r="H4303" s="205">
        <v>0</v>
      </c>
      <c r="I4303" s="141">
        <f>ROUND((F4303*G4303),0)</f>
        <v>2183</v>
      </c>
      <c r="J4303" s="47"/>
      <c r="K4303" s="143"/>
    </row>
    <row r="4304" spans="2:11" ht="24.9" customHeight="1" thickTop="1" thickBot="1" x14ac:dyDescent="0.25">
      <c r="B4304" s="150" t="s">
        <v>1033</v>
      </c>
      <c r="C4304" s="151" t="str">
        <f>+'LISTA DE INSUMOS'!A758</f>
        <v>EQU002</v>
      </c>
      <c r="D4304" s="146" t="str">
        <f>+'LISTA DE INSUMOS'!B758</f>
        <v>Herramienta menor (% mano obra)</v>
      </c>
      <c r="E4304" s="145" t="str">
        <f>+'LISTA DE INSUMOS'!C758</f>
        <v>%MO</v>
      </c>
      <c r="F4304" s="229">
        <v>0.1</v>
      </c>
      <c r="G4304" s="148">
        <f>I4302</f>
        <v>21830</v>
      </c>
      <c r="H4304" s="206">
        <v>0</v>
      </c>
      <c r="I4304" s="148">
        <f>ROUND((F4304*G4304),0)</f>
        <v>2183</v>
      </c>
      <c r="J4304" s="47"/>
      <c r="K4304" s="143"/>
    </row>
    <row r="4305" spans="2:11" ht="24.9" customHeight="1" x14ac:dyDescent="0.2">
      <c r="B4305" s="230" t="s">
        <v>3015</v>
      </c>
      <c r="C4305" s="117"/>
      <c r="D4305" s="112" t="s">
        <v>194</v>
      </c>
      <c r="E4305" s="117" t="s">
        <v>1412</v>
      </c>
      <c r="F4305" s="118"/>
      <c r="G4305" s="119">
        <f>ROUND(SUM(I4306:I4308),0)</f>
        <v>36897</v>
      </c>
      <c r="H4305" s="120"/>
      <c r="I4305" s="119"/>
      <c r="J4305" s="47"/>
      <c r="K4305" s="143"/>
    </row>
    <row r="4306" spans="2:11" ht="24.9" customHeight="1" thickBot="1" x14ac:dyDescent="0.25">
      <c r="B4306" s="175" t="s">
        <v>1325</v>
      </c>
      <c r="C4306" s="108" t="str">
        <f>+'LISTA DE INSUMOS'!A173</f>
        <v>MAT127</v>
      </c>
      <c r="D4306" s="139" t="str">
        <f>+'LISTA DE INSUMOS'!B173</f>
        <v>Pirlán de bronce</v>
      </c>
      <c r="E4306" s="108" t="str">
        <f>+'LISTA DE INSUMOS'!C173</f>
        <v>M</v>
      </c>
      <c r="F4306" s="140">
        <v>1</v>
      </c>
      <c r="G4306" s="141">
        <f>'LISTA DE INSUMOS'!E173</f>
        <v>31278.748354919993</v>
      </c>
      <c r="H4306" s="108">
        <v>0</v>
      </c>
      <c r="I4306" s="141">
        <f>ROUND((F4306*G4306),0)</f>
        <v>31279</v>
      </c>
      <c r="J4306" s="47"/>
      <c r="K4306" s="143"/>
    </row>
    <row r="4307" spans="2:11" ht="24.9" customHeight="1" thickTop="1" thickBot="1" x14ac:dyDescent="0.25">
      <c r="B4307" s="191" t="s">
        <v>1310</v>
      </c>
      <c r="C4307" s="108" t="str">
        <f>+B574</f>
        <v>ITE96</v>
      </c>
      <c r="D4307" s="139" t="str">
        <f>+D574</f>
        <v>Mortero 1:3 (producción)</v>
      </c>
      <c r="E4307" s="108" t="str">
        <f>+E574</f>
        <v>M3</v>
      </c>
      <c r="F4307" s="152">
        <v>2.5000000000000001E-3</v>
      </c>
      <c r="G4307" s="141">
        <f>G574</f>
        <v>580906</v>
      </c>
      <c r="H4307" s="108">
        <v>1.05</v>
      </c>
      <c r="I4307" s="141">
        <f>ROUND((F4307*G4307*H4307),0)</f>
        <v>1525</v>
      </c>
      <c r="J4307" s="47"/>
      <c r="K4307" s="143"/>
    </row>
    <row r="4308" spans="2:11" ht="24.9" customHeight="1" thickTop="1" thickBot="1" x14ac:dyDescent="0.25">
      <c r="B4308" s="153" t="s">
        <v>1034</v>
      </c>
      <c r="C4308" s="145" t="str">
        <f>+'LISTA DE INSUMOS'!A5</f>
        <v>MOB002</v>
      </c>
      <c r="D4308" s="146" t="str">
        <f>+'LISTA DE INSUMOS'!B5</f>
        <v>Oficial (jornal + prestaciones)</v>
      </c>
      <c r="E4308" s="145" t="str">
        <f>+'LISTA DE INSUMOS'!C5</f>
        <v>Día</v>
      </c>
      <c r="F4308" s="147">
        <v>1</v>
      </c>
      <c r="G4308" s="148">
        <f>'LISTA DE INSUMOS'!E5</f>
        <v>163723</v>
      </c>
      <c r="H4308" s="145">
        <f>1/40</f>
        <v>2.5000000000000001E-2</v>
      </c>
      <c r="I4308" s="148">
        <f>ROUND((F4308*G4308*H4308),0)</f>
        <v>4093</v>
      </c>
      <c r="J4308" s="47"/>
      <c r="K4308" s="143"/>
    </row>
    <row r="4309" spans="2:11" s="317" customFormat="1" ht="24.9" hidden="1" customHeight="1" x14ac:dyDescent="0.2">
      <c r="B4309" s="319" t="s">
        <v>2023</v>
      </c>
      <c r="C4309" s="319"/>
      <c r="D4309" s="320" t="s">
        <v>2458</v>
      </c>
      <c r="E4309" s="319" t="s">
        <v>1412</v>
      </c>
      <c r="F4309" s="332"/>
      <c r="G4309" s="312">
        <f>ROUND(SUM(I4310:I4316),0)</f>
        <v>4656</v>
      </c>
      <c r="H4309" s="322"/>
      <c r="I4309" s="312"/>
      <c r="J4309" s="313"/>
      <c r="K4309" s="323"/>
    </row>
    <row r="4310" spans="2:11" s="317" customFormat="1" ht="24.9" hidden="1" customHeight="1" x14ac:dyDescent="0.2">
      <c r="B4310" s="691" t="s">
        <v>1035</v>
      </c>
      <c r="C4310" s="322" t="str">
        <f>+'LISTA DE INSUMOS'!A160</f>
        <v>MAT115</v>
      </c>
      <c r="D4310" s="324" t="str">
        <f>+'LISTA DE INSUMOS'!B160</f>
        <v>Plántula con especies diferentes, altura promedio 0.25 VIVERO REGISTRADO</v>
      </c>
      <c r="E4310" s="322" t="str">
        <f>+'LISTA DE INSUMOS'!C160</f>
        <v>Un</v>
      </c>
      <c r="F4310" s="321">
        <v>0.4</v>
      </c>
      <c r="G4310" s="312">
        <f>+'LISTA DE INSUMOS'!E160</f>
        <v>2248.3173857759998</v>
      </c>
      <c r="H4310" s="349">
        <v>0</v>
      </c>
      <c r="I4310" s="312">
        <f>ROUND((F4310*G4310),0)</f>
        <v>899</v>
      </c>
      <c r="J4310" s="313"/>
      <c r="K4310" s="323"/>
    </row>
    <row r="4311" spans="2:11" s="317" customFormat="1" ht="24.9" hidden="1" customHeight="1" x14ac:dyDescent="0.2">
      <c r="B4311" s="691"/>
      <c r="C4311" s="322" t="str">
        <f>+'LISTA DE INSUMOS'!A207</f>
        <v>MAT167</v>
      </c>
      <c r="D4311" s="324" t="str">
        <f>+'LISTA DE INSUMOS'!B207</f>
        <v>Fertilizante Tipo DAP,10-30-10, Triple Quince</v>
      </c>
      <c r="E4311" s="322" t="str">
        <f>+'LISTA DE INSUMOS'!C207</f>
        <v>Kg</v>
      </c>
      <c r="F4311" s="361">
        <v>0.01</v>
      </c>
      <c r="G4311" s="312">
        <f>'LISTA DE INSUMOS'!E207</f>
        <v>5300.1352799999995</v>
      </c>
      <c r="H4311" s="349">
        <v>1.03</v>
      </c>
      <c r="I4311" s="312">
        <f>ROUND((F4311*G4311*H4311),0)</f>
        <v>55</v>
      </c>
      <c r="J4311" s="313"/>
      <c r="K4311" s="323"/>
    </row>
    <row r="4312" spans="2:11" s="317" customFormat="1" ht="24.9" hidden="1" customHeight="1" x14ac:dyDescent="0.2">
      <c r="B4312" s="691"/>
      <c r="C4312" s="322" t="str">
        <f>+'LISTA DE INSUMOS'!A266</f>
        <v>MAT236</v>
      </c>
      <c r="D4312" s="324" t="str">
        <f>+'LISTA DE INSUMOS'!B266</f>
        <v>Calfos</v>
      </c>
      <c r="E4312" s="322" t="str">
        <f>+'LISTA DE INSUMOS'!C266</f>
        <v>Kg</v>
      </c>
      <c r="F4312" s="361">
        <v>0.01</v>
      </c>
      <c r="G4312" s="312">
        <f>'LISTA DE INSUMOS'!E266</f>
        <v>672.63274819540788</v>
      </c>
      <c r="H4312" s="349">
        <v>1.03</v>
      </c>
      <c r="I4312" s="312">
        <f>ROUND((F4312*G4312*H4312),0)</f>
        <v>7</v>
      </c>
      <c r="J4312" s="313"/>
      <c r="K4312" s="323"/>
    </row>
    <row r="4313" spans="2:11" s="317" customFormat="1" ht="24.9" hidden="1" customHeight="1" thickBot="1" x14ac:dyDescent="0.25">
      <c r="B4313" s="692"/>
      <c r="C4313" s="322" t="str">
        <f>+'LISTA DE INSUMOS'!A272</f>
        <v>MAT242</v>
      </c>
      <c r="D4313" s="324" t="str">
        <f>+'LISTA DE INSUMOS'!B272</f>
        <v>Insecticida</v>
      </c>
      <c r="E4313" s="322" t="str">
        <f>+'LISTA DE INSUMOS'!C272</f>
        <v>Kg</v>
      </c>
      <c r="F4313" s="361">
        <v>2E-3</v>
      </c>
      <c r="G4313" s="312">
        <f>'LISTA DE INSUMOS'!E272</f>
        <v>47590.798034999993</v>
      </c>
      <c r="H4313" s="349">
        <v>1.03</v>
      </c>
      <c r="I4313" s="312">
        <f>ROUND((F4313*G4313*H4313),0)</f>
        <v>98</v>
      </c>
      <c r="J4313" s="313"/>
      <c r="K4313" s="323"/>
    </row>
    <row r="4314" spans="2:11" s="317" customFormat="1" ht="24.9" hidden="1" customHeight="1" thickTop="1" thickBot="1" x14ac:dyDescent="0.25">
      <c r="B4314" s="372" t="s">
        <v>1034</v>
      </c>
      <c r="C4314" s="322" t="str">
        <f>+'LISTA DE INSUMOS'!A7</f>
        <v>MOB004</v>
      </c>
      <c r="D4314" s="324" t="str">
        <f>+'LISTA DE INSUMOS'!B7</f>
        <v>Ayudante (jornal + prestaciones)</v>
      </c>
      <c r="E4314" s="322" t="str">
        <f>+'LISTA DE INSUMOS'!C7</f>
        <v>Dia</v>
      </c>
      <c r="F4314" s="321">
        <v>1</v>
      </c>
      <c r="G4314" s="312">
        <f>+'LISTA DE INSUMOS'!E7</f>
        <v>81861</v>
      </c>
      <c r="H4314" s="349">
        <f>1/25</f>
        <v>0.04</v>
      </c>
      <c r="I4314" s="312">
        <f>ROUND((F4314*G4314*H4314),0)</f>
        <v>3274</v>
      </c>
      <c r="J4314" s="313"/>
      <c r="K4314" s="323"/>
    </row>
    <row r="4315" spans="2:11" s="317" customFormat="1" ht="24.9" hidden="1" customHeight="1" thickTop="1" x14ac:dyDescent="0.2">
      <c r="B4315" s="652" t="s">
        <v>1033</v>
      </c>
      <c r="C4315" s="322" t="str">
        <f>+'LISTA DE INSUMOS'!A758</f>
        <v>EQU002</v>
      </c>
      <c r="D4315" s="324" t="str">
        <f>+'LISTA DE INSUMOS'!B758</f>
        <v>Herramienta menor (% mano obra)</v>
      </c>
      <c r="E4315" s="322" t="str">
        <f>+'LISTA DE INSUMOS'!C758</f>
        <v>%MO</v>
      </c>
      <c r="F4315" s="321">
        <v>0.05</v>
      </c>
      <c r="G4315" s="312">
        <f>I4314</f>
        <v>3274</v>
      </c>
      <c r="H4315" s="349">
        <v>0</v>
      </c>
      <c r="I4315" s="312">
        <f>ROUND((F4315*G4315),0)</f>
        <v>164</v>
      </c>
      <c r="J4315" s="313"/>
      <c r="K4315" s="323"/>
    </row>
    <row r="4316" spans="2:11" s="317" customFormat="1" ht="24.9" hidden="1" customHeight="1" thickBot="1" x14ac:dyDescent="0.25">
      <c r="B4316" s="653"/>
      <c r="C4316" s="329" t="str">
        <f>+'LISTA DE INSUMOS'!A808</f>
        <v>EQU053</v>
      </c>
      <c r="D4316" s="328" t="str">
        <f>+'LISTA DE INSUMOS'!B808</f>
        <v>Transporte de materiales</v>
      </c>
      <c r="E4316" s="329" t="str">
        <f>+'LISTA DE INSUMOS'!C808</f>
        <v>%Mat.</v>
      </c>
      <c r="F4316" s="362">
        <v>0.15</v>
      </c>
      <c r="G4316" s="331">
        <f>SUM(I4310:I4313)</f>
        <v>1059</v>
      </c>
      <c r="H4316" s="350">
        <v>0</v>
      </c>
      <c r="I4316" s="331">
        <f>ROUND((F4316*G4316),0)</f>
        <v>159</v>
      </c>
      <c r="J4316" s="313"/>
      <c r="K4316" s="323"/>
    </row>
    <row r="4317" spans="2:11" s="317" customFormat="1" ht="24.9" hidden="1" customHeight="1" x14ac:dyDescent="0.2">
      <c r="B4317" s="353" t="s">
        <v>1876</v>
      </c>
      <c r="C4317" s="319"/>
      <c r="D4317" s="320" t="s">
        <v>184</v>
      </c>
      <c r="E4317" s="319" t="s">
        <v>1412</v>
      </c>
      <c r="F4317" s="332"/>
      <c r="G4317" s="312">
        <f>ROUND(SUM(I4318:I4324),0)</f>
        <v>4383</v>
      </c>
      <c r="H4317" s="322"/>
      <c r="I4317" s="312"/>
      <c r="J4317" s="313"/>
      <c r="K4317" s="323"/>
    </row>
    <row r="4318" spans="2:11" s="317" customFormat="1" ht="24.9" hidden="1" customHeight="1" x14ac:dyDescent="0.2">
      <c r="B4318" s="691" t="s">
        <v>1035</v>
      </c>
      <c r="C4318" s="338" t="str">
        <f>+'LISTA DE INSUMOS'!A160</f>
        <v>MAT115</v>
      </c>
      <c r="D4318" s="368" t="str">
        <f>+'LISTA DE INSUMOS'!B160</f>
        <v>Plántula con especies diferentes, altura promedio 0.25 VIVERO REGISTRADO</v>
      </c>
      <c r="E4318" s="338" t="str">
        <f>+'LISTA DE INSUMOS'!C160</f>
        <v>Un</v>
      </c>
      <c r="F4318" s="361">
        <v>0.3</v>
      </c>
      <c r="G4318" s="312">
        <f>'LISTA DE INSUMOS'!E160</f>
        <v>2248.3173857759998</v>
      </c>
      <c r="H4318" s="349">
        <v>0</v>
      </c>
      <c r="I4318" s="312">
        <f>ROUND((F4318*G4318),0)</f>
        <v>674</v>
      </c>
      <c r="J4318" s="313"/>
      <c r="K4318" s="323"/>
    </row>
    <row r="4319" spans="2:11" s="317" customFormat="1" ht="24.9" hidden="1" customHeight="1" x14ac:dyDescent="0.2">
      <c r="B4319" s="691"/>
      <c r="C4319" s="322" t="str">
        <f>+'LISTA DE INSUMOS'!A207</f>
        <v>MAT167</v>
      </c>
      <c r="D4319" s="324" t="str">
        <f>+'LISTA DE INSUMOS'!B207</f>
        <v>Fertilizante Tipo DAP,10-30-10, Triple Quince</v>
      </c>
      <c r="E4319" s="322" t="str">
        <f>+'LISTA DE INSUMOS'!C207</f>
        <v>Kg</v>
      </c>
      <c r="F4319" s="361">
        <v>8.0000000000000002E-3</v>
      </c>
      <c r="G4319" s="312">
        <f>'LISTA DE INSUMOS'!E207</f>
        <v>5300.1352799999995</v>
      </c>
      <c r="H4319" s="349">
        <v>1.03</v>
      </c>
      <c r="I4319" s="312">
        <f>ROUND((F4319*G4319*H4319),0)</f>
        <v>44</v>
      </c>
      <c r="J4319" s="313"/>
      <c r="K4319" s="323"/>
    </row>
    <row r="4320" spans="2:11" s="317" customFormat="1" ht="24.9" hidden="1" customHeight="1" x14ac:dyDescent="0.2">
      <c r="B4320" s="691"/>
      <c r="C4320" s="322" t="str">
        <f>+'LISTA DE INSUMOS'!A266</f>
        <v>MAT236</v>
      </c>
      <c r="D4320" s="324" t="str">
        <f>+'LISTA DE INSUMOS'!B266</f>
        <v>Calfos</v>
      </c>
      <c r="E4320" s="322" t="str">
        <f>+'LISTA DE INSUMOS'!C266</f>
        <v>Kg</v>
      </c>
      <c r="F4320" s="361">
        <v>8.0000000000000002E-3</v>
      </c>
      <c r="G4320" s="312">
        <f>'LISTA DE INSUMOS'!E266</f>
        <v>672.63274819540788</v>
      </c>
      <c r="H4320" s="349">
        <v>1.03</v>
      </c>
      <c r="I4320" s="312">
        <f>ROUND((F4320*G4320*H4320),0)</f>
        <v>6</v>
      </c>
      <c r="J4320" s="313"/>
      <c r="K4320" s="323"/>
    </row>
    <row r="4321" spans="2:11" s="317" customFormat="1" ht="24.9" hidden="1" customHeight="1" thickBot="1" x14ac:dyDescent="0.25">
      <c r="B4321" s="692"/>
      <c r="C4321" s="322" t="str">
        <f>+'LISTA DE INSUMOS'!A272</f>
        <v>MAT242</v>
      </c>
      <c r="D4321" s="324" t="str">
        <f>+'LISTA DE INSUMOS'!B272</f>
        <v>Insecticida</v>
      </c>
      <c r="E4321" s="322" t="str">
        <f>+'LISTA DE INSUMOS'!C272</f>
        <v>Kg</v>
      </c>
      <c r="F4321" s="361">
        <v>2E-3</v>
      </c>
      <c r="G4321" s="312">
        <f>'LISTA DE INSUMOS'!E272</f>
        <v>47590.798034999993</v>
      </c>
      <c r="H4321" s="349">
        <v>1.03</v>
      </c>
      <c r="I4321" s="312">
        <f>ROUND((F4321*G4321*H4321),0)</f>
        <v>98</v>
      </c>
      <c r="J4321" s="313"/>
      <c r="K4321" s="323"/>
    </row>
    <row r="4322" spans="2:11" s="317" customFormat="1" ht="24.9" hidden="1" customHeight="1" thickTop="1" thickBot="1" x14ac:dyDescent="0.25">
      <c r="B4322" s="372" t="s">
        <v>1034</v>
      </c>
      <c r="C4322" s="322" t="str">
        <f>+'LISTA DE INSUMOS'!A7</f>
        <v>MOB004</v>
      </c>
      <c r="D4322" s="324" t="str">
        <f>+'LISTA DE INSUMOS'!B7</f>
        <v>Ayudante (jornal + prestaciones)</v>
      </c>
      <c r="E4322" s="322" t="str">
        <f>+'LISTA DE INSUMOS'!C7</f>
        <v>Dia</v>
      </c>
      <c r="F4322" s="321">
        <v>1</v>
      </c>
      <c r="G4322" s="312">
        <f>+'LISTA DE INSUMOS'!E7</f>
        <v>81861</v>
      </c>
      <c r="H4322" s="349">
        <f>1/25</f>
        <v>0.04</v>
      </c>
      <c r="I4322" s="312">
        <f>ROUND((F4322*G4322*H4322),0)</f>
        <v>3274</v>
      </c>
      <c r="J4322" s="313"/>
      <c r="K4322" s="323"/>
    </row>
    <row r="4323" spans="2:11" s="317" customFormat="1" ht="24.9" hidden="1" customHeight="1" thickTop="1" x14ac:dyDescent="0.2">
      <c r="B4323" s="652" t="s">
        <v>1033</v>
      </c>
      <c r="C4323" s="322" t="str">
        <f>+'LISTA DE INSUMOS'!A758</f>
        <v>EQU002</v>
      </c>
      <c r="D4323" s="324" t="str">
        <f>+'LISTA DE INSUMOS'!B758</f>
        <v>Herramienta menor (% mano obra)</v>
      </c>
      <c r="E4323" s="322" t="str">
        <f>+'LISTA DE INSUMOS'!C758</f>
        <v>%MO</v>
      </c>
      <c r="F4323" s="321">
        <v>0.05</v>
      </c>
      <c r="G4323" s="312">
        <f>I4322</f>
        <v>3274</v>
      </c>
      <c r="H4323" s="349">
        <v>0</v>
      </c>
      <c r="I4323" s="312">
        <f>ROUND((F4323*G4323),0)</f>
        <v>164</v>
      </c>
      <c r="J4323" s="313"/>
      <c r="K4323" s="323"/>
    </row>
    <row r="4324" spans="2:11" s="317" customFormat="1" ht="24.9" hidden="1" customHeight="1" thickBot="1" x14ac:dyDescent="0.25">
      <c r="B4324" s="653"/>
      <c r="C4324" s="329" t="str">
        <f>+'LISTA DE INSUMOS'!A808</f>
        <v>EQU053</v>
      </c>
      <c r="D4324" s="328" t="str">
        <f>+'LISTA DE INSUMOS'!B808</f>
        <v>Transporte de materiales</v>
      </c>
      <c r="E4324" s="329" t="str">
        <f>+'LISTA DE INSUMOS'!C808</f>
        <v>%Mat.</v>
      </c>
      <c r="F4324" s="362">
        <v>0.15</v>
      </c>
      <c r="G4324" s="331">
        <f>SUM(I4318:I4321)</f>
        <v>822</v>
      </c>
      <c r="H4324" s="350">
        <v>0</v>
      </c>
      <c r="I4324" s="331">
        <f>ROUND((F4324*G4324),0)</f>
        <v>123</v>
      </c>
      <c r="J4324" s="313"/>
      <c r="K4324" s="323"/>
    </row>
    <row r="4325" spans="2:11" s="317" customFormat="1" ht="24.9" hidden="1" customHeight="1" x14ac:dyDescent="0.2">
      <c r="B4325" s="353" t="s">
        <v>1877</v>
      </c>
      <c r="C4325" s="319"/>
      <c r="D4325" s="320" t="s">
        <v>185</v>
      </c>
      <c r="E4325" s="319" t="s">
        <v>1412</v>
      </c>
      <c r="F4325" s="332"/>
      <c r="G4325" s="312">
        <f>ROUND(SUM(I4326:I4332),0)</f>
        <v>4232</v>
      </c>
      <c r="H4325" s="322"/>
      <c r="I4325" s="312"/>
      <c r="J4325" s="313"/>
      <c r="K4325" s="323"/>
    </row>
    <row r="4326" spans="2:11" s="317" customFormat="1" ht="24.9" hidden="1" customHeight="1" x14ac:dyDescent="0.2">
      <c r="B4326" s="691" t="s">
        <v>1035</v>
      </c>
      <c r="C4326" s="338" t="str">
        <f>+'LISTA DE INSUMOS'!A160</f>
        <v>MAT115</v>
      </c>
      <c r="D4326" s="339" t="str">
        <f>+'LISTA DE INSUMOS'!B160</f>
        <v>Plántula con especies diferentes, altura promedio 0.25 VIVERO REGISTRADO</v>
      </c>
      <c r="E4326" s="338" t="str">
        <f>+'LISTA DE INSUMOS'!C160</f>
        <v>Un</v>
      </c>
      <c r="F4326" s="321">
        <v>0.25</v>
      </c>
      <c r="G4326" s="312">
        <f>'LISTA DE INSUMOS'!E160</f>
        <v>2248.3173857759998</v>
      </c>
      <c r="H4326" s="349">
        <v>0</v>
      </c>
      <c r="I4326" s="312">
        <f>ROUND((F4326*G4326),0)</f>
        <v>562</v>
      </c>
      <c r="J4326" s="313"/>
      <c r="K4326" s="323"/>
    </row>
    <row r="4327" spans="2:11" s="317" customFormat="1" ht="24.9" hidden="1" customHeight="1" x14ac:dyDescent="0.2">
      <c r="B4327" s="691"/>
      <c r="C4327" s="322" t="str">
        <f>+'LISTA DE INSUMOS'!A207</f>
        <v>MAT167</v>
      </c>
      <c r="D4327" s="324" t="str">
        <f>+'LISTA DE INSUMOS'!B207</f>
        <v>Fertilizante Tipo DAP,10-30-10, Triple Quince</v>
      </c>
      <c r="E4327" s="322" t="str">
        <f>+'LISTA DE INSUMOS'!C207</f>
        <v>Kg</v>
      </c>
      <c r="F4327" s="361">
        <v>5.0000000000000001E-3</v>
      </c>
      <c r="G4327" s="312">
        <f>'LISTA DE INSUMOS'!E207</f>
        <v>5300.1352799999995</v>
      </c>
      <c r="H4327" s="349">
        <v>1.03</v>
      </c>
      <c r="I4327" s="312">
        <f>ROUND((F4327*G4327*H4327),0)</f>
        <v>27</v>
      </c>
      <c r="J4327" s="313"/>
      <c r="K4327" s="323"/>
    </row>
    <row r="4328" spans="2:11" s="317" customFormat="1" ht="24.9" hidden="1" customHeight="1" x14ac:dyDescent="0.2">
      <c r="B4328" s="691"/>
      <c r="C4328" s="322" t="str">
        <f>+'LISTA DE INSUMOS'!A266</f>
        <v>MAT236</v>
      </c>
      <c r="D4328" s="324" t="str">
        <f>+'LISTA DE INSUMOS'!B266</f>
        <v>Calfos</v>
      </c>
      <c r="E4328" s="322" t="str">
        <f>+'LISTA DE INSUMOS'!C266</f>
        <v>Kg</v>
      </c>
      <c r="F4328" s="361">
        <v>5.0000000000000001E-3</v>
      </c>
      <c r="G4328" s="312">
        <f>'LISTA DE INSUMOS'!E266</f>
        <v>672.63274819540788</v>
      </c>
      <c r="H4328" s="349">
        <v>1.03</v>
      </c>
      <c r="I4328" s="312">
        <f>ROUND((F4328*G4328*H4328),0)</f>
        <v>3</v>
      </c>
      <c r="J4328" s="313"/>
      <c r="K4328" s="323"/>
    </row>
    <row r="4329" spans="2:11" s="317" customFormat="1" ht="24.9" hidden="1" customHeight="1" thickBot="1" x14ac:dyDescent="0.25">
      <c r="B4329" s="692"/>
      <c r="C4329" s="322" t="str">
        <f>+'LISTA DE INSUMOS'!A272</f>
        <v>MAT242</v>
      </c>
      <c r="D4329" s="324" t="str">
        <f>+'LISTA DE INSUMOS'!B272</f>
        <v>Insecticida</v>
      </c>
      <c r="E4329" s="322" t="str">
        <f>+'LISTA DE INSUMOS'!C272</f>
        <v>Kg</v>
      </c>
      <c r="F4329" s="387">
        <v>2E-3</v>
      </c>
      <c r="G4329" s="312">
        <f>'LISTA DE INSUMOS'!E272</f>
        <v>47590.798034999993</v>
      </c>
      <c r="H4329" s="349">
        <v>1.03</v>
      </c>
      <c r="I4329" s="312">
        <f>ROUND((F4329*G4329*H4329),0)</f>
        <v>98</v>
      </c>
      <c r="J4329" s="313"/>
      <c r="K4329" s="323"/>
    </row>
    <row r="4330" spans="2:11" s="317" customFormat="1" ht="24.9" hidden="1" customHeight="1" thickTop="1" thickBot="1" x14ac:dyDescent="0.25">
      <c r="B4330" s="372" t="s">
        <v>1034</v>
      </c>
      <c r="C4330" s="322" t="str">
        <f>+'LISTA DE INSUMOS'!A7</f>
        <v>MOB004</v>
      </c>
      <c r="D4330" s="324" t="str">
        <f>+'LISTA DE INSUMOS'!B7</f>
        <v>Ayudante (jornal + prestaciones)</v>
      </c>
      <c r="E4330" s="322" t="str">
        <f>+'LISTA DE INSUMOS'!C7</f>
        <v>Dia</v>
      </c>
      <c r="F4330" s="321">
        <v>1</v>
      </c>
      <c r="G4330" s="312">
        <f>+'LISTA DE INSUMOS'!E7</f>
        <v>81861</v>
      </c>
      <c r="H4330" s="349">
        <f>1/25</f>
        <v>0.04</v>
      </c>
      <c r="I4330" s="312">
        <f>ROUND((F4330*G4330*H4330),0)</f>
        <v>3274</v>
      </c>
      <c r="J4330" s="313"/>
      <c r="K4330" s="323"/>
    </row>
    <row r="4331" spans="2:11" s="317" customFormat="1" ht="24.9" hidden="1" customHeight="1" thickTop="1" x14ac:dyDescent="0.2">
      <c r="B4331" s="652" t="s">
        <v>1033</v>
      </c>
      <c r="C4331" s="322" t="str">
        <f>+'LISTA DE INSUMOS'!A758</f>
        <v>EQU002</v>
      </c>
      <c r="D4331" s="324" t="str">
        <f>+'LISTA DE INSUMOS'!B758</f>
        <v>Herramienta menor (% mano obra)</v>
      </c>
      <c r="E4331" s="322" t="str">
        <f>+'LISTA DE INSUMOS'!C758</f>
        <v>%MO</v>
      </c>
      <c r="F4331" s="321">
        <v>0.05</v>
      </c>
      <c r="G4331" s="312">
        <f>I4330</f>
        <v>3274</v>
      </c>
      <c r="H4331" s="349">
        <v>0</v>
      </c>
      <c r="I4331" s="312">
        <f>ROUND((F4331*G4331),0)</f>
        <v>164</v>
      </c>
      <c r="J4331" s="313"/>
      <c r="K4331" s="323"/>
    </row>
    <row r="4332" spans="2:11" s="317" customFormat="1" ht="24.9" hidden="1" customHeight="1" thickBot="1" x14ac:dyDescent="0.25">
      <c r="B4332" s="653"/>
      <c r="C4332" s="329" t="str">
        <f>+'LISTA DE INSUMOS'!A808</f>
        <v>EQU053</v>
      </c>
      <c r="D4332" s="328" t="str">
        <f>+'LISTA DE INSUMOS'!B808</f>
        <v>Transporte de materiales</v>
      </c>
      <c r="E4332" s="329" t="str">
        <f>+'LISTA DE INSUMOS'!C808</f>
        <v>%Mat.</v>
      </c>
      <c r="F4332" s="362">
        <v>0.15</v>
      </c>
      <c r="G4332" s="331">
        <f>SUM(I4326:I4329)</f>
        <v>690</v>
      </c>
      <c r="H4332" s="350">
        <v>0</v>
      </c>
      <c r="I4332" s="331">
        <f>ROUND((F4332*G4332),0)</f>
        <v>104</v>
      </c>
      <c r="J4332" s="313"/>
      <c r="K4332" s="323"/>
    </row>
    <row r="4333" spans="2:11" s="317" customFormat="1" ht="24.9" hidden="1" customHeight="1" x14ac:dyDescent="0.2">
      <c r="B4333" s="353" t="s">
        <v>1878</v>
      </c>
      <c r="C4333" s="319"/>
      <c r="D4333" s="320" t="s">
        <v>186</v>
      </c>
      <c r="E4333" s="319" t="s">
        <v>1412</v>
      </c>
      <c r="F4333" s="332"/>
      <c r="G4333" s="312">
        <f>ROUND(SUM(I4334:I4340),0)</f>
        <v>4075</v>
      </c>
      <c r="H4333" s="322"/>
      <c r="I4333" s="312"/>
      <c r="J4333" s="313"/>
      <c r="K4333" s="323"/>
    </row>
    <row r="4334" spans="2:11" s="317" customFormat="1" ht="24.9" hidden="1" customHeight="1" x14ac:dyDescent="0.2">
      <c r="B4334" s="691" t="s">
        <v>1035</v>
      </c>
      <c r="C4334" s="338" t="str">
        <f>+'LISTA DE INSUMOS'!A160</f>
        <v>MAT115</v>
      </c>
      <c r="D4334" s="339" t="str">
        <f>+'LISTA DE INSUMOS'!B160</f>
        <v>Plántula con especies diferentes, altura promedio 0.25 VIVERO REGISTRADO</v>
      </c>
      <c r="E4334" s="338" t="str">
        <f>+'LISTA DE INSUMOS'!C160</f>
        <v>Un</v>
      </c>
      <c r="F4334" s="321">
        <v>0.2</v>
      </c>
      <c r="G4334" s="312">
        <f>'LISTA DE INSUMOS'!E160</f>
        <v>2248.3173857759998</v>
      </c>
      <c r="H4334" s="349">
        <v>0</v>
      </c>
      <c r="I4334" s="312">
        <f>ROUND((F4334*G4334),0)</f>
        <v>450</v>
      </c>
      <c r="J4334" s="313"/>
      <c r="K4334" s="323"/>
    </row>
    <row r="4335" spans="2:11" s="317" customFormat="1" ht="24.9" hidden="1" customHeight="1" x14ac:dyDescent="0.2">
      <c r="B4335" s="691"/>
      <c r="C4335" s="322" t="str">
        <f>+'LISTA DE INSUMOS'!A207</f>
        <v>MAT167</v>
      </c>
      <c r="D4335" s="324" t="str">
        <f>+'LISTA DE INSUMOS'!B207</f>
        <v>Fertilizante Tipo DAP,10-30-10, Triple Quince</v>
      </c>
      <c r="E4335" s="322" t="str">
        <f>+'LISTA DE INSUMOS'!C207</f>
        <v>Kg</v>
      </c>
      <c r="F4335" s="361">
        <v>1E-3</v>
      </c>
      <c r="G4335" s="312">
        <f>'LISTA DE INSUMOS'!E207</f>
        <v>5300.1352799999995</v>
      </c>
      <c r="H4335" s="349">
        <v>1.03</v>
      </c>
      <c r="I4335" s="312">
        <f>ROUND((F4335*G4335*H4335),0)</f>
        <v>5</v>
      </c>
      <c r="J4335" s="313"/>
      <c r="K4335" s="323"/>
    </row>
    <row r="4336" spans="2:11" s="317" customFormat="1" ht="24.9" hidden="1" customHeight="1" x14ac:dyDescent="0.2">
      <c r="B4336" s="691"/>
      <c r="C4336" s="322" t="str">
        <f>+'LISTA DE INSUMOS'!A266</f>
        <v>MAT236</v>
      </c>
      <c r="D4336" s="324" t="str">
        <f>+'LISTA DE INSUMOS'!B266</f>
        <v>Calfos</v>
      </c>
      <c r="E4336" s="322" t="str">
        <f>+'LISTA DE INSUMOS'!C266</f>
        <v>Kg</v>
      </c>
      <c r="F4336" s="361">
        <v>1E-3</v>
      </c>
      <c r="G4336" s="312">
        <f>'LISTA DE INSUMOS'!E266</f>
        <v>672.63274819540788</v>
      </c>
      <c r="H4336" s="349">
        <v>1.03</v>
      </c>
      <c r="I4336" s="312">
        <f>ROUND((F4336*G4336*H4336),0)</f>
        <v>1</v>
      </c>
      <c r="J4336" s="313"/>
      <c r="K4336" s="323"/>
    </row>
    <row r="4337" spans="2:11" s="317" customFormat="1" ht="24.9" hidden="1" customHeight="1" thickBot="1" x14ac:dyDescent="0.25">
      <c r="B4337" s="692"/>
      <c r="C4337" s="322" t="str">
        <f>+'LISTA DE INSUMOS'!A272</f>
        <v>MAT242</v>
      </c>
      <c r="D4337" s="324" t="str">
        <f>+'LISTA DE INSUMOS'!B272</f>
        <v>Insecticida</v>
      </c>
      <c r="E4337" s="322" t="str">
        <f>+'LISTA DE INSUMOS'!C272</f>
        <v>Kg</v>
      </c>
      <c r="F4337" s="387">
        <v>2E-3</v>
      </c>
      <c r="G4337" s="312">
        <f>'LISTA DE INSUMOS'!E272</f>
        <v>47590.798034999993</v>
      </c>
      <c r="H4337" s="349">
        <v>1.03</v>
      </c>
      <c r="I4337" s="312">
        <f>ROUND((F4337*G4337*H4337),0)</f>
        <v>98</v>
      </c>
      <c r="J4337" s="313"/>
      <c r="K4337" s="323"/>
    </row>
    <row r="4338" spans="2:11" s="317" customFormat="1" ht="24.9" hidden="1" customHeight="1" thickTop="1" thickBot="1" x14ac:dyDescent="0.25">
      <c r="B4338" s="372" t="s">
        <v>1034</v>
      </c>
      <c r="C4338" s="322" t="str">
        <f>+'LISTA DE INSUMOS'!A7</f>
        <v>MOB004</v>
      </c>
      <c r="D4338" s="324" t="str">
        <f>+'LISTA DE INSUMOS'!B7</f>
        <v>Ayudante (jornal + prestaciones)</v>
      </c>
      <c r="E4338" s="322" t="str">
        <f>+'LISTA DE INSUMOS'!C7</f>
        <v>Dia</v>
      </c>
      <c r="F4338" s="321">
        <v>1</v>
      </c>
      <c r="G4338" s="312">
        <f>+'LISTA DE INSUMOS'!E7</f>
        <v>81861</v>
      </c>
      <c r="H4338" s="349">
        <f>1/25</f>
        <v>0.04</v>
      </c>
      <c r="I4338" s="312">
        <f>ROUND((F4338*G4338*H4338),0)</f>
        <v>3274</v>
      </c>
      <c r="J4338" s="313"/>
      <c r="K4338" s="323"/>
    </row>
    <row r="4339" spans="2:11" s="317" customFormat="1" ht="24.9" hidden="1" customHeight="1" thickTop="1" x14ac:dyDescent="0.2">
      <c r="B4339" s="652" t="s">
        <v>1033</v>
      </c>
      <c r="C4339" s="322" t="str">
        <f>+'LISTA DE INSUMOS'!A758</f>
        <v>EQU002</v>
      </c>
      <c r="D4339" s="324" t="str">
        <f>+'LISTA DE INSUMOS'!B758</f>
        <v>Herramienta menor (% mano obra)</v>
      </c>
      <c r="E4339" s="322" t="str">
        <f>+'LISTA DE INSUMOS'!C758</f>
        <v>%MO</v>
      </c>
      <c r="F4339" s="321">
        <v>0.05</v>
      </c>
      <c r="G4339" s="312">
        <f>I4338</f>
        <v>3274</v>
      </c>
      <c r="H4339" s="349">
        <v>0</v>
      </c>
      <c r="I4339" s="312">
        <f>ROUND((F4339*G4339),0)</f>
        <v>164</v>
      </c>
      <c r="J4339" s="313"/>
      <c r="K4339" s="323"/>
    </row>
    <row r="4340" spans="2:11" s="317" customFormat="1" ht="24.9" hidden="1" customHeight="1" thickBot="1" x14ac:dyDescent="0.25">
      <c r="B4340" s="653"/>
      <c r="C4340" s="329" t="str">
        <f>+'LISTA DE INSUMOS'!A808</f>
        <v>EQU053</v>
      </c>
      <c r="D4340" s="328" t="str">
        <f>+'LISTA DE INSUMOS'!B808</f>
        <v>Transporte de materiales</v>
      </c>
      <c r="E4340" s="329" t="str">
        <f>+'LISTA DE INSUMOS'!C808</f>
        <v>%Mat.</v>
      </c>
      <c r="F4340" s="362">
        <v>0.15</v>
      </c>
      <c r="G4340" s="331">
        <f>SUM(I4334:I4337)</f>
        <v>554</v>
      </c>
      <c r="H4340" s="350">
        <v>0</v>
      </c>
      <c r="I4340" s="331">
        <f>ROUND((F4340*G4340),0)</f>
        <v>83</v>
      </c>
      <c r="J4340" s="313"/>
      <c r="K4340" s="323"/>
    </row>
    <row r="4341" spans="2:11" ht="24.9" customHeight="1" x14ac:dyDescent="0.2">
      <c r="B4341" s="193" t="s">
        <v>3249</v>
      </c>
      <c r="C4341" s="117"/>
      <c r="D4341" s="112" t="s">
        <v>2606</v>
      </c>
      <c r="E4341" s="117" t="s">
        <v>1603</v>
      </c>
      <c r="F4341" s="149"/>
      <c r="G4341" s="119">
        <f>ROUND(SUM(I4342:I4348),0)</f>
        <v>13615001</v>
      </c>
      <c r="H4341" s="120"/>
      <c r="I4341" s="119"/>
      <c r="J4341" s="47"/>
      <c r="K4341" s="143"/>
    </row>
    <row r="4342" spans="2:11" ht="24.9" customHeight="1" x14ac:dyDescent="0.2">
      <c r="B4342" s="716" t="s">
        <v>1325</v>
      </c>
      <c r="C4342" s="108" t="str">
        <f>+'LISTA DE INSUMOS'!A160</f>
        <v>MAT115</v>
      </c>
      <c r="D4342" s="139" t="str">
        <f>+'LISTA DE INSUMOS'!B160</f>
        <v>Plántula con especies diferentes, altura promedio 0.25 VIVERO REGISTRADO</v>
      </c>
      <c r="E4342" s="108" t="str">
        <f>+'LISTA DE INSUMOS'!C160</f>
        <v>Un</v>
      </c>
      <c r="F4342" s="176">
        <v>1221</v>
      </c>
      <c r="G4342" s="141">
        <f>+'LISTA DE INSUMOS'!E160</f>
        <v>2248.3173857759998</v>
      </c>
      <c r="H4342" s="205">
        <v>0</v>
      </c>
      <c r="I4342" s="141">
        <f>ROUND((F4342*G4342),0)</f>
        <v>2745196</v>
      </c>
      <c r="J4342" s="47"/>
      <c r="K4342" s="143"/>
    </row>
    <row r="4343" spans="2:11" ht="24.9" customHeight="1" x14ac:dyDescent="0.2">
      <c r="B4343" s="716"/>
      <c r="C4343" s="108" t="str">
        <f>+'LISTA DE INSUMOS'!A207</f>
        <v>MAT167</v>
      </c>
      <c r="D4343" s="139" t="str">
        <f>+'LISTA DE INSUMOS'!B207</f>
        <v>Fertilizante Tipo DAP,10-30-10, Triple Quince</v>
      </c>
      <c r="E4343" s="108" t="str">
        <f>+'LISTA DE INSUMOS'!C207</f>
        <v>Kg</v>
      </c>
      <c r="F4343" s="228">
        <v>168</v>
      </c>
      <c r="G4343" s="141">
        <f>'LISTA DE INSUMOS'!E207</f>
        <v>5300.1352799999995</v>
      </c>
      <c r="H4343" s="205">
        <v>1.03</v>
      </c>
      <c r="I4343" s="141">
        <f>ROUND((F4343*G4343*H4343),0)</f>
        <v>917135</v>
      </c>
      <c r="J4343" s="47"/>
      <c r="K4343" s="143"/>
    </row>
    <row r="4344" spans="2:11" ht="18" customHeight="1" thickBot="1" x14ac:dyDescent="0.25">
      <c r="B4344" s="717"/>
      <c r="C4344" s="108" t="str">
        <f>+'LISTA DE INSUMOS'!A272</f>
        <v>MAT242</v>
      </c>
      <c r="D4344" s="139" t="str">
        <f>+'LISTA DE INSUMOS'!B272</f>
        <v>Insecticida</v>
      </c>
      <c r="E4344" s="108" t="str">
        <f>+'LISTA DE INSUMOS'!C272</f>
        <v>Kg</v>
      </c>
      <c r="F4344" s="497">
        <v>3</v>
      </c>
      <c r="G4344" s="141">
        <f>'LISTA DE INSUMOS'!E272</f>
        <v>47590.798034999993</v>
      </c>
      <c r="H4344" s="205">
        <v>1.03</v>
      </c>
      <c r="I4344" s="141">
        <f>ROUND((F4344*G4344*H4344),0)</f>
        <v>147056</v>
      </c>
      <c r="J4344" s="47"/>
      <c r="K4344" s="143"/>
    </row>
    <row r="4345" spans="2:11" ht="17.25" customHeight="1" thickTop="1" x14ac:dyDescent="0.2">
      <c r="B4345" s="755" t="s">
        <v>1034</v>
      </c>
      <c r="C4345" s="108" t="str">
        <f>+'LISTA DE INSUMOS'!A7</f>
        <v>MOB004</v>
      </c>
      <c r="D4345" s="139" t="str">
        <f>+'LISTA DE INSUMOS'!B7</f>
        <v>Ayudante (jornal + prestaciones)</v>
      </c>
      <c r="E4345" s="108" t="str">
        <f>+'LISTA DE INSUMOS'!C6</f>
        <v>Dia</v>
      </c>
      <c r="F4345" s="176">
        <v>56</v>
      </c>
      <c r="G4345" s="141">
        <f>'LISTA DE INSUMOS'!E7</f>
        <v>81861</v>
      </c>
      <c r="H4345" s="205">
        <v>0</v>
      </c>
      <c r="I4345" s="141">
        <f>ROUND((F4345*G4345),0)</f>
        <v>4584216</v>
      </c>
      <c r="J4345" s="47"/>
      <c r="K4345" s="143"/>
    </row>
    <row r="4346" spans="2:11" ht="18.75" customHeight="1" thickBot="1" x14ac:dyDescent="0.25">
      <c r="B4346" s="754"/>
      <c r="C4346" s="108" t="str">
        <f>+'LISTA DE INSUMOS'!A7</f>
        <v>MOB004</v>
      </c>
      <c r="D4346" s="139" t="str">
        <f>+'LISTA DE INSUMOS'!B7</f>
        <v>Ayudante (jornal + prestaciones)</v>
      </c>
      <c r="E4346" s="108" t="str">
        <f>+'LISTA DE INSUMOS'!C7</f>
        <v>Dia</v>
      </c>
      <c r="F4346" s="176">
        <v>47</v>
      </c>
      <c r="G4346" s="141">
        <f>+'LISTA DE INSUMOS'!E7</f>
        <v>81861</v>
      </c>
      <c r="H4346" s="205">
        <v>0</v>
      </c>
      <c r="I4346" s="141">
        <f>ROUND((F4346*G4346),0)</f>
        <v>3847467</v>
      </c>
      <c r="J4346" s="47"/>
      <c r="K4346" s="143"/>
    </row>
    <row r="4347" spans="2:11" ht="24.9" customHeight="1" thickTop="1" x14ac:dyDescent="0.2">
      <c r="B4347" s="710" t="s">
        <v>1033</v>
      </c>
      <c r="C4347" s="108" t="str">
        <f>+'LISTA DE INSUMOS'!A758</f>
        <v>EQU002</v>
      </c>
      <c r="D4347" s="139" t="str">
        <f>+'LISTA DE INSUMOS'!B758</f>
        <v>Herramienta menor (% mano obra)</v>
      </c>
      <c r="E4347" s="108" t="str">
        <f>+'LISTA DE INSUMOS'!C758</f>
        <v>%MO</v>
      </c>
      <c r="F4347" s="176">
        <v>0.05</v>
      </c>
      <c r="G4347" s="141">
        <f>(I4345+I4346)</f>
        <v>8431683</v>
      </c>
      <c r="H4347" s="205">
        <v>0</v>
      </c>
      <c r="I4347" s="141">
        <f>ROUND((F4347*G4347),0)</f>
        <v>421584</v>
      </c>
      <c r="J4347" s="47"/>
      <c r="K4347" s="143"/>
    </row>
    <row r="4348" spans="2:11" ht="19.5" customHeight="1" thickBot="1" x14ac:dyDescent="0.25">
      <c r="B4348" s="711"/>
      <c r="C4348" s="145" t="str">
        <f>+'LISTA DE INSUMOS'!A808</f>
        <v>EQU053</v>
      </c>
      <c r="D4348" s="146" t="str">
        <f>+'LISTA DE INSUMOS'!B808</f>
        <v>Transporte de materiales</v>
      </c>
      <c r="E4348" s="145" t="str">
        <f>+'LISTA DE INSUMOS'!C808</f>
        <v>%Mat.</v>
      </c>
      <c r="F4348" s="229">
        <v>0.25</v>
      </c>
      <c r="G4348" s="148">
        <f>(I4342+I4343+I4344)</f>
        <v>3809387</v>
      </c>
      <c r="H4348" s="206">
        <v>0</v>
      </c>
      <c r="I4348" s="148">
        <f>ROUND((F4348*G4348),0)</f>
        <v>952347</v>
      </c>
      <c r="J4348" s="47"/>
      <c r="K4348" s="143"/>
    </row>
    <row r="4349" spans="2:11" ht="24.9" customHeight="1" x14ac:dyDescent="0.2">
      <c r="B4349" s="193" t="s">
        <v>3016</v>
      </c>
      <c r="C4349" s="117"/>
      <c r="D4349" s="112" t="s">
        <v>2607</v>
      </c>
      <c r="E4349" s="117" t="s">
        <v>1603</v>
      </c>
      <c r="F4349" s="149"/>
      <c r="G4349" s="119">
        <f>ROUND(SUM(I4350:I4354),0)</f>
        <v>8361367</v>
      </c>
      <c r="H4349" s="120"/>
      <c r="I4349" s="119"/>
      <c r="J4349" s="47"/>
      <c r="K4349" s="143"/>
    </row>
    <row r="4350" spans="2:11" ht="24.9" customHeight="1" x14ac:dyDescent="0.2">
      <c r="B4350" s="716" t="s">
        <v>1325</v>
      </c>
      <c r="C4350" s="108" t="str">
        <f>+'LISTA DE INSUMOS'!A207</f>
        <v>MAT167</v>
      </c>
      <c r="D4350" s="139" t="str">
        <f>+'LISTA DE INSUMOS'!B207</f>
        <v>Fertilizante Tipo DAP,10-30-10, Triple Quince</v>
      </c>
      <c r="E4350" s="108" t="str">
        <f>+'LISTA DE INSUMOS'!C207</f>
        <v>Kg</v>
      </c>
      <c r="F4350" s="176">
        <v>168</v>
      </c>
      <c r="G4350" s="141">
        <f>+'LISTA DE INSUMOS'!E207</f>
        <v>5300.1352799999995</v>
      </c>
      <c r="H4350" s="205">
        <v>0</v>
      </c>
      <c r="I4350" s="141">
        <f>ROUND((F4350*G4350),0)</f>
        <v>890423</v>
      </c>
      <c r="J4350" s="47"/>
      <c r="K4350" s="143"/>
    </row>
    <row r="4351" spans="2:11" ht="24.9" customHeight="1" thickBot="1" x14ac:dyDescent="0.25">
      <c r="B4351" s="716"/>
      <c r="C4351" s="108" t="str">
        <f>+'LISTA DE INSUMOS'!A272</f>
        <v>MAT242</v>
      </c>
      <c r="D4351" s="139" t="str">
        <f>+'LISTA DE INSUMOS'!B272</f>
        <v>Insecticida</v>
      </c>
      <c r="E4351" s="108" t="str">
        <f>+'LISTA DE INSUMOS'!C272</f>
        <v>Kg</v>
      </c>
      <c r="F4351" s="176">
        <v>3</v>
      </c>
      <c r="G4351" s="141">
        <f>'LISTA DE INSUMOS'!E272</f>
        <v>47590.798034999993</v>
      </c>
      <c r="H4351" s="205">
        <v>1.03</v>
      </c>
      <c r="I4351" s="141">
        <f>ROUND((F4351*G4351*H4351),0)</f>
        <v>147056</v>
      </c>
      <c r="J4351" s="47"/>
      <c r="K4351" s="143"/>
    </row>
    <row r="4352" spans="2:11" ht="24.9" customHeight="1" thickTop="1" thickBot="1" x14ac:dyDescent="0.25">
      <c r="B4352" s="153" t="s">
        <v>1034</v>
      </c>
      <c r="C4352" s="125" t="str">
        <f>+'LISTA DE INSUMOS'!A7</f>
        <v>MOB004</v>
      </c>
      <c r="D4352" s="155" t="str">
        <f>+'LISTA DE INSUMOS'!B7</f>
        <v>Ayudante (jornal + prestaciones)</v>
      </c>
      <c r="E4352" s="108" t="str">
        <f>+'LISTA DE INSUMOS'!C7</f>
        <v>Dia</v>
      </c>
      <c r="F4352" s="176">
        <v>84</v>
      </c>
      <c r="G4352" s="141">
        <f>+'LISTA DE INSUMOS'!E7</f>
        <v>81861</v>
      </c>
      <c r="H4352" s="205">
        <v>0</v>
      </c>
      <c r="I4352" s="141">
        <f>ROUND((F4352*G4352),0)</f>
        <v>6876324</v>
      </c>
      <c r="J4352" s="47"/>
      <c r="K4352" s="143"/>
    </row>
    <row r="4353" spans="2:11" ht="24.9" customHeight="1" thickTop="1" x14ac:dyDescent="0.2">
      <c r="B4353" s="710" t="s">
        <v>1033</v>
      </c>
      <c r="C4353" s="108" t="str">
        <f>+'LISTA DE INSUMOS'!A758</f>
        <v>EQU002</v>
      </c>
      <c r="D4353" s="139" t="str">
        <f>+'LISTA DE INSUMOS'!B758</f>
        <v>Herramienta menor (% mano obra)</v>
      </c>
      <c r="E4353" s="108" t="str">
        <f>+'LISTA DE INSUMOS'!C758</f>
        <v>%MO</v>
      </c>
      <c r="F4353" s="176">
        <v>0.05</v>
      </c>
      <c r="G4353" s="141">
        <f>+SUM(I4352:I4352)</f>
        <v>6876324</v>
      </c>
      <c r="H4353" s="205">
        <v>0</v>
      </c>
      <c r="I4353" s="141">
        <f>ROUND((F4353*G4353),0)</f>
        <v>343816</v>
      </c>
      <c r="J4353" s="47"/>
      <c r="K4353" s="143"/>
    </row>
    <row r="4354" spans="2:11" ht="24.9" customHeight="1" thickBot="1" x14ac:dyDescent="0.25">
      <c r="B4354" s="711"/>
      <c r="C4354" s="145" t="str">
        <f>+'LISTA DE INSUMOS'!A808</f>
        <v>EQU053</v>
      </c>
      <c r="D4354" s="146" t="str">
        <f>+'LISTA DE INSUMOS'!B808</f>
        <v>Transporte de materiales</v>
      </c>
      <c r="E4354" s="145" t="str">
        <f>+'LISTA DE INSUMOS'!C808</f>
        <v>%Mat.</v>
      </c>
      <c r="F4354" s="229">
        <v>0.1</v>
      </c>
      <c r="G4354" s="148">
        <f>+SUM(I4350:I4351)</f>
        <v>1037479</v>
      </c>
      <c r="H4354" s="206">
        <v>0</v>
      </c>
      <c r="I4354" s="148">
        <f>ROUND((F4354*G4354),0)</f>
        <v>103748</v>
      </c>
      <c r="J4354" s="47"/>
      <c r="K4354" s="143"/>
    </row>
    <row r="4355" spans="2:11" ht="24.9" customHeight="1" x14ac:dyDescent="0.2">
      <c r="B4355" s="193" t="s">
        <v>3017</v>
      </c>
      <c r="C4355" s="117"/>
      <c r="D4355" s="112" t="s">
        <v>2608</v>
      </c>
      <c r="E4355" s="117" t="s">
        <v>1603</v>
      </c>
      <c r="F4355" s="149"/>
      <c r="G4355" s="119">
        <f>ROUND(SUM(I4356:I4360),0)</f>
        <v>8361367</v>
      </c>
      <c r="H4355" s="120"/>
      <c r="I4355" s="119"/>
      <c r="J4355" s="47"/>
      <c r="K4355" s="143"/>
    </row>
    <row r="4356" spans="2:11" ht="24.9" customHeight="1" x14ac:dyDescent="0.2">
      <c r="B4356" s="716" t="s">
        <v>1325</v>
      </c>
      <c r="C4356" s="108" t="str">
        <f>+'LISTA DE INSUMOS'!A207</f>
        <v>MAT167</v>
      </c>
      <c r="D4356" s="139" t="str">
        <f>+'LISTA DE INSUMOS'!B207</f>
        <v>Fertilizante Tipo DAP,10-30-10, Triple Quince</v>
      </c>
      <c r="E4356" s="108" t="str">
        <f>+'LISTA DE INSUMOS'!C207</f>
        <v>Kg</v>
      </c>
      <c r="F4356" s="176">
        <v>168</v>
      </c>
      <c r="G4356" s="141">
        <f>+'LISTA DE INSUMOS'!E207</f>
        <v>5300.1352799999995</v>
      </c>
      <c r="H4356" s="205">
        <v>0</v>
      </c>
      <c r="I4356" s="141">
        <f>ROUND((F4356*G4356),0)</f>
        <v>890423</v>
      </c>
      <c r="J4356" s="47"/>
      <c r="K4356" s="143"/>
    </row>
    <row r="4357" spans="2:11" ht="24.9" customHeight="1" thickBot="1" x14ac:dyDescent="0.25">
      <c r="B4357" s="716"/>
      <c r="C4357" s="108" t="str">
        <f>+'LISTA DE INSUMOS'!A272</f>
        <v>MAT242</v>
      </c>
      <c r="D4357" s="139" t="str">
        <f>+'LISTA DE INSUMOS'!B272</f>
        <v>Insecticida</v>
      </c>
      <c r="E4357" s="108" t="str">
        <f>+'LISTA DE INSUMOS'!C272</f>
        <v>Kg</v>
      </c>
      <c r="F4357" s="176">
        <v>3</v>
      </c>
      <c r="G4357" s="141">
        <f>+'LISTA DE INSUMOS'!E272</f>
        <v>47590.798034999993</v>
      </c>
      <c r="H4357" s="205">
        <v>1.03</v>
      </c>
      <c r="I4357" s="141">
        <f>ROUND((F4357*G4357*H4357),0)</f>
        <v>147056</v>
      </c>
      <c r="J4357" s="47"/>
      <c r="K4357" s="143"/>
    </row>
    <row r="4358" spans="2:11" ht="24.9" customHeight="1" thickTop="1" thickBot="1" x14ac:dyDescent="0.25">
      <c r="B4358" s="153" t="s">
        <v>1034</v>
      </c>
      <c r="C4358" s="108" t="str">
        <f>+'LISTA DE INSUMOS'!A7</f>
        <v>MOB004</v>
      </c>
      <c r="D4358" s="139" t="str">
        <f>+'LISTA DE INSUMOS'!B7</f>
        <v>Ayudante (jornal + prestaciones)</v>
      </c>
      <c r="E4358" s="108" t="str">
        <f>+'LISTA DE INSUMOS'!C7</f>
        <v>Dia</v>
      </c>
      <c r="F4358" s="176">
        <v>84</v>
      </c>
      <c r="G4358" s="141">
        <f>+'LISTA DE INSUMOS'!E7</f>
        <v>81861</v>
      </c>
      <c r="H4358" s="205">
        <v>0</v>
      </c>
      <c r="I4358" s="141">
        <f>ROUND((F4358*G4358),0)</f>
        <v>6876324</v>
      </c>
      <c r="J4358" s="47"/>
      <c r="K4358" s="143"/>
    </row>
    <row r="4359" spans="2:11" ht="24.9" customHeight="1" thickTop="1" x14ac:dyDescent="0.2">
      <c r="B4359" s="710" t="s">
        <v>1033</v>
      </c>
      <c r="C4359" s="108" t="str">
        <f>+'LISTA DE INSUMOS'!A758</f>
        <v>EQU002</v>
      </c>
      <c r="D4359" s="139" t="str">
        <f>+'LISTA DE INSUMOS'!B758</f>
        <v>Herramienta menor (% mano obra)</v>
      </c>
      <c r="E4359" s="108" t="str">
        <f>+'LISTA DE INSUMOS'!C758</f>
        <v>%MO</v>
      </c>
      <c r="F4359" s="176">
        <v>0.05</v>
      </c>
      <c r="G4359" s="141">
        <f>+SUM(I4358:I4358)</f>
        <v>6876324</v>
      </c>
      <c r="H4359" s="205">
        <v>0</v>
      </c>
      <c r="I4359" s="141">
        <f>ROUND((F4359*G4359),0)</f>
        <v>343816</v>
      </c>
      <c r="J4359" s="47"/>
      <c r="K4359" s="143"/>
    </row>
    <row r="4360" spans="2:11" ht="24.9" customHeight="1" thickBot="1" x14ac:dyDescent="0.25">
      <c r="B4360" s="711"/>
      <c r="C4360" s="145" t="str">
        <f>+'LISTA DE INSUMOS'!A808</f>
        <v>EQU053</v>
      </c>
      <c r="D4360" s="146" t="str">
        <f>+'LISTA DE INSUMOS'!B808</f>
        <v>Transporte de materiales</v>
      </c>
      <c r="E4360" s="145" t="str">
        <f>+'LISTA DE INSUMOS'!C808</f>
        <v>%Mat.</v>
      </c>
      <c r="F4360" s="229">
        <v>0.1</v>
      </c>
      <c r="G4360" s="148">
        <f>+SUM(I4356:I4357)</f>
        <v>1037479</v>
      </c>
      <c r="H4360" s="206">
        <v>0</v>
      </c>
      <c r="I4360" s="141">
        <f>ROUND((F4360*G4360),0)</f>
        <v>103748</v>
      </c>
      <c r="J4360" s="47"/>
      <c r="K4360" s="143"/>
    </row>
    <row r="4361" spans="2:11" ht="34.5" customHeight="1" x14ac:dyDescent="0.2">
      <c r="B4361" s="117" t="s">
        <v>2007</v>
      </c>
      <c r="C4361" s="117"/>
      <c r="D4361" s="112" t="s">
        <v>2478</v>
      </c>
      <c r="E4361" s="117" t="s">
        <v>1124</v>
      </c>
      <c r="F4361" s="149"/>
      <c r="G4361" s="119">
        <f>SUM(I4385:I4389)</f>
        <v>43686</v>
      </c>
      <c r="H4361" s="120"/>
      <c r="I4361" s="119"/>
      <c r="J4361" s="47"/>
      <c r="K4361" s="143"/>
    </row>
    <row r="4362" spans="2:11" s="317" customFormat="1" ht="24.9" hidden="1" customHeight="1" x14ac:dyDescent="0.2">
      <c r="B4362" s="691" t="s">
        <v>1035</v>
      </c>
      <c r="C4362" s="322" t="str">
        <f>+'LISTA DE INSUMOS'!A64</f>
        <v>MAT032</v>
      </c>
      <c r="D4362" s="324" t="str">
        <f>+'LISTA DE INSUMOS'!B64</f>
        <v>Plántulas  altura &gt; 1.00 m para recuperación paisajistica y/o urbana</v>
      </c>
      <c r="E4362" s="322" t="str">
        <f>+'LISTA DE INSUMOS'!C64</f>
        <v>Un</v>
      </c>
      <c r="F4362" s="321">
        <v>1</v>
      </c>
      <c r="G4362" s="312">
        <f>'LISTA DE INSUMOS'!E64</f>
        <v>19556.084456957364</v>
      </c>
      <c r="H4362" s="349">
        <v>0</v>
      </c>
      <c r="I4362" s="312">
        <f>ROUND((F4362*G4362),0)</f>
        <v>19556</v>
      </c>
      <c r="J4362" s="313"/>
      <c r="K4362" s="323"/>
    </row>
    <row r="4363" spans="2:11" s="317" customFormat="1" ht="24.9" hidden="1" customHeight="1" x14ac:dyDescent="0.2">
      <c r="B4363" s="691"/>
      <c r="C4363" s="322" t="str">
        <f>+'LISTA DE INSUMOS'!A207</f>
        <v>MAT167</v>
      </c>
      <c r="D4363" s="324" t="str">
        <f>+'LISTA DE INSUMOS'!B207</f>
        <v>Fertilizante Tipo DAP,10-30-10, Triple Quince</v>
      </c>
      <c r="E4363" s="322" t="str">
        <f>+'LISTA DE INSUMOS'!C207</f>
        <v>Kg</v>
      </c>
      <c r="F4363" s="321">
        <v>0.1</v>
      </c>
      <c r="G4363" s="312">
        <f>'LISTA DE INSUMOS'!E207</f>
        <v>5300.1352799999995</v>
      </c>
      <c r="H4363" s="349">
        <v>1.03</v>
      </c>
      <c r="I4363" s="312">
        <f>ROUND((F4363*G4363*H4363),0)</f>
        <v>546</v>
      </c>
      <c r="J4363" s="313"/>
      <c r="K4363" s="323"/>
    </row>
    <row r="4364" spans="2:11" s="317" customFormat="1" ht="27" hidden="1" customHeight="1" thickBot="1" x14ac:dyDescent="0.25">
      <c r="B4364" s="692"/>
      <c r="C4364" s="322" t="str">
        <f>+'LISTA DE INSUMOS'!A272</f>
        <v>MAT242</v>
      </c>
      <c r="D4364" s="324" t="str">
        <f>+'LISTA DE INSUMOS'!B272</f>
        <v>Insecticida</v>
      </c>
      <c r="E4364" s="322" t="str">
        <f>+'LISTA DE INSUMOS'!C272</f>
        <v>Kg</v>
      </c>
      <c r="F4364" s="361">
        <v>3.0000000000000001E-3</v>
      </c>
      <c r="G4364" s="312">
        <f>'LISTA DE INSUMOS'!E272</f>
        <v>47590.798034999993</v>
      </c>
      <c r="H4364" s="349">
        <v>1.03</v>
      </c>
      <c r="I4364" s="312">
        <f>ROUND((F4364*G4364*H4364),0)</f>
        <v>147</v>
      </c>
      <c r="J4364" s="313"/>
      <c r="K4364" s="323"/>
    </row>
    <row r="4365" spans="2:11" s="317" customFormat="1" ht="24.9" hidden="1" customHeight="1" thickTop="1" x14ac:dyDescent="0.2">
      <c r="B4365" s="655" t="s">
        <v>1034</v>
      </c>
      <c r="C4365" s="338" t="str">
        <f>+'LISTA DE INSUMOS'!A7</f>
        <v>MOB004</v>
      </c>
      <c r="D4365" s="339" t="str">
        <f>+'LISTA DE INSUMOS'!B7</f>
        <v>Ayudante (jornal + prestaciones)</v>
      </c>
      <c r="E4365" s="322" t="str">
        <f>+'LISTA DE INSUMOS'!C7</f>
        <v>Dia</v>
      </c>
      <c r="F4365" s="321">
        <v>0.02</v>
      </c>
      <c r="G4365" s="312">
        <f>+'LISTA DE INSUMOS'!E7</f>
        <v>81861</v>
      </c>
      <c r="H4365" s="349">
        <v>0</v>
      </c>
      <c r="I4365" s="312">
        <f>ROUND((F4365*G4365),0)</f>
        <v>1637</v>
      </c>
      <c r="J4365" s="313"/>
      <c r="K4365" s="323"/>
    </row>
    <row r="4366" spans="2:11" s="317" customFormat="1" ht="24.9" hidden="1" customHeight="1" x14ac:dyDescent="0.2">
      <c r="B4366" s="718"/>
      <c r="C4366" s="338" t="str">
        <f>+'LISTA DE INSUMOS'!A7</f>
        <v>MOB004</v>
      </c>
      <c r="D4366" s="339" t="str">
        <f>+'LISTA DE INSUMOS'!B7</f>
        <v>Ayudante (jornal + prestaciones)</v>
      </c>
      <c r="E4366" s="322" t="str">
        <f>+'LISTA DE INSUMOS'!C7</f>
        <v>Dia</v>
      </c>
      <c r="F4366" s="321">
        <v>0.02</v>
      </c>
      <c r="G4366" s="312">
        <f>+'LISTA DE INSUMOS'!E7</f>
        <v>81861</v>
      </c>
      <c r="H4366" s="349">
        <v>0</v>
      </c>
      <c r="I4366" s="312">
        <f>ROUND((F4366*G4366),0)</f>
        <v>1637</v>
      </c>
      <c r="J4366" s="313"/>
      <c r="K4366" s="323"/>
    </row>
    <row r="4367" spans="2:11" s="317" customFormat="1" ht="24.9" hidden="1" customHeight="1" x14ac:dyDescent="0.2">
      <c r="B4367" s="718"/>
      <c r="C4367" s="338" t="str">
        <f>+'LISTA DE INSUMOS'!A7</f>
        <v>MOB004</v>
      </c>
      <c r="D4367" s="339" t="str">
        <f>+'LISTA DE INSUMOS'!B7</f>
        <v>Ayudante (jornal + prestaciones)</v>
      </c>
      <c r="E4367" s="322" t="str">
        <f>+'LISTA DE INSUMOS'!C7</f>
        <v>Dia</v>
      </c>
      <c r="F4367" s="321">
        <v>0.02</v>
      </c>
      <c r="G4367" s="312">
        <f>+'LISTA DE INSUMOS'!E7</f>
        <v>81861</v>
      </c>
      <c r="H4367" s="349">
        <v>0</v>
      </c>
      <c r="I4367" s="312">
        <f>ROUND((F4367*G4367),0)</f>
        <v>1637</v>
      </c>
      <c r="J4367" s="313"/>
      <c r="K4367" s="323"/>
    </row>
    <row r="4368" spans="2:11" s="317" customFormat="1" ht="24.9" hidden="1" customHeight="1" thickBot="1" x14ac:dyDescent="0.25">
      <c r="B4368" s="656"/>
      <c r="C4368" s="322" t="str">
        <f>+'LISTA DE INSUMOS'!A7</f>
        <v>MOB004</v>
      </c>
      <c r="D4368" s="324" t="str">
        <f>+'LISTA DE INSUMOS'!B7</f>
        <v>Ayudante (jornal + prestaciones)</v>
      </c>
      <c r="E4368" s="322" t="str">
        <f>+'LISTA DE INSUMOS'!C7</f>
        <v>Dia</v>
      </c>
      <c r="F4368" s="321">
        <v>0.02</v>
      </c>
      <c r="G4368" s="312">
        <f>+'LISTA DE INSUMOS'!E7</f>
        <v>81861</v>
      </c>
      <c r="H4368" s="349">
        <v>0</v>
      </c>
      <c r="I4368" s="312">
        <f>ROUND((F4368*G4368),0)</f>
        <v>1637</v>
      </c>
      <c r="J4368" s="313"/>
      <c r="K4368" s="323"/>
    </row>
    <row r="4369" spans="2:11" s="317" customFormat="1" ht="24.9" hidden="1" customHeight="1" thickTop="1" thickBot="1" x14ac:dyDescent="0.25">
      <c r="B4369" s="388"/>
      <c r="C4369" s="329" t="str">
        <f>+'LISTA DE INSUMOS'!A758</f>
        <v>EQU002</v>
      </c>
      <c r="D4369" s="328" t="str">
        <f>+'LISTA DE INSUMOS'!B758</f>
        <v>Herramienta menor (% mano obra)</v>
      </c>
      <c r="E4369" s="329" t="str">
        <f>+'LISTA DE INSUMOS'!C758</f>
        <v>%MO</v>
      </c>
      <c r="F4369" s="362">
        <v>0.1</v>
      </c>
      <c r="G4369" s="331">
        <f>+SUM(I4365:I4368)</f>
        <v>6548</v>
      </c>
      <c r="H4369" s="350">
        <v>0</v>
      </c>
      <c r="I4369" s="331">
        <f>ROUND((F4369*G4369),0)</f>
        <v>655</v>
      </c>
      <c r="J4369" s="313"/>
      <c r="K4369" s="323"/>
    </row>
    <row r="4370" spans="2:11" s="317" customFormat="1" ht="24.9" hidden="1" customHeight="1" thickBot="1" x14ac:dyDescent="0.25">
      <c r="B4370" s="353" t="s">
        <v>2461</v>
      </c>
      <c r="C4370" s="319"/>
      <c r="D4370" s="320" t="s">
        <v>301</v>
      </c>
      <c r="E4370" s="319" t="s">
        <v>2586</v>
      </c>
      <c r="F4370" s="321"/>
      <c r="G4370" s="312">
        <f>ROUND(SUM(I4370:I4377),0)</f>
        <v>117540</v>
      </c>
      <c r="H4370" s="322"/>
      <c r="I4370" s="312"/>
      <c r="J4370" s="313">
        <v>102902</v>
      </c>
      <c r="K4370" s="323"/>
    </row>
    <row r="4371" spans="2:11" s="317" customFormat="1" ht="24.9" hidden="1" customHeight="1" thickTop="1" thickBot="1" x14ac:dyDescent="0.25">
      <c r="B4371" s="334" t="s">
        <v>1310</v>
      </c>
      <c r="C4371" s="319" t="str">
        <f>+B417</f>
        <v>ITE068</v>
      </c>
      <c r="D4371" s="320" t="str">
        <f>+D417</f>
        <v>Transporte maquinaría pesada</v>
      </c>
      <c r="E4371" s="322" t="str">
        <f>+E417</f>
        <v>Km</v>
      </c>
      <c r="F4371" s="332">
        <v>60</v>
      </c>
      <c r="G4371" s="312">
        <f>G417</f>
        <v>26702</v>
      </c>
      <c r="H4371" s="326">
        <f>1/200</f>
        <v>5.0000000000000001E-3</v>
      </c>
      <c r="I4371" s="312">
        <f>ROUND((F4371*G4371*H4371),0)</f>
        <v>8011</v>
      </c>
      <c r="J4371" s="313"/>
      <c r="K4371" s="323"/>
    </row>
    <row r="4372" spans="2:11" s="317" customFormat="1" ht="24.9" hidden="1" customHeight="1" thickTop="1" x14ac:dyDescent="0.2">
      <c r="B4372" s="714" t="s">
        <v>1034</v>
      </c>
      <c r="C4372" s="322" t="str">
        <f>+'LISTA DE INSUMOS'!A7</f>
        <v>MOB004</v>
      </c>
      <c r="D4372" s="324" t="str">
        <f>+'LISTA DE INSUMOS'!B7</f>
        <v>Ayudante (jornal + prestaciones)</v>
      </c>
      <c r="E4372" s="322" t="str">
        <f>+'LISTA DE INSUMOS'!C7</f>
        <v>Dia</v>
      </c>
      <c r="F4372" s="321">
        <v>1</v>
      </c>
      <c r="G4372" s="312">
        <f>+'LISTA DE INSUMOS'!E7</f>
        <v>81861</v>
      </c>
      <c r="H4372" s="349">
        <f>1/2</f>
        <v>0.5</v>
      </c>
      <c r="I4372" s="312">
        <f>ROUND((F4372*G4372*H4372),0)</f>
        <v>40931</v>
      </c>
      <c r="J4372" s="313"/>
      <c r="K4372" s="323"/>
    </row>
    <row r="4373" spans="2:11" s="317" customFormat="1" ht="24.9" hidden="1" customHeight="1" thickBot="1" x14ac:dyDescent="0.25">
      <c r="B4373" s="715"/>
      <c r="C4373" s="322" t="str">
        <f>+'LISTA DE INSUMOS'!A14</f>
        <v>MOB011</v>
      </c>
      <c r="D4373" s="324" t="str">
        <f>+'LISTA DE INSUMOS'!B14</f>
        <v>Acarreo Horizontal (% mano obra)</v>
      </c>
      <c r="E4373" s="322" t="str">
        <f>+'LISTA DE INSUMOS'!C14</f>
        <v>% MO</v>
      </c>
      <c r="F4373" s="325">
        <v>0.1</v>
      </c>
      <c r="G4373" s="312">
        <f>I4372</f>
        <v>40931</v>
      </c>
      <c r="H4373" s="322">
        <v>0</v>
      </c>
      <c r="I4373" s="312">
        <f>ROUND((F4373*G4373),0)</f>
        <v>4093</v>
      </c>
      <c r="J4373" s="313"/>
      <c r="K4373" s="323"/>
    </row>
    <row r="4374" spans="2:11" s="317" customFormat="1" ht="24.9" hidden="1" customHeight="1" thickTop="1" x14ac:dyDescent="0.2">
      <c r="B4374" s="693" t="s">
        <v>1033</v>
      </c>
      <c r="C4374" s="322" t="str">
        <f>+'LISTA DE INSUMOS'!A758</f>
        <v>EQU002</v>
      </c>
      <c r="D4374" s="324" t="str">
        <f>+'LISTA DE INSUMOS'!B758</f>
        <v>Herramienta menor (% mano obra)</v>
      </c>
      <c r="E4374" s="322" t="str">
        <f>+'LISTA DE INSUMOS'!C758</f>
        <v>%MO</v>
      </c>
      <c r="F4374" s="332">
        <v>0.1</v>
      </c>
      <c r="G4374" s="312">
        <f>I4372</f>
        <v>40931</v>
      </c>
      <c r="H4374" s="322">
        <v>0</v>
      </c>
      <c r="I4374" s="312">
        <f>ROUND((F4374*G4374),0)</f>
        <v>4093</v>
      </c>
      <c r="J4374" s="313"/>
      <c r="K4374" s="323"/>
    </row>
    <row r="4375" spans="2:11" s="317" customFormat="1" ht="24.9" hidden="1" customHeight="1" x14ac:dyDescent="0.2">
      <c r="B4375" s="658"/>
      <c r="C4375" s="322" t="str">
        <f>+'LISTA DE INSUMOS'!A773</f>
        <v>EQU016</v>
      </c>
      <c r="D4375" s="324" t="str">
        <f>+'LISTA DE INSUMOS'!B773</f>
        <v>Motobomba sumergible 3" con manguera</v>
      </c>
      <c r="E4375" s="322" t="str">
        <f>+'LISTA DE INSUMOS'!C773</f>
        <v>Día</v>
      </c>
      <c r="F4375" s="332">
        <v>1</v>
      </c>
      <c r="G4375" s="312">
        <f>'LISTA DE INSUMOS'!E773</f>
        <v>38341.394708759995</v>
      </c>
      <c r="H4375" s="322">
        <f>1/2</f>
        <v>0.5</v>
      </c>
      <c r="I4375" s="312">
        <f>ROUND((F4375*G4375*H4375),0)</f>
        <v>19171</v>
      </c>
      <c r="J4375" s="313"/>
      <c r="K4375" s="323"/>
    </row>
    <row r="4376" spans="2:11" s="317" customFormat="1" ht="24.9" hidden="1" customHeight="1" x14ac:dyDescent="0.2">
      <c r="B4376" s="658"/>
      <c r="C4376" s="338" t="str">
        <f>+'LISTA DE INSUMOS'!A804</f>
        <v>EQU049</v>
      </c>
      <c r="D4376" s="339" t="str">
        <f>+'LISTA DE INSUMOS'!B804</f>
        <v>Cuña hidráulica  con compresor (5 tiros dia)</v>
      </c>
      <c r="E4376" s="338" t="str">
        <f>+'LISTA DE INSUMOS'!C804</f>
        <v>Perforacion</v>
      </c>
      <c r="F4376" s="332">
        <v>1</v>
      </c>
      <c r="G4376" s="312">
        <f>'LISTA DE INSUMOS'!E804</f>
        <v>70022.270999999993</v>
      </c>
      <c r="H4376" s="322">
        <f>1/2</f>
        <v>0.5</v>
      </c>
      <c r="I4376" s="312">
        <f>ROUND((F4376*G4376*H4376),0)</f>
        <v>35011</v>
      </c>
      <c r="J4376" s="313"/>
      <c r="K4376" s="323"/>
    </row>
    <row r="4377" spans="2:11" s="317" customFormat="1" ht="24.9" hidden="1" customHeight="1" thickBot="1" x14ac:dyDescent="0.25">
      <c r="B4377" s="694"/>
      <c r="C4377" s="329" t="str">
        <f>+'LISTA DE INSUMOS'!A781</f>
        <v>EQU024</v>
      </c>
      <c r="D4377" s="328" t="str">
        <f>+'LISTA DE INSUMOS'!B781</f>
        <v>Retroexcavadora de orugas  capacidad 0,9 M3</v>
      </c>
      <c r="E4377" s="329" t="str">
        <f>+'LISTA DE INSUMOS'!C781</f>
        <v>Hr</v>
      </c>
      <c r="F4377" s="330">
        <v>1</v>
      </c>
      <c r="G4377" s="331">
        <f>'LISTA DE INSUMOS'!E781</f>
        <v>186912.78205599997</v>
      </c>
      <c r="H4377" s="336">
        <f>1/30</f>
        <v>3.3333333333333333E-2</v>
      </c>
      <c r="I4377" s="331">
        <f>ROUND((F4377*G4377*H4377),0)</f>
        <v>6230</v>
      </c>
      <c r="J4377" s="313"/>
      <c r="K4377" s="323"/>
    </row>
    <row r="4378" spans="2:11" s="317" customFormat="1" ht="24.9" hidden="1" customHeight="1" x14ac:dyDescent="0.2">
      <c r="B4378" s="319" t="s">
        <v>2462</v>
      </c>
      <c r="C4378" s="319"/>
      <c r="D4378" s="320" t="s">
        <v>353</v>
      </c>
      <c r="E4378" s="319" t="s">
        <v>2586</v>
      </c>
      <c r="F4378" s="321"/>
      <c r="G4378" s="312">
        <f>ROUND(SUM(I4378:I4390),0)</f>
        <v>128981</v>
      </c>
      <c r="H4378" s="322"/>
      <c r="I4378" s="312"/>
      <c r="J4378" s="313"/>
      <c r="K4378" s="323"/>
    </row>
    <row r="4379" spans="2:11" s="317" customFormat="1" ht="24.9" hidden="1" customHeight="1" x14ac:dyDescent="0.2">
      <c r="B4379" s="657" t="s">
        <v>1035</v>
      </c>
      <c r="C4379" s="338" t="str">
        <f>+'LISTA DE INSUMOS'!A210</f>
        <v>MAT171</v>
      </c>
      <c r="D4379" s="339" t="str">
        <f>+'LISTA DE INSUMOS'!B210</f>
        <v>Geomalla biaxial para refuerzo pbx 11</v>
      </c>
      <c r="E4379" s="322" t="str">
        <f>+'LISTA DE INSUMOS'!C210</f>
        <v>M2</v>
      </c>
      <c r="F4379" s="325">
        <v>5.25</v>
      </c>
      <c r="G4379" s="312">
        <f>'LISTA DE INSUMOS'!E210</f>
        <v>6847.1034312911997</v>
      </c>
      <c r="H4379" s="322">
        <v>1.05</v>
      </c>
      <c r="I4379" s="312">
        <f>ROUND((F4379*G4379*H4379),0)</f>
        <v>37745</v>
      </c>
      <c r="J4379" s="313"/>
      <c r="K4379" s="323"/>
    </row>
    <row r="4380" spans="2:11" s="317" customFormat="1" ht="24.9" hidden="1" customHeight="1" x14ac:dyDescent="0.2">
      <c r="B4380" s="657"/>
      <c r="C4380" s="322" t="str">
        <f>+'LISTA DE INSUMOS'!A204</f>
        <v>MAT164</v>
      </c>
      <c r="D4380" s="324" t="str">
        <f>+'LISTA DE INSUMOS'!B204</f>
        <v>Tierra no vegetal</v>
      </c>
      <c r="E4380" s="322" t="str">
        <f>+'LISTA DE INSUMOS'!C204</f>
        <v>M3</v>
      </c>
      <c r="F4380" s="325">
        <v>1</v>
      </c>
      <c r="G4380" s="312">
        <f>'LISTA DE INSUMOS'!E204</f>
        <v>13083.720718109247</v>
      </c>
      <c r="H4380" s="322">
        <v>1.3</v>
      </c>
      <c r="I4380" s="312">
        <f>ROUND((F4380*G4380*H4380),0)</f>
        <v>17009</v>
      </c>
      <c r="J4380" s="313"/>
      <c r="K4380" s="323"/>
    </row>
    <row r="4381" spans="2:11" s="317" customFormat="1" ht="24.9" hidden="1" customHeight="1" x14ac:dyDescent="0.2">
      <c r="B4381" s="657"/>
      <c r="C4381" s="322" t="str">
        <f>+'LISTA DE INSUMOS'!A46</f>
        <v>MAT017</v>
      </c>
      <c r="D4381" s="324" t="str">
        <f>+'LISTA DE INSUMOS'!B46</f>
        <v>Tabla para formaleta de 1" x 10" x 2,9 m</v>
      </c>
      <c r="E4381" s="322" t="str">
        <f>+'LISTA DE INSUMOS'!C46</f>
        <v>M</v>
      </c>
      <c r="F4381" s="325">
        <v>1.5</v>
      </c>
      <c r="G4381" s="312">
        <f>'LISTA DE INSUMOS'!E46</f>
        <v>8112.0359999999991</v>
      </c>
      <c r="H4381" s="322">
        <v>0</v>
      </c>
      <c r="I4381" s="312">
        <f>ROUND((F4381*G4381),0)</f>
        <v>12168</v>
      </c>
      <c r="J4381" s="313"/>
      <c r="K4381" s="323"/>
    </row>
    <row r="4382" spans="2:11" s="317" customFormat="1" ht="24.9" hidden="1" customHeight="1" x14ac:dyDescent="0.2">
      <c r="B4382" s="657"/>
      <c r="C4382" s="322" t="str">
        <f>+'LISTA DE INSUMOS'!A49</f>
        <v>MAT018</v>
      </c>
      <c r="D4382" s="324" t="str">
        <f>+'LISTA DE INSUMOS'!B49</f>
        <v>Cuartón de sajo 2" x 4" x 2,9 m</v>
      </c>
      <c r="E4382" s="322" t="str">
        <f>+'LISTA DE INSUMOS'!C49</f>
        <v>M</v>
      </c>
      <c r="F4382" s="325">
        <v>1</v>
      </c>
      <c r="G4382" s="312">
        <f>'LISTA DE INSUMOS'!E49</f>
        <v>11944.810644542158</v>
      </c>
      <c r="H4382" s="322">
        <v>0</v>
      </c>
      <c r="I4382" s="312">
        <f>ROUND((F4382*G4382),0)</f>
        <v>11945</v>
      </c>
      <c r="J4382" s="313"/>
      <c r="K4382" s="323"/>
    </row>
    <row r="4383" spans="2:11" s="317" customFormat="1" ht="24.9" hidden="1" customHeight="1" x14ac:dyDescent="0.2">
      <c r="B4383" s="657" t="s">
        <v>1325</v>
      </c>
      <c r="C4383" s="322" t="str">
        <f>+'LISTA DE INSUMOS'!A52</f>
        <v>MAT021</v>
      </c>
      <c r="D4383" s="324" t="str">
        <f>+'LISTA DE INSUMOS'!B52</f>
        <v>Puntilla (promedio)</v>
      </c>
      <c r="E4383" s="322" t="str">
        <f>+'LISTA DE INSUMOS'!C52</f>
        <v>Lb</v>
      </c>
      <c r="F4383" s="337">
        <v>0.2</v>
      </c>
      <c r="G4383" s="312">
        <f>'LISTA DE INSUMOS'!E52</f>
        <v>6690.6972299999998</v>
      </c>
      <c r="H4383" s="322">
        <v>0</v>
      </c>
      <c r="I4383" s="312">
        <f>ROUND((F4383*G4383),0)</f>
        <v>1338</v>
      </c>
      <c r="J4383" s="313"/>
      <c r="K4383" s="323"/>
    </row>
    <row r="4384" spans="2:11" s="317" customFormat="1" ht="24.9" hidden="1" customHeight="1" x14ac:dyDescent="0.2">
      <c r="B4384" s="657"/>
      <c r="C4384" s="338" t="str">
        <f>+'LISTA DE INSUMOS'!A53</f>
        <v>MAT022</v>
      </c>
      <c r="D4384" s="339" t="str">
        <f>+'LISTA DE INSUMOS'!B53</f>
        <v>Alambre negro calibre 17</v>
      </c>
      <c r="E4384" s="338" t="str">
        <f>+'LISTA DE INSUMOS'!C53</f>
        <v>Kg</v>
      </c>
      <c r="F4384" s="325">
        <v>0.4</v>
      </c>
      <c r="G4384" s="340">
        <f>'LISTA DE INSUMOS'!E53</f>
        <v>7948.98</v>
      </c>
      <c r="H4384" s="322">
        <v>1.05</v>
      </c>
      <c r="I4384" s="312">
        <f>ROUND((F4384*G4384*H4384),0)</f>
        <v>3339</v>
      </c>
      <c r="J4384" s="313"/>
      <c r="K4384" s="323"/>
    </row>
    <row r="4385" spans="2:11" s="317" customFormat="1" ht="24.9" customHeight="1" x14ac:dyDescent="0.2">
      <c r="B4385" s="657"/>
      <c r="C4385" s="338"/>
      <c r="D4385" s="139" t="str">
        <f>+'LISTA DE INSUMOS'!B207</f>
        <v>Fertilizante Tipo DAP,10-30-10, Triple Quince</v>
      </c>
      <c r="E4385" s="108" t="str">
        <f>+'LISTA DE INSUMOS'!C199</f>
        <v>Un</v>
      </c>
      <c r="F4385" s="176">
        <v>0.3</v>
      </c>
      <c r="G4385" s="141">
        <f>'LISTA DE INSUMOS'!E207</f>
        <v>5300.1352799999995</v>
      </c>
      <c r="H4385" s="205">
        <v>1.03</v>
      </c>
      <c r="I4385" s="141">
        <f>ROUND((F4385*G4385*H4385),0)</f>
        <v>1638</v>
      </c>
      <c r="J4385" s="313"/>
      <c r="K4385" s="323"/>
    </row>
    <row r="4386" spans="2:11" s="317" customFormat="1" ht="24.9" customHeight="1" x14ac:dyDescent="0.2">
      <c r="B4386" s="657"/>
      <c r="C4386" s="322" t="str">
        <f>+'LISTA DE INSUMOS'!A51</f>
        <v>MAT020</v>
      </c>
      <c r="D4386" s="139" t="str">
        <f>'LISTA DE INSUMOS'!B64</f>
        <v>Plántulas  altura &gt; 1.00 m para recuperación paisajistica y/o urbana</v>
      </c>
      <c r="E4386" s="108" t="str">
        <f>+'LISTA DE INSUMOS'!C51</f>
        <v>Un</v>
      </c>
      <c r="F4386" s="176">
        <v>1</v>
      </c>
      <c r="G4386" s="141">
        <f>'LISTA DE INSUMOS'!E64</f>
        <v>19556.084456957364</v>
      </c>
      <c r="H4386" s="205">
        <v>0</v>
      </c>
      <c r="I4386" s="141">
        <f>ROUND((F4386*G4386),0)</f>
        <v>19556</v>
      </c>
      <c r="J4386" s="313"/>
      <c r="K4386" s="323"/>
    </row>
    <row r="4387" spans="2:11" s="317" customFormat="1" ht="25.5" customHeight="1" thickBot="1" x14ac:dyDescent="0.25">
      <c r="B4387" s="117" t="s">
        <v>1310</v>
      </c>
      <c r="C4387" s="322" t="str">
        <f>+B417</f>
        <v>ITE068</v>
      </c>
      <c r="D4387" s="139" t="str">
        <f>D334</f>
        <v xml:space="preserve">Transporte material &gt; 40 Km </v>
      </c>
      <c r="E4387" s="108" t="str">
        <f>E334</f>
        <v>M3-Km</v>
      </c>
      <c r="F4387" s="176">
        <v>5</v>
      </c>
      <c r="G4387" s="141">
        <f>G334</f>
        <v>1797</v>
      </c>
      <c r="H4387" s="205">
        <v>1</v>
      </c>
      <c r="I4387" s="141">
        <f>ROUND((F4387*G4387*H4387),0)</f>
        <v>8985</v>
      </c>
      <c r="J4387" s="313"/>
      <c r="K4387" s="323"/>
    </row>
    <row r="4388" spans="2:11" s="317" customFormat="1" ht="20.399999999999999" customHeight="1" thickTop="1" thickBot="1" x14ac:dyDescent="0.25">
      <c r="B4388" s="153" t="s">
        <v>1034</v>
      </c>
      <c r="C4388" s="338" t="str">
        <f>+'LISTA DE INSUMOS'!A16</f>
        <v>MOB013</v>
      </c>
      <c r="D4388" s="139" t="str">
        <f>+'LISTA DE INSUMOS'!B16</f>
        <v>Cuadrilla C 1 Of + 7 Ay (jornal + prestaciones)</v>
      </c>
      <c r="E4388" s="108" t="str">
        <f>+'LISTA DE INSUMOS'!C16</f>
        <v>Día</v>
      </c>
      <c r="F4388" s="176">
        <v>1</v>
      </c>
      <c r="G4388" s="141">
        <f>'LISTA DE INSUMOS'!E16</f>
        <v>736750</v>
      </c>
      <c r="H4388" s="205">
        <f>1/60</f>
        <v>1.6666666666666666E-2</v>
      </c>
      <c r="I4388" s="141">
        <f>ROUND((F4388*G4388*H4388),0)</f>
        <v>12279</v>
      </c>
      <c r="J4388" s="313"/>
      <c r="K4388" s="323"/>
    </row>
    <row r="4389" spans="2:11" s="317" customFormat="1" ht="33.6" customHeight="1" thickTop="1" thickBot="1" x14ac:dyDescent="0.25">
      <c r="B4389" s="150" t="s">
        <v>1033</v>
      </c>
      <c r="C4389" s="322" t="str">
        <f>+'LISTA DE INSUMOS'!A758</f>
        <v>EQU002</v>
      </c>
      <c r="D4389" s="139" t="str">
        <f>+'LISTA DE INSUMOS'!B758</f>
        <v>Herramienta menor (% mano obra)</v>
      </c>
      <c r="E4389" s="108" t="str">
        <f>+'LISTA DE INSUMOS'!C758</f>
        <v>%MO</v>
      </c>
      <c r="F4389" s="419">
        <v>0.1</v>
      </c>
      <c r="G4389" s="141">
        <f>I4388</f>
        <v>12279</v>
      </c>
      <c r="H4389" s="205">
        <v>0</v>
      </c>
      <c r="I4389" s="141">
        <f>ROUND((F4389*G4389),0)</f>
        <v>1228</v>
      </c>
      <c r="J4389" s="313"/>
      <c r="K4389" s="323"/>
    </row>
    <row r="4390" spans="2:11" s="317" customFormat="1" ht="39" customHeight="1" x14ac:dyDescent="0.2">
      <c r="B4390" s="117" t="s">
        <v>421</v>
      </c>
      <c r="C4390" s="117" t="s">
        <v>419</v>
      </c>
      <c r="D4390" s="112" t="s">
        <v>420</v>
      </c>
      <c r="E4390" s="117" t="s">
        <v>1435</v>
      </c>
      <c r="F4390" s="149">
        <f>1/40</f>
        <v>2.5000000000000001E-2</v>
      </c>
      <c r="G4390" s="119">
        <f>'LISTA DE INSUMOS'!E824</f>
        <v>70022.270999999993</v>
      </c>
      <c r="H4390" s="120">
        <v>0</v>
      </c>
      <c r="I4390" s="119">
        <f>ROUND((F4390*G4390),0)</f>
        <v>1751</v>
      </c>
      <c r="J4390" s="313"/>
      <c r="K4390" s="323"/>
    </row>
    <row r="4391" spans="2:11" ht="29.25" customHeight="1" x14ac:dyDescent="0.2">
      <c r="B4391" s="117" t="s">
        <v>1537</v>
      </c>
      <c r="C4391" s="117"/>
      <c r="D4391" s="112" t="s">
        <v>2460</v>
      </c>
      <c r="E4391" s="117" t="s">
        <v>1412</v>
      </c>
      <c r="F4391" s="149"/>
      <c r="G4391" s="119">
        <f>ROUND(SUM(I4392:I4397),0)</f>
        <v>19291</v>
      </c>
      <c r="H4391" s="120"/>
      <c r="I4391" s="119"/>
      <c r="J4391" s="47"/>
      <c r="K4391" s="143"/>
    </row>
    <row r="4392" spans="2:11" ht="24.9" customHeight="1" x14ac:dyDescent="0.2">
      <c r="B4392" s="657" t="s">
        <v>1325</v>
      </c>
      <c r="C4392" s="108" t="str">
        <f>+'LISTA DE INSUMOS'!A194</f>
        <v>MAT153</v>
      </c>
      <c r="D4392" s="139" t="str">
        <f>+'LISTA DE INSUMOS'!B194</f>
        <v>Plántula (vetiver, limoncillo, lirio y afines), altura promedio 0.25 m</v>
      </c>
      <c r="E4392" s="108" t="str">
        <f>+'LISTA DE INSUMOS'!C194</f>
        <v>Un</v>
      </c>
      <c r="F4392" s="176">
        <v>10</v>
      </c>
      <c r="G4392" s="141">
        <f>'LISTA DE INSUMOS'!E194</f>
        <v>1094.1811277443198</v>
      </c>
      <c r="H4392" s="205">
        <v>0</v>
      </c>
      <c r="I4392" s="141">
        <f>ROUND((F4392*G4392),0)</f>
        <v>10942</v>
      </c>
      <c r="J4392" s="47"/>
      <c r="K4392" s="143"/>
    </row>
    <row r="4393" spans="2:11" ht="24.9" customHeight="1" x14ac:dyDescent="0.2">
      <c r="B4393" s="657"/>
      <c r="C4393" s="108" t="str">
        <f>+'LISTA DE INSUMOS'!A207</f>
        <v>MAT167</v>
      </c>
      <c r="D4393" s="139" t="str">
        <f>+'LISTA DE INSUMOS'!B207</f>
        <v>Fertilizante Tipo DAP,10-30-10, Triple Quince</v>
      </c>
      <c r="E4393" s="108" t="str">
        <f>+'LISTA DE INSUMOS'!C207</f>
        <v>Kg</v>
      </c>
      <c r="F4393" s="176">
        <v>0.3</v>
      </c>
      <c r="G4393" s="141">
        <f>'LISTA DE INSUMOS'!E207</f>
        <v>5300.1352799999995</v>
      </c>
      <c r="H4393" s="205">
        <v>1.03</v>
      </c>
      <c r="I4393" s="141">
        <f>ROUND((F4393*G4393*H4393),0)</f>
        <v>1638</v>
      </c>
      <c r="J4393" s="47"/>
      <c r="K4393" s="143"/>
    </row>
    <row r="4394" spans="2:11" ht="24.9" customHeight="1" x14ac:dyDescent="0.2">
      <c r="B4394" s="657"/>
      <c r="C4394" s="108" t="str">
        <f>+'LISTA DE INSUMOS'!A266</f>
        <v>MAT236</v>
      </c>
      <c r="D4394" s="139" t="str">
        <f>+'LISTA DE INSUMOS'!B266</f>
        <v>Calfos</v>
      </c>
      <c r="E4394" s="108" t="str">
        <f>+'LISTA DE INSUMOS'!C266</f>
        <v>Kg</v>
      </c>
      <c r="F4394" s="176">
        <v>1</v>
      </c>
      <c r="G4394" s="141">
        <f>'LISTA DE INSUMOS'!E266</f>
        <v>672.63274819540788</v>
      </c>
      <c r="H4394" s="205">
        <v>1.03</v>
      </c>
      <c r="I4394" s="141">
        <f>ROUND((F4394*G4394*H4394),0)</f>
        <v>693</v>
      </c>
      <c r="J4394" s="47"/>
      <c r="K4394" s="143"/>
    </row>
    <row r="4395" spans="2:11" ht="24.9" customHeight="1" thickBot="1" x14ac:dyDescent="0.25">
      <c r="B4395" s="657"/>
      <c r="C4395" s="108" t="str">
        <f>+'LISTA DE INSUMOS'!A272</f>
        <v>MAT242</v>
      </c>
      <c r="D4395" s="139" t="str">
        <f>+'LISTA DE INSUMOS'!B272</f>
        <v>Insecticida</v>
      </c>
      <c r="E4395" s="108" t="str">
        <f>+'LISTA DE INSUMOS'!C272</f>
        <v>Kg</v>
      </c>
      <c r="F4395" s="419">
        <f>0.00003*F4392</f>
        <v>3.0000000000000003E-4</v>
      </c>
      <c r="G4395" s="141">
        <f>'LISTA DE INSUMOS'!E272</f>
        <v>47590.798034999993</v>
      </c>
      <c r="H4395" s="205">
        <v>1.03</v>
      </c>
      <c r="I4395" s="141">
        <f>ROUND((F4395*G4395*H4395),0)</f>
        <v>15</v>
      </c>
      <c r="J4395" s="47"/>
      <c r="K4395" s="143"/>
    </row>
    <row r="4396" spans="2:11" ht="24.9" customHeight="1" thickTop="1" thickBot="1" x14ac:dyDescent="0.25">
      <c r="B4396" s="153" t="s">
        <v>1034</v>
      </c>
      <c r="C4396" s="108" t="str">
        <f>+'LISTA DE INSUMOS'!A7</f>
        <v>MOB004</v>
      </c>
      <c r="D4396" s="139" t="str">
        <f>+'LISTA DE INSUMOS'!B7</f>
        <v>Ayudante (jornal + prestaciones)</v>
      </c>
      <c r="E4396" s="108" t="str">
        <f>+'LISTA DE INSUMOS'!C7</f>
        <v>Dia</v>
      </c>
      <c r="F4396" s="176">
        <v>1</v>
      </c>
      <c r="G4396" s="141">
        <f>+'LISTA DE INSUMOS'!E7</f>
        <v>81861</v>
      </c>
      <c r="H4396" s="205">
        <f>1/15</f>
        <v>6.6666666666666666E-2</v>
      </c>
      <c r="I4396" s="141">
        <f>ROUND((F4396*G4396*H4396),0)</f>
        <v>5457</v>
      </c>
      <c r="J4396" s="47"/>
      <c r="K4396" s="143"/>
    </row>
    <row r="4397" spans="2:11" ht="24.9" customHeight="1" thickTop="1" thickBot="1" x14ac:dyDescent="0.25">
      <c r="B4397" s="150" t="s">
        <v>1033</v>
      </c>
      <c r="C4397" s="151" t="str">
        <f>+'LISTA DE INSUMOS'!A758</f>
        <v>EQU002</v>
      </c>
      <c r="D4397" s="146" t="str">
        <f>+'LISTA DE INSUMOS'!B758</f>
        <v>Herramienta menor (% mano obra)</v>
      </c>
      <c r="E4397" s="145" t="str">
        <f>+'LISTA DE INSUMOS'!C758</f>
        <v>%MO</v>
      </c>
      <c r="F4397" s="229">
        <v>0.1</v>
      </c>
      <c r="G4397" s="148">
        <f>I4396</f>
        <v>5457</v>
      </c>
      <c r="H4397" s="206">
        <v>0</v>
      </c>
      <c r="I4397" s="148">
        <f>ROUND((F4397*G4397),0)</f>
        <v>546</v>
      </c>
      <c r="J4397" s="47"/>
      <c r="K4397" s="143"/>
    </row>
    <row r="4398" spans="2:11" ht="24.9" customHeight="1" x14ac:dyDescent="0.2">
      <c r="B4398" s="117" t="s">
        <v>1538</v>
      </c>
      <c r="C4398" s="117"/>
      <c r="D4398" s="112" t="s">
        <v>1743</v>
      </c>
      <c r="E4398" s="117" t="s">
        <v>2585</v>
      </c>
      <c r="F4398" s="149"/>
      <c r="G4398" s="119">
        <f>ROUND(SUM(I4399:I4405),0)</f>
        <v>13023</v>
      </c>
      <c r="H4398" s="120"/>
      <c r="I4398" s="119"/>
      <c r="J4398" s="47"/>
      <c r="K4398" s="143"/>
    </row>
    <row r="4399" spans="2:11" ht="24.9" customHeight="1" x14ac:dyDescent="0.2">
      <c r="B4399" s="657" t="s">
        <v>1325</v>
      </c>
      <c r="C4399" s="108" t="str">
        <f>+'LISTA DE INSUMOS'!A224</f>
        <v>MAT192</v>
      </c>
      <c r="D4399" s="139" t="str">
        <f>+'LISTA DE INSUMOS'!B224</f>
        <v>Cepas, macollas o matas de pasto</v>
      </c>
      <c r="E4399" s="108" t="str">
        <f>+'LISTA DE INSUMOS'!C224</f>
        <v>Un</v>
      </c>
      <c r="F4399" s="176">
        <v>9</v>
      </c>
      <c r="G4399" s="141">
        <f>'LISTA DE INSUMOS'!E224</f>
        <v>710.71810694807982</v>
      </c>
      <c r="H4399" s="205">
        <v>0</v>
      </c>
      <c r="I4399" s="141">
        <f>ROUND((F4399*G4399),0)</f>
        <v>6396</v>
      </c>
      <c r="J4399" s="47"/>
      <c r="K4399" s="143"/>
    </row>
    <row r="4400" spans="2:11" ht="24.9" customHeight="1" x14ac:dyDescent="0.2">
      <c r="B4400" s="657"/>
      <c r="C4400" s="108" t="str">
        <f>+'LISTA DE INSUMOS'!A207</f>
        <v>MAT167</v>
      </c>
      <c r="D4400" s="139" t="str">
        <f>+'LISTA DE INSUMOS'!B207</f>
        <v>Fertilizante Tipo DAP,10-30-10, Triple Quince</v>
      </c>
      <c r="E4400" s="108" t="str">
        <f>+'LISTA DE INSUMOS'!C207</f>
        <v>Kg</v>
      </c>
      <c r="F4400" s="176">
        <v>0.03</v>
      </c>
      <c r="G4400" s="141">
        <f>'LISTA DE INSUMOS'!E207</f>
        <v>5300.1352799999995</v>
      </c>
      <c r="H4400" s="205">
        <v>1.03</v>
      </c>
      <c r="I4400" s="141">
        <f>ROUND((F4400*G4400*H4400),0)</f>
        <v>164</v>
      </c>
      <c r="J4400" s="47"/>
      <c r="K4400" s="143"/>
    </row>
    <row r="4401" spans="2:11" ht="24.9" customHeight="1" x14ac:dyDescent="0.2">
      <c r="B4401" s="657"/>
      <c r="C4401" s="108" t="str">
        <f>+'LISTA DE INSUMOS'!A266</f>
        <v>MAT236</v>
      </c>
      <c r="D4401" s="139" t="str">
        <f>+'LISTA DE INSUMOS'!B266</f>
        <v>Calfos</v>
      </c>
      <c r="E4401" s="108" t="str">
        <f>+'LISTA DE INSUMOS'!C266</f>
        <v>Kg</v>
      </c>
      <c r="F4401" s="176">
        <v>0.03</v>
      </c>
      <c r="G4401" s="141">
        <f>'LISTA DE INSUMOS'!E266</f>
        <v>672.63274819540788</v>
      </c>
      <c r="H4401" s="205">
        <v>1.03</v>
      </c>
      <c r="I4401" s="141">
        <f>ROUND((F4401*G4401*H4401),0)</f>
        <v>21</v>
      </c>
      <c r="J4401" s="47"/>
      <c r="K4401" s="143"/>
    </row>
    <row r="4402" spans="2:11" ht="24.9" customHeight="1" thickBot="1" x14ac:dyDescent="0.25">
      <c r="B4402" s="657"/>
      <c r="C4402" s="108" t="str">
        <f>+'LISTA DE INSUMOS'!A272</f>
        <v>MAT242</v>
      </c>
      <c r="D4402" s="139" t="str">
        <f>+'LISTA DE INSUMOS'!B272</f>
        <v>Insecticida</v>
      </c>
      <c r="E4402" s="108" t="str">
        <f>+'LISTA DE INSUMOS'!C272</f>
        <v>Kg</v>
      </c>
      <c r="F4402" s="228">
        <v>1E-3</v>
      </c>
      <c r="G4402" s="141">
        <f>'LISTA DE INSUMOS'!E272</f>
        <v>47590.798034999993</v>
      </c>
      <c r="H4402" s="205">
        <v>1.03</v>
      </c>
      <c r="I4402" s="141">
        <f>ROUND((F4402*G4402*H4402),0)</f>
        <v>49</v>
      </c>
      <c r="J4402" s="47"/>
      <c r="K4402" s="143"/>
    </row>
    <row r="4403" spans="2:11" ht="24.9" customHeight="1" thickTop="1" thickBot="1" x14ac:dyDescent="0.25">
      <c r="B4403" s="153" t="s">
        <v>1034</v>
      </c>
      <c r="C4403" s="108" t="str">
        <f>+'LISTA DE INSUMOS'!A7</f>
        <v>MOB004</v>
      </c>
      <c r="D4403" s="139" t="str">
        <f>+'LISTA DE INSUMOS'!B7</f>
        <v>Ayudante (jornal + prestaciones)</v>
      </c>
      <c r="E4403" s="108" t="str">
        <f>+'LISTA DE INSUMOS'!C7</f>
        <v>Dia</v>
      </c>
      <c r="F4403" s="176">
        <v>1</v>
      </c>
      <c r="G4403" s="141">
        <f>+'LISTA DE INSUMOS'!E7</f>
        <v>81861</v>
      </c>
      <c r="H4403" s="205">
        <f>1/15</f>
        <v>6.6666666666666666E-2</v>
      </c>
      <c r="I4403" s="141">
        <f>ROUND((F4403*G4403*H4403),0)</f>
        <v>5457</v>
      </c>
      <c r="J4403" s="47"/>
      <c r="K4403" s="143"/>
    </row>
    <row r="4404" spans="2:11" ht="24.9" customHeight="1" thickTop="1" x14ac:dyDescent="0.2">
      <c r="B4404" s="710" t="s">
        <v>1033</v>
      </c>
      <c r="C4404" s="108" t="str">
        <f>+'LISTA DE INSUMOS'!A758</f>
        <v>EQU002</v>
      </c>
      <c r="D4404" s="139" t="str">
        <f>+'LISTA DE INSUMOS'!B758</f>
        <v>Herramienta menor (% mano obra)</v>
      </c>
      <c r="E4404" s="108" t="str">
        <f>+'LISTA DE INSUMOS'!C758</f>
        <v>%MO</v>
      </c>
      <c r="F4404" s="176">
        <v>0.05</v>
      </c>
      <c r="G4404" s="141">
        <f>I4403</f>
        <v>5457</v>
      </c>
      <c r="H4404" s="205">
        <v>0</v>
      </c>
      <c r="I4404" s="141">
        <f>ROUND((F4404*G4404),0)</f>
        <v>273</v>
      </c>
      <c r="J4404" s="47"/>
      <c r="K4404" s="143"/>
    </row>
    <row r="4405" spans="2:11" ht="24.9" customHeight="1" thickBot="1" x14ac:dyDescent="0.25">
      <c r="B4405" s="711"/>
      <c r="C4405" s="145" t="str">
        <f>+'LISTA DE INSUMOS'!A808</f>
        <v>EQU053</v>
      </c>
      <c r="D4405" s="146" t="str">
        <f>+'LISTA DE INSUMOS'!B808</f>
        <v>Transporte de materiales</v>
      </c>
      <c r="E4405" s="145" t="str">
        <f>+'LISTA DE INSUMOS'!C808</f>
        <v>%Mat.</v>
      </c>
      <c r="F4405" s="229">
        <v>0.1</v>
      </c>
      <c r="G4405" s="148">
        <f>SUM(I4399:I4402)</f>
        <v>6630</v>
      </c>
      <c r="H4405" s="206">
        <v>0</v>
      </c>
      <c r="I4405" s="148">
        <f>ROUND((F4405*G4405),0)</f>
        <v>663</v>
      </c>
      <c r="J4405" s="47"/>
      <c r="K4405" s="143"/>
    </row>
    <row r="4406" spans="2:11" ht="24.9" customHeight="1" x14ac:dyDescent="0.2">
      <c r="B4406" s="193" t="s">
        <v>3018</v>
      </c>
      <c r="C4406" s="117"/>
      <c r="D4406" s="112" t="s">
        <v>2609</v>
      </c>
      <c r="E4406" s="117" t="s">
        <v>1412</v>
      </c>
      <c r="F4406" s="149"/>
      <c r="G4406" s="119">
        <f>ROUND(SUM(I4407:I4412),0)</f>
        <v>23189</v>
      </c>
      <c r="H4406" s="120"/>
      <c r="I4406" s="119"/>
      <c r="J4406" s="141"/>
      <c r="K4406" s="143"/>
    </row>
    <row r="4407" spans="2:11" ht="24.9" customHeight="1" x14ac:dyDescent="0.2">
      <c r="B4407" s="672" t="s">
        <v>1035</v>
      </c>
      <c r="C4407" s="108" t="str">
        <f>+'LISTA DE INSUMOS'!A65</f>
        <v>MAT033</v>
      </c>
      <c r="D4407" s="139" t="str">
        <f>+'LISTA DE INSUMOS'!B65</f>
        <v>Alambre de púas C 12,5</v>
      </c>
      <c r="E4407" s="108" t="str">
        <f>+'LISTA DE INSUMOS'!C65</f>
        <v>M</v>
      </c>
      <c r="F4407" s="140">
        <v>3</v>
      </c>
      <c r="G4407" s="141">
        <f>'LISTA DE INSUMOS'!E65</f>
        <v>981.39329999999995</v>
      </c>
      <c r="H4407" s="205">
        <v>0</v>
      </c>
      <c r="I4407" s="141">
        <f>ROUND((F4407*G4407),0)</f>
        <v>2944</v>
      </c>
      <c r="J4407" s="47"/>
      <c r="K4407" s="143"/>
    </row>
    <row r="4408" spans="2:11" ht="24.9" customHeight="1" x14ac:dyDescent="0.2">
      <c r="B4408" s="672"/>
      <c r="C4408" s="108" t="str">
        <f>+'LISTA DE INSUMOS'!A62</f>
        <v>MAT030</v>
      </c>
      <c r="D4408" s="139" t="str">
        <f>+'LISTA DE INSUMOS'!B62</f>
        <v xml:space="preserve">Poste de madera 8*8" h = 2 m. revoltura media </v>
      </c>
      <c r="E4408" s="108" t="str">
        <f>+'LISTA DE INSUMOS'!C62</f>
        <v>Un</v>
      </c>
      <c r="F4408" s="176">
        <v>0.43332999999999999</v>
      </c>
      <c r="G4408" s="141">
        <f>'LISTA DE INSUMOS'!E62</f>
        <v>24981.304286399998</v>
      </c>
      <c r="H4408" s="205">
        <v>1.05</v>
      </c>
      <c r="I4408" s="141">
        <f>H4408*G4408*F4408</f>
        <v>11366.406015746998</v>
      </c>
      <c r="J4408" s="47"/>
      <c r="K4408" s="143"/>
    </row>
    <row r="4409" spans="2:11" ht="24.9" customHeight="1" x14ac:dyDescent="0.2">
      <c r="B4409" s="672"/>
      <c r="C4409" s="108" t="str">
        <f>+'LISTA DE INSUMOS'!A196</f>
        <v>MAT156</v>
      </c>
      <c r="D4409" s="139" t="str">
        <f>+'LISTA DE INSUMOS'!B196</f>
        <v xml:space="preserve">Grapas galvanizada </v>
      </c>
      <c r="E4409" s="108" t="str">
        <f>+'LISTA DE INSUMOS'!C196</f>
        <v>Kg</v>
      </c>
      <c r="F4409" s="228">
        <v>0.01</v>
      </c>
      <c r="G4409" s="141">
        <f>'LISTA DE INSUMOS'!E196</f>
        <v>14878.859999999999</v>
      </c>
      <c r="H4409" s="205">
        <v>0</v>
      </c>
      <c r="I4409" s="141">
        <f>ROUND((F4409*G4409),0)</f>
        <v>149</v>
      </c>
      <c r="J4409" s="47"/>
      <c r="K4409" s="143"/>
    </row>
    <row r="4410" spans="2:11" ht="24.9" customHeight="1" thickBot="1" x14ac:dyDescent="0.25">
      <c r="B4410" s="673"/>
      <c r="C4410" s="108" t="str">
        <f>+'LISTA DE INSUMOS'!A190</f>
        <v>MAT148</v>
      </c>
      <c r="D4410" s="139" t="str">
        <f>+'LISTA DE INSUMOS'!B190</f>
        <v xml:space="preserve">Alambre galvanizado C 12 </v>
      </c>
      <c r="E4410" s="108" t="str">
        <f>+'LISTA DE INSUMOS'!C190</f>
        <v>Kg</v>
      </c>
      <c r="F4410" s="152">
        <v>0.15</v>
      </c>
      <c r="G4410" s="141">
        <f>'LISTA DE INSUMOS'!E190</f>
        <v>10174.934703779998</v>
      </c>
      <c r="H4410" s="108">
        <v>0</v>
      </c>
      <c r="I4410" s="141">
        <f>ROUND((F4410*G4410),0)</f>
        <v>1526</v>
      </c>
      <c r="J4410" s="47"/>
      <c r="K4410" s="143"/>
    </row>
    <row r="4411" spans="2:11" ht="24.9" customHeight="1" thickTop="1" thickBot="1" x14ac:dyDescent="0.25">
      <c r="B4411" s="250" t="s">
        <v>1034</v>
      </c>
      <c r="C4411" s="108" t="str">
        <f>+'LISTA DE INSUMOS'!A20</f>
        <v>MOB017</v>
      </c>
      <c r="D4411" s="139" t="str">
        <f>+'LISTA DE INSUMOS'!B20</f>
        <v>Cuadrilla G 1 Of + 2 Ay (jornal + prestaciones)</v>
      </c>
      <c r="E4411" s="108" t="str">
        <f>+'LISTA DE INSUMOS'!C20</f>
        <v>Día</v>
      </c>
      <c r="F4411" s="176">
        <v>1</v>
      </c>
      <c r="G4411" s="141">
        <f>'LISTA DE INSUMOS'!E20</f>
        <v>327445</v>
      </c>
      <c r="H4411" s="205">
        <v>0.02</v>
      </c>
      <c r="I4411" s="141">
        <f>ROUND((F4411*G4411*H4411),0)</f>
        <v>6549</v>
      </c>
      <c r="J4411" s="47"/>
      <c r="K4411" s="143"/>
    </row>
    <row r="4412" spans="2:11" ht="24.9" customHeight="1" thickTop="1" thickBot="1" x14ac:dyDescent="0.25">
      <c r="B4412" s="150" t="s">
        <v>1033</v>
      </c>
      <c r="C4412" s="151" t="str">
        <f>+'LISTA DE INSUMOS'!A758</f>
        <v>EQU002</v>
      </c>
      <c r="D4412" s="146" t="str">
        <f>+'LISTA DE INSUMOS'!B758</f>
        <v>Herramienta menor (% mano obra)</v>
      </c>
      <c r="E4412" s="145" t="str">
        <f>+'LISTA DE INSUMOS'!C758</f>
        <v>%MO</v>
      </c>
      <c r="F4412" s="229">
        <v>0.1</v>
      </c>
      <c r="G4412" s="148">
        <f>I4411</f>
        <v>6549</v>
      </c>
      <c r="H4412" s="206">
        <v>0</v>
      </c>
      <c r="I4412" s="148">
        <f>ROUND((F4412*G4412),0)</f>
        <v>655</v>
      </c>
      <c r="J4412" s="47"/>
      <c r="K4412" s="143"/>
    </row>
    <row r="4413" spans="2:11" ht="24.9" customHeight="1" x14ac:dyDescent="0.2">
      <c r="B4413" s="117" t="s">
        <v>2463</v>
      </c>
      <c r="C4413" s="117"/>
      <c r="D4413" s="112" t="s">
        <v>1929</v>
      </c>
      <c r="E4413" s="117" t="s">
        <v>1603</v>
      </c>
      <c r="F4413" s="149"/>
      <c r="G4413" s="119">
        <f>ROUND(SUM(I4414:I4415),0)</f>
        <v>5672975</v>
      </c>
      <c r="H4413" s="120"/>
      <c r="I4413" s="119"/>
      <c r="J4413" s="47"/>
      <c r="K4413" s="143"/>
    </row>
    <row r="4414" spans="2:11" s="317" customFormat="1" ht="24.9" customHeight="1" thickBot="1" x14ac:dyDescent="0.25">
      <c r="B4414" s="512" t="s">
        <v>1034</v>
      </c>
      <c r="C4414" s="108" t="str">
        <f>+'LISTA DE INSUMOS'!A16</f>
        <v>MOB013</v>
      </c>
      <c r="D4414" s="139" t="str">
        <f>+'LISTA DE INSUMOS'!B16</f>
        <v>Cuadrilla C 1 Of + 7 Ay (jornal + prestaciones)</v>
      </c>
      <c r="E4414" s="108" t="str">
        <f>+'LISTA DE INSUMOS'!C16</f>
        <v>Día</v>
      </c>
      <c r="F4414" s="176">
        <v>1</v>
      </c>
      <c r="G4414" s="141">
        <f>'LISTA DE INSUMOS'!E16</f>
        <v>736750</v>
      </c>
      <c r="H4414" s="205">
        <v>7</v>
      </c>
      <c r="I4414" s="141">
        <f>ROUND((F4414*G4414*H4414),0)</f>
        <v>5157250</v>
      </c>
      <c r="J4414" s="313"/>
      <c r="K4414" s="323"/>
    </row>
    <row r="4415" spans="2:11" s="317" customFormat="1" ht="24.9" customHeight="1" thickTop="1" thickBot="1" x14ac:dyDescent="0.25">
      <c r="B4415" s="513" t="s">
        <v>1033</v>
      </c>
      <c r="C4415" s="151" t="str">
        <f>+'LISTA DE INSUMOS'!A758</f>
        <v>EQU002</v>
      </c>
      <c r="D4415" s="146" t="str">
        <f>+'LISTA DE INSUMOS'!B758</f>
        <v>Herramienta menor (% mano obra)</v>
      </c>
      <c r="E4415" s="145" t="str">
        <f>+'LISTA DE INSUMOS'!C758</f>
        <v>%MO</v>
      </c>
      <c r="F4415" s="229">
        <v>0.1</v>
      </c>
      <c r="G4415" s="148">
        <f>I4414</f>
        <v>5157250</v>
      </c>
      <c r="H4415" s="206">
        <v>0</v>
      </c>
      <c r="I4415" s="148">
        <f>ROUND((F4415*G4415),0)</f>
        <v>515725</v>
      </c>
      <c r="J4415" s="313"/>
      <c r="K4415" s="323"/>
    </row>
    <row r="4416" spans="2:11" ht="24.9" customHeight="1" x14ac:dyDescent="0.2">
      <c r="B4416" s="117" t="s">
        <v>3019</v>
      </c>
      <c r="C4416" s="117"/>
      <c r="D4416" s="112" t="s">
        <v>335</v>
      </c>
      <c r="E4416" s="117" t="s">
        <v>1412</v>
      </c>
      <c r="F4416" s="149"/>
      <c r="G4416" s="119">
        <f>ROUND(SUM(I4417:I4420),0)</f>
        <v>69553</v>
      </c>
      <c r="H4416" s="120"/>
      <c r="I4416" s="119"/>
      <c r="J4416" s="47"/>
      <c r="K4416" s="143"/>
    </row>
    <row r="4417" spans="2:11" ht="24.9" customHeight="1" thickBot="1" x14ac:dyDescent="0.25">
      <c r="B4417" s="175" t="s">
        <v>1325</v>
      </c>
      <c r="C4417" s="125" t="str">
        <f>+'LISTA DE INSUMOS'!A606</f>
        <v>MAT623</v>
      </c>
      <c r="D4417" s="167" t="str">
        <f>+'LISTA DE INSUMOS'!B606</f>
        <v>Bordillo prefabricado A80 (800 x 200 x 350 mm)</v>
      </c>
      <c r="E4417" s="166" t="str">
        <f>+'LISTA DE INSUMOS'!C606</f>
        <v>Un</v>
      </c>
      <c r="F4417" s="160">
        <v>1.25</v>
      </c>
      <c r="G4417" s="141">
        <f>'LISTA DE INSUMOS'!E606</f>
        <v>44195.570021451742</v>
      </c>
      <c r="H4417" s="108">
        <v>1.05</v>
      </c>
      <c r="I4417" s="141">
        <f>ROUND((F4417*G4417*H4417),0)</f>
        <v>58007</v>
      </c>
      <c r="J4417" s="47"/>
      <c r="K4417" s="143"/>
    </row>
    <row r="4418" spans="2:11" ht="24.9" customHeight="1" thickTop="1" thickBot="1" x14ac:dyDescent="0.25">
      <c r="B4418" s="169" t="s">
        <v>1310</v>
      </c>
      <c r="C4418" s="108" t="str">
        <f>+B1459</f>
        <v>ITE162</v>
      </c>
      <c r="D4418" s="167" t="str">
        <f>+D1459</f>
        <v>Mortero 1:4 (producción)</v>
      </c>
      <c r="E4418" s="166" t="str">
        <f>+E1459</f>
        <v>M3</v>
      </c>
      <c r="F4418" s="226">
        <v>5.0000000000000001E-3</v>
      </c>
      <c r="G4418" s="141">
        <f>G1459</f>
        <v>484026</v>
      </c>
      <c r="H4418" s="108">
        <v>1.05</v>
      </c>
      <c r="I4418" s="141">
        <f>ROUND((F4418*G4418*H4418),0)</f>
        <v>2541</v>
      </c>
      <c r="J4418" s="47"/>
      <c r="K4418" s="143"/>
    </row>
    <row r="4419" spans="2:11" ht="24.9" customHeight="1" thickTop="1" thickBot="1" x14ac:dyDescent="0.25">
      <c r="B4419" s="250" t="s">
        <v>1034</v>
      </c>
      <c r="C4419" s="108" t="str">
        <f>+'LISTA DE INSUMOS'!A18</f>
        <v>MOB015</v>
      </c>
      <c r="D4419" s="139" t="str">
        <f>+'LISTA DE INSUMOS'!B18</f>
        <v>Cuadrilla E 1 Of + 1 Ay (jornal + prestaciones)</v>
      </c>
      <c r="E4419" s="108" t="str">
        <f>+'LISTA DE INSUMOS'!C18</f>
        <v>Día</v>
      </c>
      <c r="F4419" s="176">
        <v>1</v>
      </c>
      <c r="G4419" s="141">
        <f>'LISTA DE INSUMOS'!E18</f>
        <v>245584</v>
      </c>
      <c r="H4419" s="219">
        <f>1/30</f>
        <v>3.3333333333333333E-2</v>
      </c>
      <c r="I4419" s="141">
        <f>ROUND((F4419*G4419*H4419),0)</f>
        <v>8186</v>
      </c>
      <c r="J4419" s="47"/>
      <c r="K4419" s="143"/>
    </row>
    <row r="4420" spans="2:11" ht="24.9" customHeight="1" thickTop="1" thickBot="1" x14ac:dyDescent="0.25">
      <c r="B4420" s="150" t="s">
        <v>1033</v>
      </c>
      <c r="C4420" s="151" t="str">
        <f>+'LISTA DE INSUMOS'!A758</f>
        <v>EQU002</v>
      </c>
      <c r="D4420" s="146" t="str">
        <f>+'LISTA DE INSUMOS'!B758</f>
        <v>Herramienta menor (% mano obra)</v>
      </c>
      <c r="E4420" s="145" t="str">
        <f>+'LISTA DE INSUMOS'!C758</f>
        <v>%MO</v>
      </c>
      <c r="F4420" s="229">
        <v>0.1</v>
      </c>
      <c r="G4420" s="148">
        <f>I4419</f>
        <v>8186</v>
      </c>
      <c r="H4420" s="206">
        <v>0</v>
      </c>
      <c r="I4420" s="148">
        <f>ROUND((F4420*G4420),0)</f>
        <v>819</v>
      </c>
      <c r="J4420" s="47"/>
      <c r="K4420" s="143"/>
    </row>
    <row r="4421" spans="2:11" ht="24.9" customHeight="1" x14ac:dyDescent="0.2">
      <c r="B4421" s="117" t="s">
        <v>3020</v>
      </c>
      <c r="C4421" s="117"/>
      <c r="D4421" s="112" t="s">
        <v>345</v>
      </c>
      <c r="E4421" s="117" t="s">
        <v>1412</v>
      </c>
      <c r="F4421" s="149"/>
      <c r="G4421" s="119">
        <f>ROUND(SUM(I4422:I4425),0)</f>
        <v>108985</v>
      </c>
      <c r="H4421" s="120"/>
      <c r="I4421" s="119"/>
      <c r="J4421" s="47"/>
      <c r="K4421" s="143"/>
    </row>
    <row r="4422" spans="2:11" ht="24.9" customHeight="1" thickBot="1" x14ac:dyDescent="0.25">
      <c r="B4422" s="175" t="s">
        <v>1325</v>
      </c>
      <c r="C4422" s="125" t="str">
        <f>+'LISTA DE INSUMOS'!A607</f>
        <v>MAT624</v>
      </c>
      <c r="D4422" s="167" t="str">
        <f>+'LISTA DE INSUMOS'!B607</f>
        <v>Sardinel prefabricado A10 (800 x 200 x 500 mm)</v>
      </c>
      <c r="E4422" s="166" t="str">
        <f>+'LISTA DE INSUMOS'!C607</f>
        <v>Un</v>
      </c>
      <c r="F4422" s="160">
        <v>1.25</v>
      </c>
      <c r="G4422" s="141">
        <f>'LISTA DE INSUMOS'!E607</f>
        <v>72480.390105548679</v>
      </c>
      <c r="H4422" s="108">
        <v>1.05</v>
      </c>
      <c r="I4422" s="141">
        <f>ROUND((F4422*G4422*H4422),0)</f>
        <v>95131</v>
      </c>
      <c r="J4422" s="47"/>
      <c r="K4422" s="143"/>
    </row>
    <row r="4423" spans="2:11" ht="24.9" customHeight="1" thickTop="1" thickBot="1" x14ac:dyDescent="0.25">
      <c r="B4423" s="169" t="s">
        <v>1310</v>
      </c>
      <c r="C4423" s="108" t="str">
        <f>+B1459</f>
        <v>ITE162</v>
      </c>
      <c r="D4423" s="167" t="str">
        <f>+D1459</f>
        <v>Mortero 1:4 (producción)</v>
      </c>
      <c r="E4423" s="166" t="str">
        <f>+E1459</f>
        <v>M3</v>
      </c>
      <c r="F4423" s="226">
        <v>6.0000000000000001E-3</v>
      </c>
      <c r="G4423" s="141">
        <f>G1459</f>
        <v>484026</v>
      </c>
      <c r="H4423" s="108">
        <v>1.05</v>
      </c>
      <c r="I4423" s="141">
        <f>ROUND((F4423*G4423*H4423),0)</f>
        <v>3049</v>
      </c>
      <c r="J4423" s="47"/>
      <c r="K4423" s="143"/>
    </row>
    <row r="4424" spans="2:11" ht="24.9" customHeight="1" thickTop="1" thickBot="1" x14ac:dyDescent="0.25">
      <c r="B4424" s="250" t="s">
        <v>1034</v>
      </c>
      <c r="C4424" s="108" t="str">
        <f>+'LISTA DE INSUMOS'!A18</f>
        <v>MOB015</v>
      </c>
      <c r="D4424" s="139" t="str">
        <f>+'LISTA DE INSUMOS'!B18</f>
        <v>Cuadrilla E 1 Of + 1 Ay (jornal + prestaciones)</v>
      </c>
      <c r="E4424" s="108" t="str">
        <f>+'LISTA DE INSUMOS'!C18</f>
        <v>Día</v>
      </c>
      <c r="F4424" s="176">
        <v>1</v>
      </c>
      <c r="G4424" s="141">
        <f>+'LISTA DE INSUMOS'!E18</f>
        <v>245584</v>
      </c>
      <c r="H4424" s="219">
        <f>1/25</f>
        <v>0.04</v>
      </c>
      <c r="I4424" s="141">
        <f>ROUND((F4424*G4424*H4424),0)</f>
        <v>9823</v>
      </c>
      <c r="J4424" s="47"/>
      <c r="K4424" s="143"/>
    </row>
    <row r="4425" spans="2:11" ht="24.6" customHeight="1" thickTop="1" thickBot="1" x14ac:dyDescent="0.25">
      <c r="B4425" s="150" t="s">
        <v>1033</v>
      </c>
      <c r="C4425" s="151" t="str">
        <f>+'LISTA DE INSUMOS'!A758</f>
        <v>EQU002</v>
      </c>
      <c r="D4425" s="146" t="str">
        <f>+'LISTA DE INSUMOS'!B758</f>
        <v>Herramienta menor (% mano obra)</v>
      </c>
      <c r="E4425" s="145" t="str">
        <f>+'LISTA DE INSUMOS'!C758</f>
        <v>%MO</v>
      </c>
      <c r="F4425" s="229">
        <v>0.1</v>
      </c>
      <c r="G4425" s="148">
        <f>I4424</f>
        <v>9823</v>
      </c>
      <c r="H4425" s="206">
        <v>0</v>
      </c>
      <c r="I4425" s="148">
        <f>ROUND((F4425*G4425),0)</f>
        <v>982</v>
      </c>
      <c r="J4425" s="47"/>
      <c r="K4425" s="143"/>
    </row>
    <row r="4426" spans="2:11" ht="24.9" hidden="1" customHeight="1" x14ac:dyDescent="0.2">
      <c r="B4426" s="117" t="s">
        <v>2464</v>
      </c>
      <c r="C4426" s="117"/>
      <c r="D4426" s="112" t="s">
        <v>302</v>
      </c>
      <c r="E4426" s="117" t="s">
        <v>1412</v>
      </c>
      <c r="F4426" s="149"/>
      <c r="G4426" s="119">
        <f>ROUND(SUM(I4427:I4431),0)</f>
        <v>10782</v>
      </c>
      <c r="H4426" s="120"/>
      <c r="I4426" s="119"/>
      <c r="J4426" s="47"/>
      <c r="K4426" s="143"/>
    </row>
    <row r="4427" spans="2:11" s="317" customFormat="1" ht="24.9" hidden="1" customHeight="1" x14ac:dyDescent="0.2">
      <c r="B4427" s="691" t="s">
        <v>1035</v>
      </c>
      <c r="C4427" s="322" t="str">
        <f>+'LISTA DE INSUMOS'!A62</f>
        <v>MAT030</v>
      </c>
      <c r="D4427" s="324" t="str">
        <f>+'LISTA DE INSUMOS'!B62</f>
        <v xml:space="preserve">Poste de madera 8*8" h = 2 m. revoltura media </v>
      </c>
      <c r="E4427" s="322" t="str">
        <f>+'LISTA DE INSUMOS'!C62</f>
        <v>Un</v>
      </c>
      <c r="F4427" s="321">
        <v>0.1</v>
      </c>
      <c r="G4427" s="312">
        <f>+'LISTA DE INSUMOS'!E62</f>
        <v>24981.304286399998</v>
      </c>
      <c r="H4427" s="349">
        <v>0</v>
      </c>
      <c r="I4427" s="312">
        <f>ROUND((F4427*G4427),0)</f>
        <v>2498</v>
      </c>
      <c r="J4427" s="313"/>
      <c r="K4427" s="323"/>
    </row>
    <row r="4428" spans="2:11" s="317" customFormat="1" ht="24.9" hidden="1" customHeight="1" x14ac:dyDescent="0.2">
      <c r="B4428" s="691"/>
      <c r="C4428" s="322" t="str">
        <f>+'LISTA DE INSUMOS'!A65</f>
        <v>MAT033</v>
      </c>
      <c r="D4428" s="324" t="str">
        <f>+'LISTA DE INSUMOS'!B65</f>
        <v>Alambre de púas C 12,5</v>
      </c>
      <c r="E4428" s="322" t="str">
        <f>+'LISTA DE INSUMOS'!C65</f>
        <v>M</v>
      </c>
      <c r="F4428" s="325">
        <v>0.3</v>
      </c>
      <c r="G4428" s="312">
        <f>'LISTA DE INSUMOS'!E65</f>
        <v>981.39329999999995</v>
      </c>
      <c r="H4428" s="349">
        <v>0</v>
      </c>
      <c r="I4428" s="312">
        <f>ROUND((F4428*G4428),0)</f>
        <v>294</v>
      </c>
      <c r="J4428" s="313"/>
      <c r="K4428" s="323"/>
    </row>
    <row r="4429" spans="2:11" s="317" customFormat="1" ht="24.9" hidden="1" customHeight="1" thickBot="1" x14ac:dyDescent="0.25">
      <c r="B4429" s="692"/>
      <c r="C4429" s="322" t="str">
        <f>+'LISTA DE INSUMOS'!A196</f>
        <v>MAT156</v>
      </c>
      <c r="D4429" s="324" t="str">
        <f>+'LISTA DE INSUMOS'!B196</f>
        <v xml:space="preserve">Grapas galvanizada </v>
      </c>
      <c r="E4429" s="322" t="str">
        <f>+'LISTA DE INSUMOS'!C196</f>
        <v>Kg</v>
      </c>
      <c r="F4429" s="361">
        <v>3.0000000000000001E-3</v>
      </c>
      <c r="G4429" s="312">
        <f>'LISTA DE INSUMOS'!E196</f>
        <v>14878.859999999999</v>
      </c>
      <c r="H4429" s="349">
        <v>1.03</v>
      </c>
      <c r="I4429" s="312">
        <f>IF(H4429&gt;=0,(F4429*G4429*(1+H4429/100)),ABS(F4429*G4429/H4429))</f>
        <v>45.096336773999994</v>
      </c>
      <c r="J4429" s="313"/>
      <c r="K4429" s="323"/>
    </row>
    <row r="4430" spans="2:11" s="317" customFormat="1" ht="24.9" hidden="1" customHeight="1" thickTop="1" thickBot="1" x14ac:dyDescent="0.25">
      <c r="B4430" s="372" t="s">
        <v>1034</v>
      </c>
      <c r="C4430" s="322" t="str">
        <f>+'LISTA DE INSUMOS'!A18</f>
        <v>MOB015</v>
      </c>
      <c r="D4430" s="324" t="str">
        <f>+'LISTA DE INSUMOS'!B18</f>
        <v>Cuadrilla E 1 Of + 1 Ay (jornal + prestaciones)</v>
      </c>
      <c r="E4430" s="322" t="str">
        <f>+'LISTA DE INSUMOS'!C18</f>
        <v>Día</v>
      </c>
      <c r="F4430" s="321">
        <v>1</v>
      </c>
      <c r="G4430" s="312">
        <f>'LISTA DE INSUMOS'!E18</f>
        <v>245584</v>
      </c>
      <c r="H4430" s="383">
        <f>1/34</f>
        <v>2.9411764705882353E-2</v>
      </c>
      <c r="I4430" s="312">
        <f>ROUND((F4430*G4430*H4430),0)</f>
        <v>7223</v>
      </c>
      <c r="J4430" s="313"/>
      <c r="K4430" s="323"/>
    </row>
    <row r="4431" spans="2:11" s="317" customFormat="1" ht="24.9" hidden="1" customHeight="1" thickTop="1" thickBot="1" x14ac:dyDescent="0.25">
      <c r="B4431" s="255" t="s">
        <v>1033</v>
      </c>
      <c r="C4431" s="327" t="str">
        <f>+'LISTA DE INSUMOS'!A758</f>
        <v>EQU002</v>
      </c>
      <c r="D4431" s="328" t="str">
        <f>+'LISTA DE INSUMOS'!B758</f>
        <v>Herramienta menor (% mano obra)</v>
      </c>
      <c r="E4431" s="329" t="str">
        <f>+'LISTA DE INSUMOS'!C758</f>
        <v>%MO</v>
      </c>
      <c r="F4431" s="362">
        <v>0.1</v>
      </c>
      <c r="G4431" s="331">
        <f>I4430</f>
        <v>7223</v>
      </c>
      <c r="H4431" s="350">
        <v>0</v>
      </c>
      <c r="I4431" s="331">
        <f>ROUND((F4431*G4431),0)</f>
        <v>722</v>
      </c>
      <c r="J4431" s="313"/>
      <c r="K4431" s="323"/>
    </row>
    <row r="4432" spans="2:11" s="317" customFormat="1" ht="24.9" hidden="1" customHeight="1" x14ac:dyDescent="0.2">
      <c r="B4432" s="319" t="s">
        <v>2465</v>
      </c>
      <c r="C4432" s="319"/>
      <c r="D4432" s="320" t="s">
        <v>1542</v>
      </c>
      <c r="E4432" s="319" t="s">
        <v>1412</v>
      </c>
      <c r="F4432" s="332"/>
      <c r="G4432" s="312">
        <f>ROUND(SUM(I4433:I4434),0)</f>
        <v>3329</v>
      </c>
      <c r="H4432" s="322"/>
      <c r="I4432" s="312"/>
      <c r="J4432" s="313"/>
      <c r="K4432" s="323"/>
    </row>
    <row r="4433" spans="2:11" s="317" customFormat="1" ht="24.9" hidden="1" customHeight="1" thickBot="1" x14ac:dyDescent="0.25">
      <c r="B4433" s="372" t="s">
        <v>1034</v>
      </c>
      <c r="C4433" s="322" t="str">
        <f>+'LISTA DE INSUMOS'!A5</f>
        <v>MOB002</v>
      </c>
      <c r="D4433" s="324" t="str">
        <f>+'LISTA DE INSUMOS'!B5</f>
        <v>Oficial (jornal + prestaciones)</v>
      </c>
      <c r="E4433" s="322" t="str">
        <f>+'LISTA DE INSUMOS'!C5</f>
        <v>Día</v>
      </c>
      <c r="F4433" s="321">
        <v>1</v>
      </c>
      <c r="G4433" s="312">
        <f>'LISTA DE INSUMOS'!E5</f>
        <v>163723</v>
      </c>
      <c r="H4433" s="349">
        <f>1/88</f>
        <v>1.1363636363636364E-2</v>
      </c>
      <c r="I4433" s="312">
        <f>ROUND((F4433*G4433*H4433),0)</f>
        <v>1860</v>
      </c>
      <c r="J4433" s="313"/>
      <c r="K4433" s="323"/>
    </row>
    <row r="4434" spans="2:11" s="317" customFormat="1" ht="29.1" hidden="1" customHeight="1" thickTop="1" thickBot="1" x14ac:dyDescent="0.25">
      <c r="B4434" s="255" t="s">
        <v>1033</v>
      </c>
      <c r="C4434" s="389" t="str">
        <f>+'LISTA DE INSUMOS'!A792</f>
        <v>EQU035</v>
      </c>
      <c r="D4434" s="367" t="str">
        <f>+'LISTA DE INSUMOS'!B792</f>
        <v>Cortadora de ladrillo con disco</v>
      </c>
      <c r="E4434" s="365" t="str">
        <f>+'LISTA DE INSUMOS'!C792</f>
        <v>Día</v>
      </c>
      <c r="F4434" s="362">
        <v>1</v>
      </c>
      <c r="G4434" s="331">
        <f>'LISTA DE INSUMOS'!E792</f>
        <v>58744.017217600012</v>
      </c>
      <c r="H4434" s="350">
        <f>1/40</f>
        <v>2.5000000000000001E-2</v>
      </c>
      <c r="I4434" s="331">
        <f>ROUND((F4434*G4434*H4434),0)</f>
        <v>1469</v>
      </c>
      <c r="J4434" s="313"/>
      <c r="K4434" s="323"/>
    </row>
    <row r="4435" spans="2:11" ht="24.9" customHeight="1" x14ac:dyDescent="0.2">
      <c r="B4435" s="117" t="s">
        <v>3021</v>
      </c>
      <c r="C4435" s="117"/>
      <c r="D4435" s="112" t="s">
        <v>1553</v>
      </c>
      <c r="E4435" s="117" t="s">
        <v>2585</v>
      </c>
      <c r="F4435" s="149"/>
      <c r="G4435" s="119">
        <f>ROUND(SUM(I4436:I4438),0)</f>
        <v>13099</v>
      </c>
      <c r="H4435" s="120"/>
      <c r="I4435" s="119"/>
      <c r="J4435" s="47"/>
      <c r="K4435" s="143"/>
    </row>
    <row r="4436" spans="2:11" ht="24.9" customHeight="1" x14ac:dyDescent="0.2">
      <c r="B4436" s="678" t="s">
        <v>1034</v>
      </c>
      <c r="C4436" s="108" t="str">
        <f>+'LISTA DE INSUMOS'!A21</f>
        <v>MOB018</v>
      </c>
      <c r="D4436" s="139" t="str">
        <f>+'LISTA DE INSUMOS'!B21</f>
        <v>Cuadrilla H 4 Ay (jornal + prestaciones)</v>
      </c>
      <c r="E4436" s="108" t="str">
        <f>+'LISTA DE INSUMOS'!C21</f>
        <v>Día</v>
      </c>
      <c r="F4436" s="176">
        <v>1</v>
      </c>
      <c r="G4436" s="141">
        <f>'LISTA DE INSUMOS'!E21</f>
        <v>327444</v>
      </c>
      <c r="H4436" s="205">
        <f>1/30</f>
        <v>3.3333333333333333E-2</v>
      </c>
      <c r="I4436" s="141">
        <f>ROUND((F4436*G4436*H4436),0)</f>
        <v>10915</v>
      </c>
      <c r="J4436" s="47"/>
      <c r="K4436" s="143"/>
    </row>
    <row r="4437" spans="2:11" ht="24.9" customHeight="1" thickBot="1" x14ac:dyDescent="0.25">
      <c r="B4437" s="705"/>
      <c r="C4437" s="108" t="str">
        <f>+'LISTA DE INSUMOS'!A14</f>
        <v>MOB011</v>
      </c>
      <c r="D4437" s="139" t="str">
        <f>+'LISTA DE INSUMOS'!B14</f>
        <v>Acarreo Horizontal (% mano obra)</v>
      </c>
      <c r="E4437" s="108" t="str">
        <f>+'LISTA DE INSUMOS'!C14</f>
        <v>% MO</v>
      </c>
      <c r="F4437" s="176">
        <v>0.1</v>
      </c>
      <c r="G4437" s="141">
        <f>I4436</f>
        <v>10915</v>
      </c>
      <c r="H4437" s="205">
        <v>0</v>
      </c>
      <c r="I4437" s="141">
        <f>ROUND((F4437*G4437),0)</f>
        <v>1092</v>
      </c>
      <c r="J4437" s="47"/>
      <c r="K4437" s="143"/>
    </row>
    <row r="4438" spans="2:11" ht="24.9" customHeight="1" thickTop="1" thickBot="1" x14ac:dyDescent="0.25">
      <c r="B4438" s="150" t="s">
        <v>1033</v>
      </c>
      <c r="C4438" s="151" t="str">
        <f>+'LISTA DE INSUMOS'!A758</f>
        <v>EQU002</v>
      </c>
      <c r="D4438" s="146" t="str">
        <f>+'LISTA DE INSUMOS'!B758</f>
        <v>Herramienta menor (% mano obra)</v>
      </c>
      <c r="E4438" s="145" t="str">
        <f>+'LISTA DE INSUMOS'!C758</f>
        <v>%MO</v>
      </c>
      <c r="F4438" s="229">
        <v>0.1</v>
      </c>
      <c r="G4438" s="148">
        <f>I4436</f>
        <v>10915</v>
      </c>
      <c r="H4438" s="206">
        <v>0</v>
      </c>
      <c r="I4438" s="148">
        <f>ROUND((F4438*G4438),0)</f>
        <v>1092</v>
      </c>
      <c r="J4438" s="47"/>
      <c r="K4438" s="143"/>
    </row>
    <row r="4439" spans="2:11" ht="24.9" customHeight="1" x14ac:dyDescent="0.2">
      <c r="B4439" s="117" t="s">
        <v>1822</v>
      </c>
      <c r="C4439" s="117"/>
      <c r="D4439" s="112" t="s">
        <v>1554</v>
      </c>
      <c r="E4439" s="117" t="s">
        <v>2585</v>
      </c>
      <c r="F4439" s="149"/>
      <c r="G4439" s="119">
        <f>ROUND(SUM(I4440:I4442),0)</f>
        <v>4911</v>
      </c>
      <c r="H4439" s="120"/>
      <c r="I4439" s="119"/>
      <c r="J4439" s="47"/>
      <c r="K4439" s="143"/>
    </row>
    <row r="4440" spans="2:11" ht="24.9" customHeight="1" x14ac:dyDescent="0.2">
      <c r="B4440" s="678" t="s">
        <v>1034</v>
      </c>
      <c r="C4440" s="108" t="str">
        <f>+'LISTA DE INSUMOS'!A7</f>
        <v>MOB004</v>
      </c>
      <c r="D4440" s="139" t="str">
        <f>+'LISTA DE INSUMOS'!B7</f>
        <v>Ayudante (jornal + prestaciones)</v>
      </c>
      <c r="E4440" s="108" t="str">
        <f>+'LISTA DE INSUMOS'!C7</f>
        <v>Dia</v>
      </c>
      <c r="F4440" s="176">
        <v>1</v>
      </c>
      <c r="G4440" s="141">
        <f>+'LISTA DE INSUMOS'!E7</f>
        <v>81861</v>
      </c>
      <c r="H4440" s="205">
        <f>1/20</f>
        <v>0.05</v>
      </c>
      <c r="I4440" s="141">
        <f>ROUND((F4440*G4440*H4440),0)</f>
        <v>4093</v>
      </c>
      <c r="J4440" s="47"/>
      <c r="K4440" s="143"/>
    </row>
    <row r="4441" spans="2:11" ht="24.9" customHeight="1" thickBot="1" x14ac:dyDescent="0.25">
      <c r="B4441" s="705"/>
      <c r="C4441" s="108" t="str">
        <f>+'LISTA DE INSUMOS'!A14</f>
        <v>MOB011</v>
      </c>
      <c r="D4441" s="139" t="str">
        <f>+'LISTA DE INSUMOS'!B14</f>
        <v>Acarreo Horizontal (% mano obra)</v>
      </c>
      <c r="E4441" s="108" t="str">
        <f>+'LISTA DE INSUMOS'!C14</f>
        <v>% MO</v>
      </c>
      <c r="F4441" s="176">
        <v>0.1</v>
      </c>
      <c r="G4441" s="141">
        <f>I4440</f>
        <v>4093</v>
      </c>
      <c r="H4441" s="205">
        <v>0</v>
      </c>
      <c r="I4441" s="141">
        <f>ROUND((F4441*G4441),0)</f>
        <v>409</v>
      </c>
      <c r="J4441" s="47"/>
      <c r="K4441" s="143"/>
    </row>
    <row r="4442" spans="2:11" ht="24.9" customHeight="1" thickTop="1" thickBot="1" x14ac:dyDescent="0.25">
      <c r="B4442" s="150" t="s">
        <v>1033</v>
      </c>
      <c r="C4442" s="151" t="str">
        <f>+'LISTA DE INSUMOS'!A758</f>
        <v>EQU002</v>
      </c>
      <c r="D4442" s="146" t="str">
        <f>+'LISTA DE INSUMOS'!B758</f>
        <v>Herramienta menor (% mano obra)</v>
      </c>
      <c r="E4442" s="145" t="str">
        <f>+'LISTA DE INSUMOS'!C758</f>
        <v>%MO</v>
      </c>
      <c r="F4442" s="229">
        <v>0.1</v>
      </c>
      <c r="G4442" s="148">
        <f>I4440</f>
        <v>4093</v>
      </c>
      <c r="H4442" s="206">
        <v>0</v>
      </c>
      <c r="I4442" s="148">
        <f>ROUND((F4442*G4442),0)</f>
        <v>409</v>
      </c>
      <c r="J4442" s="47"/>
      <c r="K4442" s="143"/>
    </row>
    <row r="4443" spans="2:11" s="317" customFormat="1" ht="24.9" hidden="1" customHeight="1" x14ac:dyDescent="0.2">
      <c r="B4443" s="319" t="s">
        <v>1980</v>
      </c>
      <c r="C4443" s="319"/>
      <c r="D4443" s="320" t="s">
        <v>1563</v>
      </c>
      <c r="E4443" s="319" t="s">
        <v>2585</v>
      </c>
      <c r="F4443" s="332"/>
      <c r="G4443" s="312">
        <f>ROUND(SUM(I4444:I4446),0)</f>
        <v>16372</v>
      </c>
      <c r="H4443" s="322"/>
      <c r="I4443" s="312"/>
      <c r="J4443" s="313"/>
      <c r="K4443" s="323"/>
    </row>
    <row r="4444" spans="2:11" s="317" customFormat="1" ht="24.9" hidden="1" customHeight="1" x14ac:dyDescent="0.2">
      <c r="B4444" s="714" t="s">
        <v>1034</v>
      </c>
      <c r="C4444" s="322" t="str">
        <f>+'LISTA DE INSUMOS'!A7</f>
        <v>MOB004</v>
      </c>
      <c r="D4444" s="324" t="str">
        <f>+'LISTA DE INSUMOS'!B7</f>
        <v>Ayudante (jornal + prestaciones)</v>
      </c>
      <c r="E4444" s="322" t="str">
        <f>+'LISTA DE INSUMOS'!C7</f>
        <v>Dia</v>
      </c>
      <c r="F4444" s="321">
        <v>1</v>
      </c>
      <c r="G4444" s="312">
        <f>+'LISTA DE INSUMOS'!E7</f>
        <v>81861</v>
      </c>
      <c r="H4444" s="349">
        <f>1/6</f>
        <v>0.16666666666666666</v>
      </c>
      <c r="I4444" s="312">
        <f>ROUND((F4444*G4444*H4444),0)</f>
        <v>13644</v>
      </c>
      <c r="J4444" s="313"/>
      <c r="K4444" s="323"/>
    </row>
    <row r="4445" spans="2:11" s="317" customFormat="1" ht="24.9" hidden="1" customHeight="1" thickBot="1" x14ac:dyDescent="0.25">
      <c r="B4445" s="715"/>
      <c r="C4445" s="322" t="str">
        <f>+'LISTA DE INSUMOS'!A14</f>
        <v>MOB011</v>
      </c>
      <c r="D4445" s="324" t="str">
        <f>+'LISTA DE INSUMOS'!B14</f>
        <v>Acarreo Horizontal (% mano obra)</v>
      </c>
      <c r="E4445" s="322" t="str">
        <f>+'LISTA DE INSUMOS'!C14</f>
        <v>% MO</v>
      </c>
      <c r="F4445" s="321">
        <v>0.1</v>
      </c>
      <c r="G4445" s="312">
        <f>I4444</f>
        <v>13644</v>
      </c>
      <c r="H4445" s="349">
        <v>0</v>
      </c>
      <c r="I4445" s="312">
        <f>ROUND((F4445*G4445),0)</f>
        <v>1364</v>
      </c>
      <c r="J4445" s="313"/>
      <c r="K4445" s="323"/>
    </row>
    <row r="4446" spans="2:11" s="317" customFormat="1" ht="24.9" hidden="1" customHeight="1" thickTop="1" thickBot="1" x14ac:dyDescent="0.25">
      <c r="B4446" s="255" t="s">
        <v>1033</v>
      </c>
      <c r="C4446" s="327" t="str">
        <f>+'LISTA DE INSUMOS'!A758</f>
        <v>EQU002</v>
      </c>
      <c r="D4446" s="328" t="str">
        <f>+'LISTA DE INSUMOS'!B758</f>
        <v>Herramienta menor (% mano obra)</v>
      </c>
      <c r="E4446" s="329" t="str">
        <f>+'LISTA DE INSUMOS'!C758</f>
        <v>%MO</v>
      </c>
      <c r="F4446" s="362">
        <v>0.1</v>
      </c>
      <c r="G4446" s="331">
        <f>I4444</f>
        <v>13644</v>
      </c>
      <c r="H4446" s="350">
        <v>0</v>
      </c>
      <c r="I4446" s="331">
        <f>ROUND((F4446*G4446),0)</f>
        <v>1364</v>
      </c>
      <c r="J4446" s="313"/>
      <c r="K4446" s="323"/>
    </row>
    <row r="4447" spans="2:11" s="317" customFormat="1" ht="24.9" hidden="1" customHeight="1" x14ac:dyDescent="0.2">
      <c r="B4447" s="319" t="s">
        <v>1982</v>
      </c>
      <c r="C4447" s="319"/>
      <c r="D4447" s="313" t="s">
        <v>456</v>
      </c>
      <c r="E4447" s="319" t="s">
        <v>1432</v>
      </c>
      <c r="F4447" s="332"/>
      <c r="G4447" s="312">
        <f>ROUND(SUM(I4447:I4459),0)</f>
        <v>1414169</v>
      </c>
      <c r="H4447" s="322"/>
      <c r="I4447" s="312"/>
      <c r="J4447" s="313"/>
      <c r="K4447" s="323"/>
    </row>
    <row r="4448" spans="2:11" s="317" customFormat="1" ht="24.9" hidden="1" customHeight="1" x14ac:dyDescent="0.2">
      <c r="B4448" s="691" t="s">
        <v>1035</v>
      </c>
      <c r="C4448" s="322" t="str">
        <f>+'LISTA DE INSUMOS'!A46</f>
        <v>MAT017</v>
      </c>
      <c r="D4448" s="324" t="str">
        <f>+'LISTA DE INSUMOS'!B46</f>
        <v>Tabla para formaleta de 1" x 10" x 2,9 m</v>
      </c>
      <c r="E4448" s="322" t="str">
        <f>+'LISTA DE INSUMOS'!C46</f>
        <v>M</v>
      </c>
      <c r="F4448" s="325">
        <v>24</v>
      </c>
      <c r="G4448" s="312">
        <f>'LISTA DE INSUMOS'!E46</f>
        <v>8112.0359999999991</v>
      </c>
      <c r="H4448" s="349">
        <f>1/3</f>
        <v>0.33333333333333331</v>
      </c>
      <c r="I4448" s="312">
        <f>ROUND((F4448*G4448*H4448),0)</f>
        <v>64896</v>
      </c>
      <c r="J4448" s="313"/>
      <c r="K4448" s="323"/>
    </row>
    <row r="4449" spans="2:11" s="317" customFormat="1" ht="24.9" hidden="1" customHeight="1" x14ac:dyDescent="0.2">
      <c r="B4449" s="691"/>
      <c r="C4449" s="322" t="str">
        <f>+'LISTA DE INSUMOS'!A49</f>
        <v>MAT018</v>
      </c>
      <c r="D4449" s="324" t="str">
        <f>+'LISTA DE INSUMOS'!B49</f>
        <v>Cuartón de sajo 2" x 4" x 2,9 m</v>
      </c>
      <c r="E4449" s="322" t="str">
        <f>+'LISTA DE INSUMOS'!C49</f>
        <v>M</v>
      </c>
      <c r="F4449" s="325">
        <v>15</v>
      </c>
      <c r="G4449" s="312">
        <f>'LISTA DE INSUMOS'!E49</f>
        <v>11944.810644542158</v>
      </c>
      <c r="H4449" s="349">
        <f>1/3</f>
        <v>0.33333333333333331</v>
      </c>
      <c r="I4449" s="312">
        <f>ROUND((F4449*G4449*H4449),0)</f>
        <v>59724</v>
      </c>
      <c r="J4449" s="313"/>
      <c r="K4449" s="323"/>
    </row>
    <row r="4450" spans="2:11" s="317" customFormat="1" ht="24.9" hidden="1" customHeight="1" x14ac:dyDescent="0.2">
      <c r="B4450" s="691"/>
      <c r="C4450" s="322" t="str">
        <f>+'LISTA DE INSUMOS'!A50</f>
        <v>MAT019</v>
      </c>
      <c r="D4450" s="324" t="str">
        <f>+'LISTA DE INSUMOS'!B50</f>
        <v>Listón sajo de 5 x 3 cm x 2,5 m (varilla)</v>
      </c>
      <c r="E4450" s="322" t="str">
        <f>+'LISTA DE INSUMOS'!C50</f>
        <v>M</v>
      </c>
      <c r="F4450" s="325">
        <v>12</v>
      </c>
      <c r="G4450" s="312">
        <f>'LISTA DE INSUMOS'!E50</f>
        <v>7285.5458999999992</v>
      </c>
      <c r="H4450" s="349">
        <f>1/3</f>
        <v>0.33333333333333331</v>
      </c>
      <c r="I4450" s="312">
        <f>ROUND((F4450*G4450*H4450),0)</f>
        <v>29142</v>
      </c>
      <c r="J4450" s="313"/>
      <c r="K4450" s="323"/>
    </row>
    <row r="4451" spans="2:11" s="317" customFormat="1" ht="24.9" hidden="1" customHeight="1" x14ac:dyDescent="0.2">
      <c r="B4451" s="691"/>
      <c r="C4451" s="322" t="str">
        <f>+'LISTA DE INSUMOS'!A52</f>
        <v>MAT021</v>
      </c>
      <c r="D4451" s="324" t="str">
        <f>+'LISTA DE INSUMOS'!B52</f>
        <v>Puntilla (promedio)</v>
      </c>
      <c r="E4451" s="322" t="str">
        <f>+'LISTA DE INSUMOS'!C52</f>
        <v>Lb</v>
      </c>
      <c r="F4451" s="325">
        <v>3</v>
      </c>
      <c r="G4451" s="312">
        <f>'LISTA DE INSUMOS'!E52</f>
        <v>6690.6972299999998</v>
      </c>
      <c r="H4451" s="349">
        <v>0</v>
      </c>
      <c r="I4451" s="312">
        <f>ROUND((F4451*G4451),0)</f>
        <v>20072</v>
      </c>
      <c r="J4451" s="313"/>
      <c r="K4451" s="323"/>
    </row>
    <row r="4452" spans="2:11" s="317" customFormat="1" ht="24.9" hidden="1" customHeight="1" x14ac:dyDescent="0.2">
      <c r="B4452" s="691"/>
      <c r="C4452" s="322" t="str">
        <f>+'LISTA DE INSUMOS'!A53</f>
        <v>MAT022</v>
      </c>
      <c r="D4452" s="324" t="str">
        <f>+'LISTA DE INSUMOS'!B53</f>
        <v>Alambre negro calibre 17</v>
      </c>
      <c r="E4452" s="322" t="str">
        <f>+'LISTA DE INSUMOS'!C53</f>
        <v>Kg</v>
      </c>
      <c r="F4452" s="325">
        <v>1</v>
      </c>
      <c r="G4452" s="312">
        <f>'LISTA DE INSUMOS'!E53</f>
        <v>7948.98</v>
      </c>
      <c r="H4452" s="349">
        <v>0</v>
      </c>
      <c r="I4452" s="312">
        <f>ROUND((F4452*G4452),0)</f>
        <v>7949</v>
      </c>
      <c r="J4452" s="313"/>
      <c r="K4452" s="323"/>
    </row>
    <row r="4453" spans="2:11" s="317" customFormat="1" ht="24.9" hidden="1" customHeight="1" x14ac:dyDescent="0.2">
      <c r="B4453" s="691"/>
      <c r="C4453" s="322" t="str">
        <f>+'LISTA DE INSUMOS'!A67</f>
        <v>MAT034</v>
      </c>
      <c r="D4453" s="324" t="str">
        <f>+'LISTA DE INSUMOS'!B67</f>
        <v>ACPM</v>
      </c>
      <c r="E4453" s="322" t="str">
        <f>+'LISTA DE INSUMOS'!C67</f>
        <v>Gl</v>
      </c>
      <c r="F4453" s="325">
        <v>0.4</v>
      </c>
      <c r="G4453" s="312">
        <f>'LISTA DE INSUMOS'!E67</f>
        <v>9681.4499999999989</v>
      </c>
      <c r="H4453" s="349">
        <v>0</v>
      </c>
      <c r="I4453" s="312">
        <f>ROUND((F4453*G4453),0)</f>
        <v>3873</v>
      </c>
      <c r="J4453" s="313"/>
      <c r="K4453" s="323"/>
    </row>
    <row r="4454" spans="2:11" s="317" customFormat="1" ht="24.9" hidden="1" customHeight="1" thickBot="1" x14ac:dyDescent="0.25">
      <c r="B4454" s="692"/>
      <c r="C4454" s="322" t="str">
        <f>+'LISTA DE INSUMOS'!A93</f>
        <v>MAT051</v>
      </c>
      <c r="D4454" s="324" t="str">
        <f>+'LISTA DE INSUMOS'!B93</f>
        <v>Antisol blanco</v>
      </c>
      <c r="E4454" s="322" t="str">
        <f>+'LISTA DE INSUMOS'!C93</f>
        <v>Kg</v>
      </c>
      <c r="F4454" s="325">
        <v>2.5</v>
      </c>
      <c r="G4454" s="312">
        <f>'LISTA DE INSUMOS'!E93</f>
        <v>11510.734499999999</v>
      </c>
      <c r="H4454" s="349">
        <v>1.03</v>
      </c>
      <c r="I4454" s="312">
        <f>ROUND((F4454*G4454*H4454),0)</f>
        <v>29640</v>
      </c>
      <c r="J4454" s="313"/>
      <c r="K4454" s="323"/>
    </row>
    <row r="4455" spans="2:11" s="317" customFormat="1" ht="24.9" hidden="1" customHeight="1" thickTop="1" thickBot="1" x14ac:dyDescent="0.25">
      <c r="B4455" s="347" t="s">
        <v>1310</v>
      </c>
      <c r="C4455" s="322" t="str">
        <f>+B544</f>
        <v>ITE092</v>
      </c>
      <c r="D4455" s="324" t="str">
        <f>+D544</f>
        <v>Concreto de 20,7 Mpa (3000 psi) (producción)</v>
      </c>
      <c r="E4455" s="322" t="str">
        <f>+E544</f>
        <v>M3</v>
      </c>
      <c r="F4455" s="325">
        <v>1</v>
      </c>
      <c r="G4455" s="312">
        <f>G544</f>
        <v>596118</v>
      </c>
      <c r="H4455" s="349">
        <v>1.05</v>
      </c>
      <c r="I4455" s="312">
        <f>ROUND((F4455*G4455*H4455),0)</f>
        <v>625924</v>
      </c>
      <c r="J4455" s="313"/>
      <c r="K4455" s="323"/>
    </row>
    <row r="4456" spans="2:11" s="317" customFormat="1" ht="24.9" hidden="1" customHeight="1" thickTop="1" thickBot="1" x14ac:dyDescent="0.25">
      <c r="B4456" s="342" t="s">
        <v>1034</v>
      </c>
      <c r="C4456" s="322" t="str">
        <f>+'LISTA DE INSUMOS'!A17</f>
        <v>MOB014</v>
      </c>
      <c r="D4456" s="324" t="str">
        <f>+'LISTA DE INSUMOS'!B17</f>
        <v>Cuadrilla D 2 Of + 4 Ay (jornal + prestaciones)</v>
      </c>
      <c r="E4456" s="322" t="str">
        <f>+'LISTA DE INSUMOS'!C17</f>
        <v>Día</v>
      </c>
      <c r="F4456" s="325">
        <v>1</v>
      </c>
      <c r="G4456" s="312">
        <f>'LISTA DE INSUMOS'!E17</f>
        <v>654890</v>
      </c>
      <c r="H4456" s="349">
        <f>1/1.3</f>
        <v>0.76923076923076916</v>
      </c>
      <c r="I4456" s="312">
        <f>ROUND((F4456*G4456*H4456),0)</f>
        <v>503762</v>
      </c>
      <c r="J4456" s="313"/>
      <c r="K4456" s="323"/>
    </row>
    <row r="4457" spans="2:11" s="317" customFormat="1" ht="24.9" hidden="1" customHeight="1" thickTop="1" x14ac:dyDescent="0.2">
      <c r="B4457" s="693" t="s">
        <v>1033</v>
      </c>
      <c r="C4457" s="322" t="str">
        <f>+'LISTA DE INSUMOS'!A758</f>
        <v>EQU002</v>
      </c>
      <c r="D4457" s="324" t="str">
        <f>+'LISTA DE INSUMOS'!B758</f>
        <v>Herramienta menor (% mano obra)</v>
      </c>
      <c r="E4457" s="322" t="str">
        <f>+'LISTA DE INSUMOS'!C758</f>
        <v>%MO</v>
      </c>
      <c r="F4457" s="332">
        <v>0.1</v>
      </c>
      <c r="G4457" s="312">
        <f>I4456</f>
        <v>503762</v>
      </c>
      <c r="H4457" s="349">
        <v>0</v>
      </c>
      <c r="I4457" s="312">
        <f>ROUND((F4457*G4457),0)</f>
        <v>50376</v>
      </c>
      <c r="J4457" s="313"/>
      <c r="K4457" s="323"/>
    </row>
    <row r="4458" spans="2:11" s="317" customFormat="1" ht="24.9" hidden="1" customHeight="1" thickBot="1" x14ac:dyDescent="0.25">
      <c r="B4458" s="668"/>
      <c r="C4458" s="322" t="str">
        <f>+'LISTA DE INSUMOS'!A775</f>
        <v>EQU018</v>
      </c>
      <c r="D4458" s="324" t="str">
        <f>+'LISTA DE INSUMOS'!B775</f>
        <v>Vibrador eléctrico o a gasolina</v>
      </c>
      <c r="E4458" s="322" t="str">
        <f>+'LISTA DE INSUMOS'!C775</f>
        <v>Día</v>
      </c>
      <c r="F4458" s="332">
        <v>1</v>
      </c>
      <c r="G4458" s="312">
        <f>'LISTA DE INSUMOS'!E775</f>
        <v>42234.2781968536</v>
      </c>
      <c r="H4458" s="349">
        <f>1/10</f>
        <v>0.1</v>
      </c>
      <c r="I4458" s="312">
        <f>ROUND((F4458*G4458*H4458),0)</f>
        <v>4223</v>
      </c>
      <c r="J4458" s="313"/>
      <c r="K4458" s="323"/>
    </row>
    <row r="4459" spans="2:11" s="317" customFormat="1" ht="24.9" hidden="1" customHeight="1" thickTop="1" thickBot="1" x14ac:dyDescent="0.25">
      <c r="B4459" s="343" t="s">
        <v>421</v>
      </c>
      <c r="C4459" s="329" t="str">
        <f>+'LISTA DE INSUMOS'!A823</f>
        <v>ESY001</v>
      </c>
      <c r="D4459" s="328" t="str">
        <f>+'LISTA DE INSUMOS'!B823</f>
        <v>Ensayo resistencia concretos (un testigo)</v>
      </c>
      <c r="E4459" s="329" t="str">
        <f>+'LISTA DE INSUMOS'!C823</f>
        <v>Un</v>
      </c>
      <c r="F4459" s="344">
        <f>5/10</f>
        <v>0.5</v>
      </c>
      <c r="G4459" s="345">
        <f>'LISTA DE INSUMOS'!E823</f>
        <v>29175.946249999997</v>
      </c>
      <c r="H4459" s="346">
        <v>0</v>
      </c>
      <c r="I4459" s="331">
        <f>ROUND((F4459*G4459),0)</f>
        <v>14588</v>
      </c>
      <c r="J4459" s="313"/>
      <c r="K4459" s="323"/>
    </row>
    <row r="4460" spans="2:11" ht="24.9" customHeight="1" x14ac:dyDescent="0.2">
      <c r="B4460" s="117" t="s">
        <v>1441</v>
      </c>
      <c r="C4460" s="117"/>
      <c r="D4460" s="112" t="s">
        <v>1560</v>
      </c>
      <c r="E4460" s="117" t="s">
        <v>2585</v>
      </c>
      <c r="F4460" s="149"/>
      <c r="G4460" s="119">
        <f>ROUND(SUM(I4461:I4463),0)</f>
        <v>16372</v>
      </c>
      <c r="H4460" s="120"/>
      <c r="I4460" s="119"/>
      <c r="J4460" s="47"/>
      <c r="K4460" s="143"/>
    </row>
    <row r="4461" spans="2:11" ht="24.9" customHeight="1" x14ac:dyDescent="0.2">
      <c r="B4461" s="678" t="s">
        <v>1034</v>
      </c>
      <c r="C4461" s="108" t="str">
        <f>+'LISTA DE INSUMOS'!A7</f>
        <v>MOB004</v>
      </c>
      <c r="D4461" s="139" t="str">
        <f>+'LISTA DE INSUMOS'!B7</f>
        <v>Ayudante (jornal + prestaciones)</v>
      </c>
      <c r="E4461" s="108" t="str">
        <f>+'LISTA DE INSUMOS'!C7</f>
        <v>Dia</v>
      </c>
      <c r="F4461" s="176">
        <v>1</v>
      </c>
      <c r="G4461" s="141">
        <f>+'LISTA DE INSUMOS'!E7</f>
        <v>81861</v>
      </c>
      <c r="H4461" s="205">
        <f>1/6</f>
        <v>0.16666666666666666</v>
      </c>
      <c r="I4461" s="141">
        <f>ROUND((F4461*G4461*H4461),0)</f>
        <v>13644</v>
      </c>
      <c r="J4461" s="47"/>
      <c r="K4461" s="143"/>
    </row>
    <row r="4462" spans="2:11" ht="24.9" customHeight="1" thickBot="1" x14ac:dyDescent="0.25">
      <c r="B4462" s="705"/>
      <c r="C4462" s="108" t="str">
        <f>+'LISTA DE INSUMOS'!A14</f>
        <v>MOB011</v>
      </c>
      <c r="D4462" s="139" t="str">
        <f>+'LISTA DE INSUMOS'!B14</f>
        <v>Acarreo Horizontal (% mano obra)</v>
      </c>
      <c r="E4462" s="108" t="str">
        <f>+'LISTA DE INSUMOS'!C14</f>
        <v>% MO</v>
      </c>
      <c r="F4462" s="176">
        <v>0.1</v>
      </c>
      <c r="G4462" s="141">
        <f>I4461</f>
        <v>13644</v>
      </c>
      <c r="H4462" s="205">
        <v>0</v>
      </c>
      <c r="I4462" s="141">
        <f>ROUND((F4462*G4462),0)</f>
        <v>1364</v>
      </c>
      <c r="J4462" s="47"/>
      <c r="K4462" s="143"/>
    </row>
    <row r="4463" spans="2:11" ht="24.9" customHeight="1" thickTop="1" thickBot="1" x14ac:dyDescent="0.25">
      <c r="B4463" s="150" t="s">
        <v>1033</v>
      </c>
      <c r="C4463" s="151" t="str">
        <f>+'LISTA DE INSUMOS'!A758</f>
        <v>EQU002</v>
      </c>
      <c r="D4463" s="146" t="str">
        <f>+'LISTA DE INSUMOS'!B758</f>
        <v>Herramienta menor (% mano obra)</v>
      </c>
      <c r="E4463" s="145" t="str">
        <f>+'LISTA DE INSUMOS'!C758</f>
        <v>%MO</v>
      </c>
      <c r="F4463" s="229">
        <v>0.1</v>
      </c>
      <c r="G4463" s="148">
        <f>I4461</f>
        <v>13644</v>
      </c>
      <c r="H4463" s="206">
        <v>0</v>
      </c>
      <c r="I4463" s="148">
        <f>ROUND((F4463*G4463),0)</f>
        <v>1364</v>
      </c>
      <c r="J4463" s="47"/>
      <c r="K4463" s="143"/>
    </row>
    <row r="4464" spans="2:11" ht="24.9" customHeight="1" x14ac:dyDescent="0.2">
      <c r="B4464" s="117" t="s">
        <v>1795</v>
      </c>
      <c r="C4464" s="117"/>
      <c r="D4464" s="112" t="s">
        <v>128</v>
      </c>
      <c r="E4464" s="117" t="s">
        <v>2586</v>
      </c>
      <c r="F4464" s="149"/>
      <c r="G4464" s="119">
        <f>ROUND(SUM(I4464:I4471),0)</f>
        <v>1078466</v>
      </c>
      <c r="H4464" s="120"/>
      <c r="I4464" s="119"/>
      <c r="J4464" s="47"/>
      <c r="K4464" s="143"/>
    </row>
    <row r="4465" spans="2:11" ht="24.9" customHeight="1" x14ac:dyDescent="0.2">
      <c r="B4465" s="657" t="s">
        <v>1325</v>
      </c>
      <c r="C4465" s="108" t="str">
        <f>+'LISTA DE INSUMOS'!A67</f>
        <v>MAT034</v>
      </c>
      <c r="D4465" s="139" t="str">
        <f>+'LISTA DE INSUMOS'!B67</f>
        <v>ACPM</v>
      </c>
      <c r="E4465" s="108" t="str">
        <f>+'LISTA DE INSUMOS'!C67</f>
        <v>Gl</v>
      </c>
      <c r="F4465" s="140">
        <v>0.6</v>
      </c>
      <c r="G4465" s="141">
        <f>+'LISTA DE INSUMOS'!E67</f>
        <v>9681.4499999999989</v>
      </c>
      <c r="H4465" s="108">
        <v>1.05</v>
      </c>
      <c r="I4465" s="141">
        <f>ROUND((F4465*G4465*H4465),0)</f>
        <v>6099</v>
      </c>
      <c r="J4465" s="47"/>
      <c r="K4465" s="143"/>
    </row>
    <row r="4466" spans="2:11" ht="24.9" customHeight="1" thickBot="1" x14ac:dyDescent="0.25">
      <c r="B4466" s="659"/>
      <c r="C4466" s="108" t="str">
        <f>+'LISTA DE INSUMOS'!A93</f>
        <v>MAT051</v>
      </c>
      <c r="D4466" s="139" t="str">
        <f>+'LISTA DE INSUMOS'!B93</f>
        <v>Antisol blanco</v>
      </c>
      <c r="E4466" s="108" t="str">
        <f>+'LISTA DE INSUMOS'!C93</f>
        <v>Kg</v>
      </c>
      <c r="F4466" s="140">
        <v>2.5</v>
      </c>
      <c r="G4466" s="141">
        <f>+'LISTA DE INSUMOS'!E93</f>
        <v>11510.734499999999</v>
      </c>
      <c r="H4466" s="205">
        <v>1.03</v>
      </c>
      <c r="I4466" s="141">
        <f>ROUND((F4466*G4466*H4466),0)</f>
        <v>29640</v>
      </c>
      <c r="J4466" s="47"/>
      <c r="K4466" s="143"/>
    </row>
    <row r="4467" spans="2:11" ht="24.9" customHeight="1" thickTop="1" thickBot="1" x14ac:dyDescent="0.25">
      <c r="B4467" s="191" t="s">
        <v>1310</v>
      </c>
      <c r="C4467" s="108" t="str">
        <f>+B4554</f>
        <v>ITE432</v>
      </c>
      <c r="D4467" s="139" t="str">
        <f>+D4554</f>
        <v>Concreto de 24,5 Mpa (3500 PSI) (producción)</v>
      </c>
      <c r="E4467" s="108" t="str">
        <f>+E4554</f>
        <v>M3</v>
      </c>
      <c r="F4467" s="140">
        <v>1</v>
      </c>
      <c r="G4467" s="141">
        <f>+G4554</f>
        <v>580880</v>
      </c>
      <c r="H4467" s="205">
        <v>1.05</v>
      </c>
      <c r="I4467" s="141">
        <f>ROUND((F4467*G4467*H4467),0)</f>
        <v>609924</v>
      </c>
      <c r="J4467" s="47"/>
      <c r="K4467" s="143"/>
    </row>
    <row r="4468" spans="2:11" ht="24.9" customHeight="1" thickTop="1" thickBot="1" x14ac:dyDescent="0.25">
      <c r="B4468" s="156" t="s">
        <v>1034</v>
      </c>
      <c r="C4468" s="108" t="str">
        <f>+'LISTA DE INSUMOS'!A9</f>
        <v>MOB006</v>
      </c>
      <c r="D4468" s="139" t="str">
        <f>+'LISTA DE INSUMOS'!B9</f>
        <v>Cuadrilla A 1 Of + 4 Ay (jornal + prestaciones)</v>
      </c>
      <c r="E4468" s="108" t="str">
        <f>+'LISTA DE INSUMOS'!C9</f>
        <v>Día</v>
      </c>
      <c r="F4468" s="140">
        <v>1</v>
      </c>
      <c r="G4468" s="141">
        <f>'LISTA DE INSUMOS'!E9</f>
        <v>491167</v>
      </c>
      <c r="H4468" s="205">
        <f>1/1.3</f>
        <v>0.76923076923076916</v>
      </c>
      <c r="I4468" s="141">
        <f>ROUND((F4468*G4468*H4468),0)</f>
        <v>377821</v>
      </c>
      <c r="J4468" s="47"/>
      <c r="K4468" s="143"/>
    </row>
    <row r="4469" spans="2:11" ht="24.9" customHeight="1" thickTop="1" x14ac:dyDescent="0.2">
      <c r="B4469" s="674" t="s">
        <v>1033</v>
      </c>
      <c r="C4469" s="108" t="str">
        <f>+'LISTA DE INSUMOS'!A758</f>
        <v>EQU002</v>
      </c>
      <c r="D4469" s="139" t="str">
        <f>+'LISTA DE INSUMOS'!B758</f>
        <v>Herramienta menor (% mano obra)</v>
      </c>
      <c r="E4469" s="108" t="str">
        <f>+'LISTA DE INSUMOS'!C758</f>
        <v>%MO</v>
      </c>
      <c r="F4469" s="140">
        <v>0.1</v>
      </c>
      <c r="G4469" s="141">
        <f>I4468</f>
        <v>377821</v>
      </c>
      <c r="H4469" s="205">
        <v>0</v>
      </c>
      <c r="I4469" s="141">
        <f>ROUND((F4469*G4469),0)</f>
        <v>37782</v>
      </c>
      <c r="J4469" s="47"/>
      <c r="K4469" s="143"/>
    </row>
    <row r="4470" spans="2:11" ht="24.9" customHeight="1" thickBot="1" x14ac:dyDescent="0.25">
      <c r="B4470" s="675"/>
      <c r="C4470" s="108" t="str">
        <f>+'LISTA DE INSUMOS'!A775</f>
        <v>EQU018</v>
      </c>
      <c r="D4470" s="139" t="str">
        <f>+'LISTA DE INSUMOS'!B775</f>
        <v>Vibrador eléctrico o a gasolina</v>
      </c>
      <c r="E4470" s="108" t="str">
        <f>+'LISTA DE INSUMOS'!C775</f>
        <v>Día</v>
      </c>
      <c r="F4470" s="160">
        <v>1</v>
      </c>
      <c r="G4470" s="141">
        <f>'LISTA DE INSUMOS'!E775</f>
        <v>42234.2781968536</v>
      </c>
      <c r="H4470" s="205">
        <f>1/5</f>
        <v>0.2</v>
      </c>
      <c r="I4470" s="141">
        <f>ROUND((F4470*G4470*H4470),0)</f>
        <v>8447</v>
      </c>
      <c r="J4470" s="47"/>
      <c r="K4470" s="143"/>
    </row>
    <row r="4471" spans="2:11" ht="24.9" customHeight="1" thickTop="1" thickBot="1" x14ac:dyDescent="0.25">
      <c r="B4471" s="171" t="s">
        <v>421</v>
      </c>
      <c r="C4471" s="145" t="str">
        <f>+'LISTA DE INSUMOS'!A823</f>
        <v>ESY001</v>
      </c>
      <c r="D4471" s="146" t="str">
        <f>+'LISTA DE INSUMOS'!B823</f>
        <v>Ensayo resistencia concretos (un testigo)</v>
      </c>
      <c r="E4471" s="145" t="str">
        <f>+'LISTA DE INSUMOS'!C823</f>
        <v>Un</v>
      </c>
      <c r="F4471" s="172">
        <f>1/10*3</f>
        <v>0.30000000000000004</v>
      </c>
      <c r="G4471" s="173">
        <f>'LISTA DE INSUMOS'!E823</f>
        <v>29175.946249999997</v>
      </c>
      <c r="H4471" s="174">
        <v>0</v>
      </c>
      <c r="I4471" s="148">
        <f>ROUND((F4471*G4471),0)</f>
        <v>8753</v>
      </c>
      <c r="J4471" s="47"/>
      <c r="K4471" s="143"/>
    </row>
    <row r="4472" spans="2:11" ht="24.9" customHeight="1" x14ac:dyDescent="0.2">
      <c r="B4472" s="117" t="s">
        <v>3022</v>
      </c>
      <c r="C4472" s="117"/>
      <c r="D4472" s="112" t="s">
        <v>60</v>
      </c>
      <c r="E4472" s="117" t="s">
        <v>1412</v>
      </c>
      <c r="F4472" s="149"/>
      <c r="G4472" s="119">
        <f>ROUND(SUM(I4473:I4476),0)</f>
        <v>4255</v>
      </c>
      <c r="H4472" s="120"/>
      <c r="I4472" s="119"/>
      <c r="J4472" s="47"/>
      <c r="K4472" s="143"/>
    </row>
    <row r="4473" spans="2:11" ht="24.9" customHeight="1" x14ac:dyDescent="0.2">
      <c r="B4473" s="678" t="s">
        <v>1034</v>
      </c>
      <c r="C4473" s="108" t="str">
        <f>+'LISTA DE INSUMOS'!A7</f>
        <v>MOB004</v>
      </c>
      <c r="D4473" s="139" t="str">
        <f>+'LISTA DE INSUMOS'!B7</f>
        <v>Ayudante (jornal + prestaciones)</v>
      </c>
      <c r="E4473" s="108" t="str">
        <f>+'LISTA DE INSUMOS'!C7</f>
        <v>Dia</v>
      </c>
      <c r="F4473" s="176">
        <v>1</v>
      </c>
      <c r="G4473" s="141">
        <f>+'LISTA DE INSUMOS'!E7</f>
        <v>81861</v>
      </c>
      <c r="H4473" s="205">
        <f>1/25</f>
        <v>0.04</v>
      </c>
      <c r="I4473" s="141">
        <f>ROUND((F4473*G4473*H4473),0)</f>
        <v>3274</v>
      </c>
      <c r="J4473" s="47"/>
      <c r="K4473" s="143"/>
    </row>
    <row r="4474" spans="2:11" ht="24.9" customHeight="1" thickBot="1" x14ac:dyDescent="0.25">
      <c r="B4474" s="705"/>
      <c r="C4474" s="108" t="str">
        <f>+'LISTA DE INSUMOS'!A14</f>
        <v>MOB011</v>
      </c>
      <c r="D4474" s="139" t="str">
        <f>+'LISTA DE INSUMOS'!B14</f>
        <v>Acarreo Horizontal (% mano obra)</v>
      </c>
      <c r="E4474" s="108" t="str">
        <f>+'LISTA DE INSUMOS'!C14</f>
        <v>% MO</v>
      </c>
      <c r="F4474" s="176">
        <v>0.1</v>
      </c>
      <c r="G4474" s="141">
        <f>I4473</f>
        <v>3274</v>
      </c>
      <c r="H4474" s="205">
        <v>0</v>
      </c>
      <c r="I4474" s="141">
        <f>ROUND((F4474*G4474),0)</f>
        <v>327</v>
      </c>
      <c r="J4474" s="47"/>
      <c r="K4474" s="143"/>
    </row>
    <row r="4475" spans="2:11" ht="24.9" customHeight="1" thickTop="1" x14ac:dyDescent="0.2">
      <c r="B4475" s="647" t="s">
        <v>1033</v>
      </c>
      <c r="C4475" s="108" t="str">
        <f>+'LISTA DE INSUMOS'!A758</f>
        <v>EQU002</v>
      </c>
      <c r="D4475" s="139" t="str">
        <f>+'LISTA DE INSUMOS'!B758</f>
        <v>Herramienta menor (% mano obra)</v>
      </c>
      <c r="E4475" s="108" t="str">
        <f>+'LISTA DE INSUMOS'!C758</f>
        <v>%MO</v>
      </c>
      <c r="F4475" s="176">
        <v>0.1</v>
      </c>
      <c r="G4475" s="141">
        <f>I4473</f>
        <v>3274</v>
      </c>
      <c r="H4475" s="205">
        <v>0</v>
      </c>
      <c r="I4475" s="141">
        <f>ROUND((F4475*G4475),0)</f>
        <v>327</v>
      </c>
      <c r="J4475" s="47"/>
      <c r="K4475" s="143"/>
    </row>
    <row r="4476" spans="2:11" ht="24.9" customHeight="1" thickBot="1" x14ac:dyDescent="0.25">
      <c r="B4476" s="704"/>
      <c r="C4476" s="145" t="str">
        <f>+'LISTA DE INSUMOS'!A762</f>
        <v>EQU006</v>
      </c>
      <c r="D4476" s="146" t="str">
        <f>+'LISTA DE INSUMOS'!B762</f>
        <v>Andamio (% mano obra)</v>
      </c>
      <c r="E4476" s="145" t="str">
        <f>+'LISTA DE INSUMOS'!C762</f>
        <v>%MO</v>
      </c>
      <c r="F4476" s="229">
        <v>0.1</v>
      </c>
      <c r="G4476" s="148">
        <f>I4473</f>
        <v>3274</v>
      </c>
      <c r="H4476" s="206">
        <v>0</v>
      </c>
      <c r="I4476" s="148">
        <f>IF(H4476&gt;=0,(F4476*G4476*(1+H4476/100)),ABS(F4476*G4476/H4476))</f>
        <v>327.40000000000003</v>
      </c>
      <c r="J4476" s="47"/>
      <c r="K4476" s="143"/>
    </row>
    <row r="4477" spans="2:11" s="317" customFormat="1" ht="24.9" hidden="1" customHeight="1" x14ac:dyDescent="0.2">
      <c r="B4477" s="353" t="s">
        <v>1987</v>
      </c>
      <c r="C4477" s="319"/>
      <c r="D4477" s="320" t="s">
        <v>1588</v>
      </c>
      <c r="E4477" s="319" t="s">
        <v>2585</v>
      </c>
      <c r="F4477" s="332"/>
      <c r="G4477" s="312">
        <f>ROUND(SUM(I4478:I4481),0)</f>
        <v>21283</v>
      </c>
      <c r="H4477" s="322"/>
      <c r="I4477" s="312"/>
      <c r="J4477" s="313"/>
      <c r="K4477" s="323"/>
    </row>
    <row r="4478" spans="2:11" s="317" customFormat="1" ht="24.9" hidden="1" customHeight="1" x14ac:dyDescent="0.2">
      <c r="B4478" s="714" t="s">
        <v>1034</v>
      </c>
      <c r="C4478" s="322" t="str">
        <f>+'LISTA DE INSUMOS'!A7</f>
        <v>MOB004</v>
      </c>
      <c r="D4478" s="324" t="str">
        <f>+'LISTA DE INSUMOS'!B7</f>
        <v>Ayudante (jornal + prestaciones)</v>
      </c>
      <c r="E4478" s="322" t="str">
        <f>+'LISTA DE INSUMOS'!C7</f>
        <v>Dia</v>
      </c>
      <c r="F4478" s="321">
        <v>1</v>
      </c>
      <c r="G4478" s="312">
        <f>+'LISTA DE INSUMOS'!E7</f>
        <v>81861</v>
      </c>
      <c r="H4478" s="349">
        <f>1/5</f>
        <v>0.2</v>
      </c>
      <c r="I4478" s="312">
        <f>ROUND((F4478*G4478*H4478),0)</f>
        <v>16372</v>
      </c>
      <c r="J4478" s="313"/>
      <c r="K4478" s="323"/>
    </row>
    <row r="4479" spans="2:11" s="317" customFormat="1" ht="24.9" hidden="1" customHeight="1" thickBot="1" x14ac:dyDescent="0.25">
      <c r="B4479" s="715"/>
      <c r="C4479" s="322" t="str">
        <f>+'LISTA DE INSUMOS'!A14</f>
        <v>MOB011</v>
      </c>
      <c r="D4479" s="324" t="str">
        <f>+'LISTA DE INSUMOS'!B14</f>
        <v>Acarreo Horizontal (% mano obra)</v>
      </c>
      <c r="E4479" s="322" t="str">
        <f>+'LISTA DE INSUMOS'!C14</f>
        <v>% MO</v>
      </c>
      <c r="F4479" s="321">
        <v>0.1</v>
      </c>
      <c r="G4479" s="312">
        <f>I4478</f>
        <v>16372</v>
      </c>
      <c r="H4479" s="349">
        <v>0</v>
      </c>
      <c r="I4479" s="312">
        <f>ROUND((F4479*G4479),0)</f>
        <v>1637</v>
      </c>
      <c r="J4479" s="313"/>
      <c r="K4479" s="323"/>
    </row>
    <row r="4480" spans="2:11" s="317" customFormat="1" ht="24.9" hidden="1" customHeight="1" thickTop="1" x14ac:dyDescent="0.2">
      <c r="B4480" s="652" t="s">
        <v>1033</v>
      </c>
      <c r="C4480" s="322" t="str">
        <f>+'LISTA DE INSUMOS'!A758</f>
        <v>EQU002</v>
      </c>
      <c r="D4480" s="324" t="str">
        <f>+'LISTA DE INSUMOS'!B758</f>
        <v>Herramienta menor (% mano obra)</v>
      </c>
      <c r="E4480" s="322" t="str">
        <f>+'LISTA DE INSUMOS'!C758</f>
        <v>%MO</v>
      </c>
      <c r="F4480" s="321">
        <v>0.1</v>
      </c>
      <c r="G4480" s="312">
        <f>I4478</f>
        <v>16372</v>
      </c>
      <c r="H4480" s="349">
        <v>0</v>
      </c>
      <c r="I4480" s="312">
        <f>ROUND((F4480*G4480),0)</f>
        <v>1637</v>
      </c>
      <c r="J4480" s="313"/>
      <c r="K4480" s="323"/>
    </row>
    <row r="4481" spans="2:11" s="317" customFormat="1" ht="24.9" hidden="1" customHeight="1" thickBot="1" x14ac:dyDescent="0.25">
      <c r="B4481" s="653"/>
      <c r="C4481" s="329" t="str">
        <f>+'LISTA DE INSUMOS'!A762</f>
        <v>EQU006</v>
      </c>
      <c r="D4481" s="328" t="str">
        <f>+'LISTA DE INSUMOS'!B762</f>
        <v>Andamio (% mano obra)</v>
      </c>
      <c r="E4481" s="329" t="str">
        <f>+'LISTA DE INSUMOS'!C762</f>
        <v>%MO</v>
      </c>
      <c r="F4481" s="362">
        <v>0.1</v>
      </c>
      <c r="G4481" s="331">
        <f>I4478</f>
        <v>16372</v>
      </c>
      <c r="H4481" s="350">
        <v>0</v>
      </c>
      <c r="I4481" s="331">
        <f>ROUND((F4481*G4481),0)</f>
        <v>1637</v>
      </c>
      <c r="J4481" s="313"/>
      <c r="K4481" s="323"/>
    </row>
    <row r="4482" spans="2:11" ht="24.9" customHeight="1" x14ac:dyDescent="0.2">
      <c r="B4482" s="193" t="s">
        <v>3023</v>
      </c>
      <c r="C4482" s="117"/>
      <c r="D4482" s="112" t="s">
        <v>2247</v>
      </c>
      <c r="E4482" s="117" t="s">
        <v>1435</v>
      </c>
      <c r="F4482" s="118"/>
      <c r="G4482" s="119">
        <f>ROUND(SUM(I4482:I4487),0)</f>
        <v>525004</v>
      </c>
      <c r="H4482" s="120"/>
      <c r="I4482" s="119"/>
      <c r="J4482" s="47"/>
      <c r="K4482" s="143"/>
    </row>
    <row r="4483" spans="2:11" ht="24.9" customHeight="1" x14ac:dyDescent="0.2">
      <c r="B4483" s="672" t="s">
        <v>1035</v>
      </c>
      <c r="C4483" s="108" t="str">
        <f>+'LISTA DE INSUMOS'!A516</f>
        <v>MAT533</v>
      </c>
      <c r="D4483" s="139" t="str">
        <f>+'LISTA DE INSUMOS'!B516</f>
        <v>Lavadero 80x60x50cm Granito</v>
      </c>
      <c r="E4483" s="108" t="str">
        <f>+'LISTA DE INSUMOS'!C516</f>
        <v>Un</v>
      </c>
      <c r="F4483" s="140">
        <v>1</v>
      </c>
      <c r="G4483" s="141">
        <f>'LISTA DE INSUMOS'!E516</f>
        <v>375385.94588797493</v>
      </c>
      <c r="H4483" s="108">
        <v>0</v>
      </c>
      <c r="I4483" s="141">
        <f>ROUND((F4483*G4483),0)</f>
        <v>375386</v>
      </c>
      <c r="J4483" s="47"/>
      <c r="K4483" s="143"/>
    </row>
    <row r="4484" spans="2:11" ht="24.9" customHeight="1" x14ac:dyDescent="0.2">
      <c r="B4484" s="672"/>
      <c r="C4484" s="108" t="str">
        <f>+'LISTA DE INSUMOS'!A31</f>
        <v>MAT002</v>
      </c>
      <c r="D4484" s="139" t="str">
        <f>+'LISTA DE INSUMOS'!B31</f>
        <v>Cemento blanco</v>
      </c>
      <c r="E4484" s="108" t="str">
        <f>+'LISTA DE INSUMOS'!C31</f>
        <v>Kg</v>
      </c>
      <c r="F4484" s="140">
        <v>2</v>
      </c>
      <c r="G4484" s="141">
        <f>'LISTA DE INSUMOS'!E31</f>
        <v>2900</v>
      </c>
      <c r="H4484" s="108">
        <v>1.05</v>
      </c>
      <c r="I4484" s="141">
        <f>ROUND((F4484*G4484*H4484),0)</f>
        <v>6090</v>
      </c>
      <c r="J4484" s="47"/>
      <c r="K4484" s="143"/>
    </row>
    <row r="4485" spans="2:11" ht="24.9" customHeight="1" thickBot="1" x14ac:dyDescent="0.25">
      <c r="B4485" s="673"/>
      <c r="C4485" s="108" t="str">
        <f>+'LISTA DE INSUMOS'!A147</f>
        <v>MAT106</v>
      </c>
      <c r="D4485" s="139" t="str">
        <f>+'LISTA DE INSUMOS'!B147</f>
        <v>Conjunto desagüe flexible para lavadero de 1 1/2" con canastillas</v>
      </c>
      <c r="E4485" s="108" t="str">
        <f>+'LISTA DE INSUMOS'!C147</f>
        <v>Un</v>
      </c>
      <c r="F4485" s="140">
        <v>1</v>
      </c>
      <c r="G4485" s="141">
        <f>'LISTA DE INSUMOS'!E147</f>
        <v>53480.718235264321</v>
      </c>
      <c r="H4485" s="108">
        <v>0</v>
      </c>
      <c r="I4485" s="141">
        <f>ROUND((F4485*G4485),0)</f>
        <v>53481</v>
      </c>
      <c r="J4485" s="47"/>
      <c r="K4485" s="143"/>
    </row>
    <row r="4486" spans="2:11" ht="24.9" customHeight="1" thickTop="1" thickBot="1" x14ac:dyDescent="0.25">
      <c r="B4486" s="153" t="s">
        <v>1034</v>
      </c>
      <c r="C4486" s="108" t="str">
        <f>+'LISTA DE INSUMOS'!A18</f>
        <v>MOB015</v>
      </c>
      <c r="D4486" s="139" t="str">
        <f>+'LISTA DE INSUMOS'!B18</f>
        <v>Cuadrilla E 1 Of + 1 Ay (jornal + prestaciones)</v>
      </c>
      <c r="E4486" s="108" t="str">
        <f>+'LISTA DE INSUMOS'!C18</f>
        <v>Día</v>
      </c>
      <c r="F4486" s="140">
        <v>1</v>
      </c>
      <c r="G4486" s="141">
        <f>'LISTA DE INSUMOS'!E18</f>
        <v>245584</v>
      </c>
      <c r="H4486" s="108">
        <f>1/3</f>
        <v>0.33333333333333331</v>
      </c>
      <c r="I4486" s="141">
        <f>ROUND((F4486*G4486*H4486),0)</f>
        <v>81861</v>
      </c>
      <c r="J4486" s="47"/>
      <c r="K4486" s="143"/>
    </row>
    <row r="4487" spans="2:11" ht="30" customHeight="1" thickTop="1" thickBot="1" x14ac:dyDescent="0.25">
      <c r="B4487" s="150" t="s">
        <v>1033</v>
      </c>
      <c r="C4487" s="151" t="str">
        <f>+'LISTA DE INSUMOS'!A758</f>
        <v>EQU002</v>
      </c>
      <c r="D4487" s="146" t="str">
        <f>+'LISTA DE INSUMOS'!B758</f>
        <v>Herramienta menor (% mano obra)</v>
      </c>
      <c r="E4487" s="145" t="str">
        <f>+'LISTA DE INSUMOS'!C758</f>
        <v>%MO</v>
      </c>
      <c r="F4487" s="147">
        <v>0.1</v>
      </c>
      <c r="G4487" s="148">
        <f>I4486</f>
        <v>81861</v>
      </c>
      <c r="H4487" s="145">
        <v>0</v>
      </c>
      <c r="I4487" s="148">
        <f>ROUND((F4487*G4487),0)</f>
        <v>8186</v>
      </c>
      <c r="J4487" s="47"/>
      <c r="K4487" s="143"/>
    </row>
    <row r="4488" spans="2:11" ht="30" customHeight="1" x14ac:dyDescent="0.2">
      <c r="B4488" s="117" t="s">
        <v>2344</v>
      </c>
      <c r="C4488" s="117"/>
      <c r="D4488" s="112" t="s">
        <v>2457</v>
      </c>
      <c r="E4488" s="117" t="s">
        <v>1412</v>
      </c>
      <c r="F4488" s="149"/>
      <c r="G4488" s="119">
        <f>ROUND(SUM(I4489:I4494),0)</f>
        <v>1393522</v>
      </c>
      <c r="H4488" s="105"/>
      <c r="I4488" s="105"/>
      <c r="J4488" s="47"/>
      <c r="K4488" s="143"/>
    </row>
    <row r="4489" spans="2:11" ht="30" customHeight="1" thickBot="1" x14ac:dyDescent="0.25">
      <c r="B4489" s="262" t="s">
        <v>1310</v>
      </c>
      <c r="C4489" s="108" t="str">
        <f>+B535</f>
        <v>ITE091</v>
      </c>
      <c r="D4489" s="167" t="str">
        <f>+D535</f>
        <v>Concreto de 27,6 Mpa (4000 psi) (producción)</v>
      </c>
      <c r="E4489" s="108" t="str">
        <f>+E535</f>
        <v>M3</v>
      </c>
      <c r="F4489" s="160">
        <f>3.1416*0.52^2</f>
        <v>0.84948864000000013</v>
      </c>
      <c r="G4489" s="141">
        <f>+G535</f>
        <v>643985</v>
      </c>
      <c r="H4489" s="108">
        <v>1.05</v>
      </c>
      <c r="I4489" s="141">
        <f>ROUND((F4489*G4489*H4489),0)</f>
        <v>574411</v>
      </c>
      <c r="J4489" s="47"/>
      <c r="K4489" s="143"/>
    </row>
    <row r="4490" spans="2:11" ht="24.9" customHeight="1" thickTop="1" thickBot="1" x14ac:dyDescent="0.25">
      <c r="B4490" s="153" t="s">
        <v>1034</v>
      </c>
      <c r="C4490" s="125" t="str">
        <f>+'LISTA DE INSUMOS'!A9</f>
        <v>MOB006</v>
      </c>
      <c r="D4490" s="155" t="str">
        <f>+'LISTA DE INSUMOS'!B9</f>
        <v>Cuadrilla A 1 Of + 4 Ay (jornal + prestaciones)</v>
      </c>
      <c r="E4490" s="108" t="str">
        <f>+'LISTA DE INSUMOS'!C9</f>
        <v>Día</v>
      </c>
      <c r="F4490" s="160">
        <v>1</v>
      </c>
      <c r="G4490" s="141">
        <f>'LISTA DE INSUMOS'!E9</f>
        <v>491167</v>
      </c>
      <c r="H4490" s="108">
        <f>1/0.7</f>
        <v>1.4285714285714286</v>
      </c>
      <c r="I4490" s="141">
        <f>ROUND((F4490*G4490*H4490),0)</f>
        <v>701667</v>
      </c>
      <c r="J4490" s="47"/>
      <c r="K4490" s="143"/>
    </row>
    <row r="4491" spans="2:11" ht="24.9" customHeight="1" thickTop="1" x14ac:dyDescent="0.2">
      <c r="B4491" s="647" t="s">
        <v>1033</v>
      </c>
      <c r="C4491" s="108" t="s">
        <v>1017</v>
      </c>
      <c r="D4491" s="139" t="s">
        <v>1029</v>
      </c>
      <c r="E4491" s="108" t="s">
        <v>2066</v>
      </c>
      <c r="F4491" s="176">
        <v>0.1</v>
      </c>
      <c r="G4491" s="141">
        <f>I4490</f>
        <v>701667</v>
      </c>
      <c r="H4491" s="205">
        <v>0</v>
      </c>
      <c r="I4491" s="141">
        <f>ROUND((F4491*G4491),0)</f>
        <v>70167</v>
      </c>
      <c r="J4491" s="47"/>
      <c r="K4491" s="143"/>
    </row>
    <row r="4492" spans="2:11" ht="24.9" customHeight="1" x14ac:dyDescent="0.2">
      <c r="B4492" s="648"/>
      <c r="C4492" s="108" t="str">
        <f>+'LISTA DE INSUMOS'!A775</f>
        <v>EQU018</v>
      </c>
      <c r="D4492" s="139" t="str">
        <f>+'LISTA DE INSUMOS'!B775</f>
        <v>Vibrador eléctrico o a gasolina</v>
      </c>
      <c r="E4492" s="108" t="str">
        <f>+'LISTA DE INSUMOS'!C775</f>
        <v>Día</v>
      </c>
      <c r="F4492" s="176">
        <v>1</v>
      </c>
      <c r="G4492" s="141">
        <f>+'LISTA DE INSUMOS'!E775</f>
        <v>42234.2781968536</v>
      </c>
      <c r="H4492" s="205">
        <v>0.05</v>
      </c>
      <c r="I4492" s="141">
        <f>ROUND((F4492*G4492*H4492),0)</f>
        <v>2112</v>
      </c>
      <c r="J4492" s="47"/>
      <c r="K4492" s="143"/>
    </row>
    <row r="4493" spans="2:11" ht="24.9" customHeight="1" thickBot="1" x14ac:dyDescent="0.25">
      <c r="B4493" s="721"/>
      <c r="C4493" s="125" t="s">
        <v>373</v>
      </c>
      <c r="D4493" s="47" t="s">
        <v>374</v>
      </c>
      <c r="E4493" s="108" t="s">
        <v>2065</v>
      </c>
      <c r="F4493" s="176">
        <v>1</v>
      </c>
      <c r="G4493" s="141">
        <f>'LISTA DE INSUMOS'!E811</f>
        <v>36411.580919999993</v>
      </c>
      <c r="H4493" s="205">
        <f>1/1</f>
        <v>1</v>
      </c>
      <c r="I4493" s="141">
        <f>ROUND((F4493*G4493*H4493),0)</f>
        <v>36412</v>
      </c>
      <c r="J4493" s="47"/>
      <c r="K4493" s="143"/>
    </row>
    <row r="4494" spans="2:11" ht="24.9" customHeight="1" thickTop="1" thickBot="1" x14ac:dyDescent="0.25">
      <c r="B4494" s="171" t="s">
        <v>421</v>
      </c>
      <c r="C4494" s="145" t="s">
        <v>417</v>
      </c>
      <c r="D4494" s="146" t="s">
        <v>418</v>
      </c>
      <c r="E4494" s="145" t="s">
        <v>1435</v>
      </c>
      <c r="F4494" s="172">
        <f>1/10*3</f>
        <v>0.30000000000000004</v>
      </c>
      <c r="G4494" s="173">
        <f>'LISTA DE INSUMOS'!E823</f>
        <v>29175.946249999997</v>
      </c>
      <c r="H4494" s="174">
        <v>0</v>
      </c>
      <c r="I4494" s="148">
        <f>ROUND((F4494*G4494),0)</f>
        <v>8753</v>
      </c>
      <c r="J4494" s="47"/>
      <c r="K4494" s="143"/>
    </row>
    <row r="4495" spans="2:11" ht="24.9" customHeight="1" x14ac:dyDescent="0.2">
      <c r="B4495" s="117" t="s">
        <v>3024</v>
      </c>
      <c r="C4495" s="117"/>
      <c r="D4495" s="112" t="s">
        <v>2456</v>
      </c>
      <c r="E4495" s="117" t="s">
        <v>1412</v>
      </c>
      <c r="F4495" s="149"/>
      <c r="G4495" s="119">
        <f>ROUND(SUM(I4496:I4501),0)</f>
        <v>1635692</v>
      </c>
      <c r="H4495" s="105"/>
      <c r="I4495" s="105"/>
      <c r="J4495" s="47"/>
      <c r="K4495" s="143"/>
    </row>
    <row r="4496" spans="2:11" ht="24.9" customHeight="1" thickBot="1" x14ac:dyDescent="0.25">
      <c r="B4496" s="262" t="s">
        <v>1310</v>
      </c>
      <c r="C4496" s="108" t="str">
        <f>+B535</f>
        <v>ITE091</v>
      </c>
      <c r="D4496" s="167" t="str">
        <f>+D535</f>
        <v>Concreto de 27,6 Mpa (4000 psi) (producción)</v>
      </c>
      <c r="E4496" s="108" t="str">
        <f>+E535</f>
        <v>M3</v>
      </c>
      <c r="F4496" s="160">
        <f>3.1416*0.62^2</f>
        <v>1.2076310400000001</v>
      </c>
      <c r="G4496" s="141">
        <f>+G535</f>
        <v>643985</v>
      </c>
      <c r="H4496" s="108">
        <v>1.05</v>
      </c>
      <c r="I4496" s="141">
        <f>ROUND((F4496*G4496*H4496),0)</f>
        <v>816581</v>
      </c>
      <c r="J4496" s="47"/>
      <c r="K4496" s="143"/>
    </row>
    <row r="4497" spans="2:11" ht="24.9" customHeight="1" thickTop="1" thickBot="1" x14ac:dyDescent="0.25">
      <c r="B4497" s="153" t="s">
        <v>1034</v>
      </c>
      <c r="C4497" s="125" t="str">
        <f>+'LISTA DE INSUMOS'!A9</f>
        <v>MOB006</v>
      </c>
      <c r="D4497" s="155" t="str">
        <f>+'LISTA DE INSUMOS'!B9</f>
        <v>Cuadrilla A 1 Of + 4 Ay (jornal + prestaciones)</v>
      </c>
      <c r="E4497" s="108" t="str">
        <f>+'LISTA DE INSUMOS'!C9</f>
        <v>Día</v>
      </c>
      <c r="F4497" s="160">
        <v>1</v>
      </c>
      <c r="G4497" s="141">
        <f>'LISTA DE INSUMOS'!E9</f>
        <v>491167</v>
      </c>
      <c r="H4497" s="108">
        <f>1/0.7</f>
        <v>1.4285714285714286</v>
      </c>
      <c r="I4497" s="141">
        <f>ROUND((F4497*G4497*H4497),0)</f>
        <v>701667</v>
      </c>
      <c r="J4497" s="47"/>
      <c r="K4497" s="143"/>
    </row>
    <row r="4498" spans="2:11" ht="24.9" customHeight="1" thickTop="1" x14ac:dyDescent="0.2">
      <c r="B4498" s="647" t="s">
        <v>1033</v>
      </c>
      <c r="C4498" s="108" t="str">
        <f>+'LISTA DE INSUMOS'!A758</f>
        <v>EQU002</v>
      </c>
      <c r="D4498" s="139" t="str">
        <f>+'LISTA DE INSUMOS'!B758</f>
        <v>Herramienta menor (% mano obra)</v>
      </c>
      <c r="E4498" s="108" t="str">
        <f>+'LISTA DE INSUMOS'!C758</f>
        <v>%MO</v>
      </c>
      <c r="F4498" s="176">
        <v>0.1</v>
      </c>
      <c r="G4498" s="141">
        <f>I4497</f>
        <v>701667</v>
      </c>
      <c r="H4498" s="205">
        <v>0</v>
      </c>
      <c r="I4498" s="141">
        <f>ROUND((F4498*G4498),0)</f>
        <v>70167</v>
      </c>
      <c r="J4498" s="47"/>
      <c r="K4498" s="143"/>
    </row>
    <row r="4499" spans="2:11" ht="24.9" customHeight="1" x14ac:dyDescent="0.2">
      <c r="B4499" s="648"/>
      <c r="C4499" s="108" t="str">
        <f>+'LISTA DE INSUMOS'!A775</f>
        <v>EQU018</v>
      </c>
      <c r="D4499" s="139" t="str">
        <f>+'LISTA DE INSUMOS'!B775</f>
        <v>Vibrador eléctrico o a gasolina</v>
      </c>
      <c r="E4499" s="108" t="str">
        <f>+'LISTA DE INSUMOS'!C775</f>
        <v>Día</v>
      </c>
      <c r="F4499" s="176">
        <v>1</v>
      </c>
      <c r="G4499" s="141">
        <f>+'LISTA DE INSUMOS'!E775</f>
        <v>42234.2781968536</v>
      </c>
      <c r="H4499" s="205">
        <v>0.05</v>
      </c>
      <c r="I4499" s="141">
        <f>ROUND((F4499*G4499*H4499),0)</f>
        <v>2112</v>
      </c>
      <c r="J4499" s="47"/>
      <c r="K4499" s="143"/>
    </row>
    <row r="4500" spans="2:11" ht="24.9" customHeight="1" thickBot="1" x14ac:dyDescent="0.25">
      <c r="B4500" s="721"/>
      <c r="C4500" s="125" t="str">
        <f>+'LISTA DE INSUMOS'!A811</f>
        <v>EQU056</v>
      </c>
      <c r="D4500" s="155" t="str">
        <f>+'LISTA DE INSUMOS'!B811</f>
        <v>Formaleta cónica para caissons</v>
      </c>
      <c r="E4500" s="108" t="str">
        <f>+'LISTA DE INSUMOS'!C811</f>
        <v>Día</v>
      </c>
      <c r="F4500" s="176">
        <v>1</v>
      </c>
      <c r="G4500" s="141">
        <f>'LISTA DE INSUMOS'!E811</f>
        <v>36411.580919999993</v>
      </c>
      <c r="H4500" s="205">
        <f>1/1</f>
        <v>1</v>
      </c>
      <c r="I4500" s="141">
        <f>ROUND((F4500*G4500*H4500),0)</f>
        <v>36412</v>
      </c>
      <c r="J4500" s="47"/>
      <c r="K4500" s="143"/>
    </row>
    <row r="4501" spans="2:11" ht="21.75" customHeight="1" thickTop="1" thickBot="1" x14ac:dyDescent="0.25">
      <c r="B4501" s="171" t="s">
        <v>421</v>
      </c>
      <c r="C4501" s="145" t="str">
        <f>+'LISTA DE INSUMOS'!A823</f>
        <v>ESY001</v>
      </c>
      <c r="D4501" s="146" t="str">
        <f>+'LISTA DE INSUMOS'!B823</f>
        <v>Ensayo resistencia concretos (un testigo)</v>
      </c>
      <c r="E4501" s="145" t="str">
        <f>+'LISTA DE INSUMOS'!C823</f>
        <v>Un</v>
      </c>
      <c r="F4501" s="172">
        <f>1/10*3</f>
        <v>0.30000000000000004</v>
      </c>
      <c r="G4501" s="173">
        <f>'LISTA DE INSUMOS'!E823</f>
        <v>29175.946249999997</v>
      </c>
      <c r="H4501" s="174">
        <v>0</v>
      </c>
      <c r="I4501" s="148">
        <f>ROUND((F4501*G4501),0)</f>
        <v>8753</v>
      </c>
      <c r="J4501" s="47"/>
      <c r="K4501" s="143"/>
    </row>
    <row r="4502" spans="2:11" s="317" customFormat="1" ht="24.9" hidden="1" customHeight="1" x14ac:dyDescent="0.2">
      <c r="B4502" s="319" t="s">
        <v>2352</v>
      </c>
      <c r="C4502" s="319"/>
      <c r="D4502" s="320" t="s">
        <v>372</v>
      </c>
      <c r="E4502" s="319" t="s">
        <v>1412</v>
      </c>
      <c r="F4502" s="332"/>
      <c r="G4502" s="312">
        <f>ROUND(SUM(I4503:I4509),0)</f>
        <v>312668</v>
      </c>
      <c r="J4502" s="313"/>
      <c r="K4502" s="323"/>
    </row>
    <row r="4503" spans="2:11" s="317" customFormat="1" ht="24.9" hidden="1" customHeight="1" thickBot="1" x14ac:dyDescent="0.25">
      <c r="B4503" s="338" t="s">
        <v>1310</v>
      </c>
      <c r="C4503" s="322" t="str">
        <f>+B535</f>
        <v>ITE091</v>
      </c>
      <c r="D4503" s="320" t="str">
        <f>+D535</f>
        <v>Concreto de 27,6 Mpa (4000 psi) (producción)</v>
      </c>
      <c r="E4503" s="322" t="str">
        <f>+E535</f>
        <v>M3</v>
      </c>
      <c r="F4503" s="332">
        <f>3.1416*(0.4^2)/4</f>
        <v>0.12566400000000003</v>
      </c>
      <c r="G4503" s="312">
        <f>+G535</f>
        <v>643985</v>
      </c>
      <c r="H4503" s="322">
        <v>1.05</v>
      </c>
      <c r="I4503" s="312">
        <f>ROUND((F4503*G4503*H4503),0)</f>
        <v>84972</v>
      </c>
      <c r="J4503" s="313"/>
      <c r="K4503" s="323"/>
    </row>
    <row r="4504" spans="2:11" s="317" customFormat="1" ht="22.5" hidden="1" customHeight="1" thickTop="1" thickBot="1" x14ac:dyDescent="0.25">
      <c r="B4504" s="342" t="s">
        <v>1034</v>
      </c>
      <c r="C4504" s="338" t="str">
        <f>+'LISTA DE INSUMOS'!A9</f>
        <v>MOB006</v>
      </c>
      <c r="D4504" s="339" t="str">
        <f>+'LISTA DE INSUMOS'!B9</f>
        <v>Cuadrilla A 1 Of + 4 Ay (jornal + prestaciones)</v>
      </c>
      <c r="E4504" s="322" t="str">
        <f>+'LISTA DE INSUMOS'!C9</f>
        <v>Día</v>
      </c>
      <c r="F4504" s="332">
        <v>1</v>
      </c>
      <c r="G4504" s="312">
        <f>'LISTA DE INSUMOS'!E9</f>
        <v>491167</v>
      </c>
      <c r="H4504" s="322">
        <f>1/10</f>
        <v>0.1</v>
      </c>
      <c r="I4504" s="312">
        <f>ROUND((F4504*G4504*H4504),0)</f>
        <v>49117</v>
      </c>
      <c r="J4504" s="313"/>
      <c r="K4504" s="323"/>
    </row>
    <row r="4505" spans="2:11" s="317" customFormat="1" ht="24.9" hidden="1" customHeight="1" thickTop="1" x14ac:dyDescent="0.2">
      <c r="B4505" s="665" t="s">
        <v>1033</v>
      </c>
      <c r="C4505" s="322" t="str">
        <f>+'LISTA DE INSUMOS'!A758</f>
        <v>EQU002</v>
      </c>
      <c r="D4505" s="324" t="str">
        <f>+'LISTA DE INSUMOS'!B758</f>
        <v>Herramienta menor (% mano obra)</v>
      </c>
      <c r="E4505" s="322" t="str">
        <f>+'LISTA DE INSUMOS'!C758</f>
        <v>%MO</v>
      </c>
      <c r="F4505" s="321">
        <v>0.1</v>
      </c>
      <c r="G4505" s="312">
        <f>I4504</f>
        <v>49117</v>
      </c>
      <c r="H4505" s="349">
        <v>0</v>
      </c>
      <c r="I4505" s="312">
        <f>ROUND((F4505*G4505),0)</f>
        <v>4912</v>
      </c>
      <c r="J4505" s="313"/>
      <c r="K4505" s="323"/>
    </row>
    <row r="4506" spans="2:11" s="317" customFormat="1" ht="24.9" hidden="1" customHeight="1" x14ac:dyDescent="0.2">
      <c r="B4506" s="666"/>
      <c r="C4506" s="338" t="str">
        <f>+'LISTA DE INSUMOS'!A812</f>
        <v>EQU057</v>
      </c>
      <c r="D4506" s="339" t="str">
        <f>+'LISTA DE INSUMOS'!B812</f>
        <v>Camisa metálica recuperable para pilotes</v>
      </c>
      <c r="E4506" s="322" t="str">
        <f>+'LISTA DE INSUMOS'!C812</f>
        <v>Día</v>
      </c>
      <c r="F4506" s="321">
        <v>2</v>
      </c>
      <c r="G4506" s="312">
        <f>'LISTA DE INSUMOS'!E812</f>
        <v>8752.7838749999992</v>
      </c>
      <c r="H4506" s="349">
        <f>1/10</f>
        <v>0.1</v>
      </c>
      <c r="I4506" s="312">
        <f>ROUND((F4506*G4506*H4506),0)</f>
        <v>1751</v>
      </c>
      <c r="J4506" s="313"/>
      <c r="K4506" s="390"/>
    </row>
    <row r="4507" spans="2:11" s="317" customFormat="1" ht="24.9" hidden="1" customHeight="1" x14ac:dyDescent="0.2">
      <c r="B4507" s="666"/>
      <c r="C4507" s="338" t="str">
        <f>+'LISTA DE INSUMOS'!A775</f>
        <v>EQU018</v>
      </c>
      <c r="D4507" s="339" t="str">
        <f>+'LISTA DE INSUMOS'!B775</f>
        <v>Vibrador eléctrico o a gasolina</v>
      </c>
      <c r="E4507" s="322" t="str">
        <f>+'LISTA DE INSUMOS'!C775</f>
        <v>Día</v>
      </c>
      <c r="F4507" s="321">
        <v>1</v>
      </c>
      <c r="G4507" s="312">
        <f>+'LISTA DE INSUMOS'!E775</f>
        <v>42234.2781968536</v>
      </c>
      <c r="H4507" s="349">
        <v>0.05</v>
      </c>
      <c r="I4507" s="312">
        <f>ROUND((F4507*G4507*H4507),0)</f>
        <v>2112</v>
      </c>
      <c r="J4507" s="313"/>
      <c r="K4507" s="390"/>
    </row>
    <row r="4508" spans="2:11" s="317" customFormat="1" ht="24.9" hidden="1" customHeight="1" thickBot="1" x14ac:dyDescent="0.25">
      <c r="B4508" s="667"/>
      <c r="C4508" s="338" t="str">
        <f>+'LISTA DE INSUMOS'!A814</f>
        <v>EQU059</v>
      </c>
      <c r="D4508" s="339" t="str">
        <f>+'LISTA DE INSUMOS'!B814</f>
        <v>Equipo de perforación (Tipo piloteadora)</v>
      </c>
      <c r="E4508" s="322" t="str">
        <f>+'LISTA DE INSUMOS'!C814</f>
        <v>Hr</v>
      </c>
      <c r="F4508" s="321">
        <v>1</v>
      </c>
      <c r="G4508" s="312">
        <f>+'LISTA DE INSUMOS'!E814</f>
        <v>667545.65019999992</v>
      </c>
      <c r="H4508" s="349">
        <f>1/4</f>
        <v>0.25</v>
      </c>
      <c r="I4508" s="312">
        <f>ROUND((F4508*G4508*H4508),0)</f>
        <v>166886</v>
      </c>
      <c r="J4508" s="313"/>
      <c r="K4508" s="323"/>
    </row>
    <row r="4509" spans="2:11" s="317" customFormat="1" ht="24.9" hidden="1" customHeight="1" thickTop="1" thickBot="1" x14ac:dyDescent="0.25">
      <c r="B4509" s="343" t="s">
        <v>421</v>
      </c>
      <c r="C4509" s="329" t="str">
        <f>+'LISTA DE INSUMOS'!A823</f>
        <v>ESY001</v>
      </c>
      <c r="D4509" s="328" t="str">
        <f>+'LISTA DE INSUMOS'!B823</f>
        <v>Ensayo resistencia concretos (un testigo)</v>
      </c>
      <c r="E4509" s="329" t="str">
        <f>+'LISTA DE INSUMOS'!C823</f>
        <v>Un</v>
      </c>
      <c r="F4509" s="330">
        <f>5/50</f>
        <v>0.1</v>
      </c>
      <c r="G4509" s="345">
        <f>'LISTA DE INSUMOS'!E823</f>
        <v>29175.946249999997</v>
      </c>
      <c r="H4509" s="346">
        <v>0</v>
      </c>
      <c r="I4509" s="331">
        <f>ROUND((F4509*G4509),0)</f>
        <v>2918</v>
      </c>
      <c r="J4509" s="313"/>
      <c r="K4509" s="323"/>
    </row>
    <row r="4510" spans="2:11" ht="24.9" customHeight="1" x14ac:dyDescent="0.2">
      <c r="B4510" s="262" t="s">
        <v>3025</v>
      </c>
      <c r="C4510" s="251"/>
      <c r="D4510" s="251" t="s">
        <v>2509</v>
      </c>
      <c r="E4510" s="262" t="s">
        <v>1432</v>
      </c>
      <c r="F4510" s="251"/>
      <c r="G4510" s="119">
        <f>ROUND(SUM(I4511:I4514),0)</f>
        <v>672309</v>
      </c>
      <c r="H4510" s="251"/>
      <c r="I4510" s="251"/>
      <c r="J4510" s="47"/>
      <c r="K4510" s="143"/>
    </row>
    <row r="4511" spans="2:11" ht="24.9" customHeight="1" thickBot="1" x14ac:dyDescent="0.25">
      <c r="B4511" s="175" t="s">
        <v>1325</v>
      </c>
      <c r="C4511" s="125" t="str">
        <f>+'LISTA DE INSUMOS'!A498</f>
        <v>MAT515</v>
      </c>
      <c r="D4511" s="155" t="str">
        <f>+'LISTA DE INSUMOS'!B498</f>
        <v>Fluidificante para concretos</v>
      </c>
      <c r="E4511" s="125" t="str">
        <f>+'LISTA DE INSUMOS'!C498</f>
        <v>Kg</v>
      </c>
      <c r="F4511" s="140">
        <v>3.5</v>
      </c>
      <c r="G4511" s="141">
        <f>'LISTA DE INSUMOS'!E498</f>
        <v>13992.624354353698</v>
      </c>
      <c r="H4511" s="108">
        <v>1.03</v>
      </c>
      <c r="I4511" s="141">
        <f>ROUND((F4511*G4511*H4511),0)</f>
        <v>50443</v>
      </c>
      <c r="J4511" s="47"/>
      <c r="K4511" s="143"/>
    </row>
    <row r="4512" spans="2:11" ht="24.9" customHeight="1" thickTop="1" thickBot="1" x14ac:dyDescent="0.25">
      <c r="B4512" s="191" t="s">
        <v>1310</v>
      </c>
      <c r="C4512" s="108" t="str">
        <f>+B553</f>
        <v>ITE093</v>
      </c>
      <c r="D4512" s="139" t="str">
        <f>+D553</f>
        <v>Concreto de 17,2 Mpa (2500 psi) (producción)</v>
      </c>
      <c r="E4512" s="108" t="str">
        <f>+E553</f>
        <v>M3</v>
      </c>
      <c r="F4512" s="140">
        <v>1</v>
      </c>
      <c r="G4512" s="141">
        <f>G553</f>
        <v>566526</v>
      </c>
      <c r="H4512" s="108">
        <v>1.05</v>
      </c>
      <c r="I4512" s="141">
        <f>ROUND((F4512*G4512*H4512),0)</f>
        <v>594852</v>
      </c>
      <c r="J4512" s="47"/>
      <c r="K4512" s="143"/>
    </row>
    <row r="4513" spans="2:11" ht="24.9" customHeight="1" thickTop="1" thickBot="1" x14ac:dyDescent="0.25">
      <c r="B4513" s="250" t="s">
        <v>1034</v>
      </c>
      <c r="C4513" s="108" t="str">
        <f>+'LISTA DE INSUMOS'!A18</f>
        <v>MOB015</v>
      </c>
      <c r="D4513" s="139" t="str">
        <f>+'LISTA DE INSUMOS'!B18</f>
        <v>Cuadrilla E 1 Of + 1 Ay (jornal + prestaciones)</v>
      </c>
      <c r="E4513" s="108" t="str">
        <f>+'LISTA DE INSUMOS'!C18</f>
        <v>Día</v>
      </c>
      <c r="F4513" s="176">
        <v>1</v>
      </c>
      <c r="G4513" s="141">
        <f>+'LISTA DE INSUMOS'!E18</f>
        <v>245584</v>
      </c>
      <c r="H4513" s="205">
        <f>1/10</f>
        <v>0.1</v>
      </c>
      <c r="I4513" s="141">
        <f>ROUND((F4513*G4513*H4513),0)</f>
        <v>24558</v>
      </c>
      <c r="J4513" s="47"/>
      <c r="K4513" s="143"/>
    </row>
    <row r="4514" spans="2:11" ht="24.9" customHeight="1" thickTop="1" thickBot="1" x14ac:dyDescent="0.25">
      <c r="B4514" s="150" t="s">
        <v>1033</v>
      </c>
      <c r="C4514" s="151" t="str">
        <f>+'LISTA DE INSUMOS'!A758</f>
        <v>EQU002</v>
      </c>
      <c r="D4514" s="146" t="str">
        <f>+'LISTA DE INSUMOS'!B758</f>
        <v>Herramienta menor (% mano obra)</v>
      </c>
      <c r="E4514" s="145" t="str">
        <f>+'LISTA DE INSUMOS'!C758</f>
        <v>%MO</v>
      </c>
      <c r="F4514" s="229">
        <v>0.1</v>
      </c>
      <c r="G4514" s="148">
        <f>I4513</f>
        <v>24558</v>
      </c>
      <c r="H4514" s="206">
        <v>0</v>
      </c>
      <c r="I4514" s="148">
        <f>ROUND((F4514*G4514),0)</f>
        <v>2456</v>
      </c>
      <c r="J4514" s="47"/>
      <c r="K4514" s="143"/>
    </row>
    <row r="4515" spans="2:11" s="317" customFormat="1" ht="24.9" hidden="1" customHeight="1" x14ac:dyDescent="0.2">
      <c r="B4515" s="319" t="s">
        <v>2002</v>
      </c>
      <c r="C4515" s="319"/>
      <c r="D4515" s="320" t="s">
        <v>358</v>
      </c>
      <c r="E4515" s="319" t="s">
        <v>1435</v>
      </c>
      <c r="F4515" s="332"/>
      <c r="G4515" s="312">
        <f>ROUND(SUM(I4515:I4518),0)</f>
        <v>22520</v>
      </c>
      <c r="H4515" s="322"/>
      <c r="I4515" s="312"/>
      <c r="J4515" s="313"/>
      <c r="K4515" s="323"/>
    </row>
    <row r="4516" spans="2:11" s="317" customFormat="1" ht="24.9" hidden="1" customHeight="1" thickBot="1" x14ac:dyDescent="0.25">
      <c r="B4516" s="347" t="s">
        <v>1325</v>
      </c>
      <c r="C4516" s="338" t="str">
        <f>+'LISTA DE INSUMOS'!A605</f>
        <v>MAT622</v>
      </c>
      <c r="D4516" s="339" t="str">
        <f>+'LISTA DE INSUMOS'!B605</f>
        <v>Mortero epóxico para anclaje</v>
      </c>
      <c r="E4516" s="322" t="str">
        <f>+'LISTA DE INSUMOS'!C605</f>
        <v>Kg</v>
      </c>
      <c r="F4516" s="325">
        <v>0.45</v>
      </c>
      <c r="G4516" s="312">
        <f>'LISTA DE INSUMOS'!E605</f>
        <v>33184.367827049995</v>
      </c>
      <c r="H4516" s="322">
        <v>1.05</v>
      </c>
      <c r="I4516" s="312">
        <f>ROUND((F4516*G4516*H4516),0)</f>
        <v>15680</v>
      </c>
      <c r="J4516" s="313"/>
      <c r="K4516" s="323"/>
    </row>
    <row r="4517" spans="2:11" s="317" customFormat="1" ht="24.9" hidden="1" customHeight="1" thickTop="1" thickBot="1" x14ac:dyDescent="0.25">
      <c r="B4517" s="363" t="s">
        <v>1034</v>
      </c>
      <c r="C4517" s="322" t="str">
        <f>+'LISTA DE INSUMOS'!A18</f>
        <v>MOB015</v>
      </c>
      <c r="D4517" s="324" t="str">
        <f>+'LISTA DE INSUMOS'!B18</f>
        <v>Cuadrilla E 1 Of + 1 Ay (jornal + prestaciones)</v>
      </c>
      <c r="E4517" s="322" t="str">
        <f>+'LISTA DE INSUMOS'!C18</f>
        <v>Día</v>
      </c>
      <c r="F4517" s="325">
        <v>1</v>
      </c>
      <c r="G4517" s="312">
        <f>'LISTA DE INSUMOS'!E18</f>
        <v>245584</v>
      </c>
      <c r="H4517" s="326">
        <f>1/40</f>
        <v>2.5000000000000001E-2</v>
      </c>
      <c r="I4517" s="312">
        <f>ROUND((F4517*G4517*H4517),0)</f>
        <v>6140</v>
      </c>
      <c r="J4517" s="313"/>
      <c r="K4517" s="323"/>
    </row>
    <row r="4518" spans="2:11" s="317" customFormat="1" ht="24.9" hidden="1" customHeight="1" thickTop="1" thickBot="1" x14ac:dyDescent="0.25">
      <c r="B4518" s="255" t="s">
        <v>1033</v>
      </c>
      <c r="C4518" s="365" t="str">
        <f>+'LISTA DE INSUMOS'!A800</f>
        <v>EQU045</v>
      </c>
      <c r="D4518" s="367" t="str">
        <f>+'LISTA DE INSUMOS'!B800</f>
        <v>Taladro percutor</v>
      </c>
      <c r="E4518" s="329" t="str">
        <f>+'LISTA DE INSUMOS'!C800</f>
        <v>Día</v>
      </c>
      <c r="F4518" s="330">
        <v>1</v>
      </c>
      <c r="G4518" s="331">
        <f>'LISTA DE INSUMOS'!E800</f>
        <v>28008.9084</v>
      </c>
      <c r="H4518" s="336">
        <f>1/40</f>
        <v>2.5000000000000001E-2</v>
      </c>
      <c r="I4518" s="331">
        <f>ROUND((F4518*G4518*H4518),0)</f>
        <v>700</v>
      </c>
      <c r="J4518" s="313"/>
      <c r="K4518" s="323"/>
    </row>
    <row r="4519" spans="2:11" s="317" customFormat="1" ht="24.9" hidden="1" customHeight="1" x14ac:dyDescent="0.2">
      <c r="B4519" s="319" t="s">
        <v>2003</v>
      </c>
      <c r="C4519" s="319"/>
      <c r="D4519" s="320" t="s">
        <v>126</v>
      </c>
      <c r="E4519" s="319" t="s">
        <v>1412</v>
      </c>
      <c r="F4519" s="332"/>
      <c r="G4519" s="312">
        <f>ROUND(SUM(I4519:I4535),0)</f>
        <v>642525</v>
      </c>
      <c r="H4519" s="322"/>
      <c r="I4519" s="312"/>
      <c r="J4519" s="313"/>
      <c r="K4519" s="323"/>
    </row>
    <row r="4520" spans="2:11" s="317" customFormat="1" ht="24.9" hidden="1" customHeight="1" x14ac:dyDescent="0.2">
      <c r="B4520" s="691" t="s">
        <v>1035</v>
      </c>
      <c r="C4520" s="322" t="str">
        <f>+'LISTA DE INSUMOS'!A180</f>
        <v>MAT133</v>
      </c>
      <c r="D4520" s="324" t="str">
        <f>+'LISTA DE INSUMOS'!B180</f>
        <v>Malla eslabonada 2" x 2" C 13</v>
      </c>
      <c r="E4520" s="322" t="str">
        <f>+'LISTA DE INSUMOS'!C180</f>
        <v>M2</v>
      </c>
      <c r="F4520" s="325">
        <v>5</v>
      </c>
      <c r="G4520" s="312">
        <f>'LISTA DE INSUMOS'!E180</f>
        <v>43792.809428939989</v>
      </c>
      <c r="H4520" s="322">
        <v>0</v>
      </c>
      <c r="I4520" s="312">
        <f>ROUND((F4520*G4520),0)</f>
        <v>218964</v>
      </c>
      <c r="J4520" s="313"/>
      <c r="K4520" s="323"/>
    </row>
    <row r="4521" spans="2:11" s="317" customFormat="1" ht="24.9" hidden="1" customHeight="1" x14ac:dyDescent="0.2">
      <c r="B4521" s="691"/>
      <c r="C4521" s="322" t="str">
        <f>+'LISTA DE INSUMOS'!A190</f>
        <v>MAT148</v>
      </c>
      <c r="D4521" s="324" t="str">
        <f>+'LISTA DE INSUMOS'!B190</f>
        <v xml:space="preserve">Alambre galvanizado C 12 </v>
      </c>
      <c r="E4521" s="322" t="str">
        <f>+'LISTA DE INSUMOS'!C190</f>
        <v>Kg</v>
      </c>
      <c r="F4521" s="325">
        <v>0.2</v>
      </c>
      <c r="G4521" s="312">
        <f>'LISTA DE INSUMOS'!E190</f>
        <v>10174.934703779998</v>
      </c>
      <c r="H4521" s="322">
        <v>0</v>
      </c>
      <c r="I4521" s="312">
        <f>ROUND((F4521*G4521),0)</f>
        <v>2035</v>
      </c>
      <c r="K4521" s="323"/>
    </row>
    <row r="4522" spans="2:11" s="317" customFormat="1" ht="24.9" hidden="1" customHeight="1" x14ac:dyDescent="0.2">
      <c r="B4522" s="691"/>
      <c r="C4522" s="322" t="str">
        <f>+'LISTA DE INSUMOS'!A213</f>
        <v>MAT177</v>
      </c>
      <c r="D4522" s="324" t="str">
        <f>+'LISTA DE INSUMOS'!B213</f>
        <v>Soldadura para hierro estructural</v>
      </c>
      <c r="E4522" s="322" t="str">
        <f>+'LISTA DE INSUMOS'!C213</f>
        <v>Kg</v>
      </c>
      <c r="F4522" s="325">
        <v>0.6</v>
      </c>
      <c r="G4522" s="312">
        <f>'LISTA DE INSUMOS'!E213</f>
        <v>14247.017999999998</v>
      </c>
      <c r="H4522" s="322">
        <v>1.03</v>
      </c>
      <c r="I4522" s="312">
        <f>ROUND((F4522*G4522*H4522),0)</f>
        <v>8805</v>
      </c>
      <c r="K4522" s="323"/>
    </row>
    <row r="4523" spans="2:11" s="317" customFormat="1" ht="24.9" hidden="1" customHeight="1" x14ac:dyDescent="0.2">
      <c r="B4523" s="691"/>
      <c r="C4523" s="322" t="str">
        <f>+'LISTA DE INSUMOS'!A181</f>
        <v>MAT134</v>
      </c>
      <c r="D4523" s="324" t="str">
        <f>+'LISTA DE INSUMOS'!B181</f>
        <v>Ángulo de 1" x 1/8"</v>
      </c>
      <c r="E4523" s="322" t="str">
        <f>+'LISTA DE INSUMOS'!C181</f>
        <v>M</v>
      </c>
      <c r="F4523" s="325">
        <v>2</v>
      </c>
      <c r="G4523" s="312">
        <f>'LISTA DE INSUMOS'!E181</f>
        <v>8460.7605347429999</v>
      </c>
      <c r="H4523" s="322">
        <v>0</v>
      </c>
      <c r="I4523" s="312">
        <f>ROUND((F4523*G4523),0)</f>
        <v>16922</v>
      </c>
      <c r="K4523" s="323"/>
    </row>
    <row r="4524" spans="2:11" s="317" customFormat="1" ht="24.9" hidden="1" customHeight="1" thickBot="1" x14ac:dyDescent="0.25">
      <c r="B4524" s="692"/>
      <c r="C4524" s="338" t="str">
        <f>+'LISTA DE INSUMOS'!A671</f>
        <v>MAT687</v>
      </c>
      <c r="D4524" s="368" t="str">
        <f>+'LISTA DE INSUMOS'!B671</f>
        <v>Tubo cerramiento galvanizado 1 1/2" x 1.5mm Z180  incluye tapa. L=3m</v>
      </c>
      <c r="E4524" s="338" t="str">
        <f>+'LISTA DE INSUMOS'!C671</f>
        <v>Un</v>
      </c>
      <c r="F4524" s="325">
        <v>0.6</v>
      </c>
      <c r="G4524" s="312">
        <f>'LISTA DE INSUMOS'!E671</f>
        <v>48915.831854999997</v>
      </c>
      <c r="H4524" s="322">
        <v>0</v>
      </c>
      <c r="I4524" s="312">
        <f>IF(H4524&gt;=0,(F4524*G4524*(1+H4524/100)),ABS(F4524*G4524/H4524))</f>
        <v>29349.499112999998</v>
      </c>
      <c r="K4524" s="323"/>
    </row>
    <row r="4525" spans="2:11" s="317" customFormat="1" ht="24.9" hidden="1" customHeight="1" thickTop="1" x14ac:dyDescent="0.2">
      <c r="B4525" s="693" t="s">
        <v>1310</v>
      </c>
      <c r="C4525" s="322" t="str">
        <f>+B115</f>
        <v>ITE024</v>
      </c>
      <c r="D4525" s="324" t="str">
        <f>+D115</f>
        <v>Excavación en material común seco de 0 - 1,5 m manual</v>
      </c>
      <c r="E4525" s="322" t="str">
        <f>+E115</f>
        <v>M3</v>
      </c>
      <c r="F4525" s="325">
        <v>0.06</v>
      </c>
      <c r="G4525" s="312">
        <f>G115</f>
        <v>32745</v>
      </c>
      <c r="H4525" s="322">
        <v>0</v>
      </c>
      <c r="I4525" s="312">
        <f>ROUND((F4525*G4525),0)</f>
        <v>1965</v>
      </c>
      <c r="K4525" s="323"/>
    </row>
    <row r="4526" spans="2:11" s="317" customFormat="1" ht="24.9" hidden="1" customHeight="1" x14ac:dyDescent="0.2">
      <c r="B4526" s="658"/>
      <c r="C4526" s="322" t="str">
        <f>+B544</f>
        <v>ITE092</v>
      </c>
      <c r="D4526" s="324" t="str">
        <f>+D544</f>
        <v>Concreto de 20,7 Mpa (3000 psi) (producción)</v>
      </c>
      <c r="E4526" s="322" t="str">
        <f>+E544</f>
        <v>M3</v>
      </c>
      <c r="F4526" s="351">
        <v>0.02</v>
      </c>
      <c r="G4526" s="312">
        <f>G544</f>
        <v>596118</v>
      </c>
      <c r="H4526" s="322">
        <v>1.05</v>
      </c>
      <c r="I4526" s="312">
        <f>ROUND((F4526*G4526*H4526),0)</f>
        <v>12518</v>
      </c>
      <c r="K4526" s="323"/>
    </row>
    <row r="4527" spans="2:11" s="317" customFormat="1" ht="24.9" hidden="1" customHeight="1" x14ac:dyDescent="0.2">
      <c r="B4527" s="658"/>
      <c r="C4527" s="322" t="str">
        <f>+B587</f>
        <v>ITE98</v>
      </c>
      <c r="D4527" s="324" t="str">
        <f>+D587</f>
        <v>Acero Fy = 60.000 psi d&gt;1/4"</v>
      </c>
      <c r="E4527" s="322" t="str">
        <f>+E587</f>
        <v>Kg</v>
      </c>
      <c r="F4527" s="351">
        <v>4.5999999999999996</v>
      </c>
      <c r="G4527" s="312">
        <f>G587</f>
        <v>7240</v>
      </c>
      <c r="H4527" s="322">
        <v>0</v>
      </c>
      <c r="I4527" s="312">
        <f>ROUND((F4527*G4527),0)</f>
        <v>33304</v>
      </c>
      <c r="K4527" s="323"/>
    </row>
    <row r="4528" spans="2:11" s="317" customFormat="1" ht="24.9" hidden="1" customHeight="1" x14ac:dyDescent="0.2">
      <c r="B4528" s="658"/>
      <c r="C4528" s="322" t="str">
        <f>+B1036</f>
        <v>ITE144</v>
      </c>
      <c r="D4528" s="320" t="str">
        <f>+D1036</f>
        <v>Alfajía en concreto de 20,7 Mpa para remate de muro, incluye refuerzo</v>
      </c>
      <c r="E4528" s="322" t="str">
        <f>+E1036</f>
        <v>M</v>
      </c>
      <c r="F4528" s="351">
        <v>1</v>
      </c>
      <c r="G4528" s="312">
        <f>G1036</f>
        <v>107879</v>
      </c>
      <c r="H4528" s="322">
        <v>0</v>
      </c>
      <c r="I4528" s="312">
        <f>ROUND((F4528*G4528),0)</f>
        <v>107879</v>
      </c>
    </row>
    <row r="4529" spans="1:9" s="317" customFormat="1" ht="24.9" hidden="1" customHeight="1" x14ac:dyDescent="0.2">
      <c r="B4529" s="658"/>
      <c r="C4529" s="322" t="str">
        <f>+B1448</f>
        <v>ITE160</v>
      </c>
      <c r="D4529" s="324" t="str">
        <f>+D1448</f>
        <v>Concreto ciclópeo (producción)</v>
      </c>
      <c r="E4529" s="322" t="str">
        <f>+E1448</f>
        <v>M3</v>
      </c>
      <c r="F4529" s="325">
        <v>0.06</v>
      </c>
      <c r="G4529" s="312">
        <f>G1448</f>
        <v>505570</v>
      </c>
      <c r="H4529" s="322">
        <v>1.05</v>
      </c>
      <c r="I4529" s="312">
        <f>ROUND((F4529*G4529*H4529),0)</f>
        <v>31851</v>
      </c>
    </row>
    <row r="4530" spans="1:9" s="317" customFormat="1" ht="24.9" hidden="1" customHeight="1" x14ac:dyDescent="0.2">
      <c r="B4530" s="658"/>
      <c r="C4530" s="322" t="str">
        <f>+B2611</f>
        <v>ITE249</v>
      </c>
      <c r="D4530" s="324" t="str">
        <f>+D2611</f>
        <v>Pintura transparente protectora de fachadas para muro en bloques o ladrillo, incluye filos y dilataciones</v>
      </c>
      <c r="E4530" s="322" t="str">
        <f>+E2611</f>
        <v>M2</v>
      </c>
      <c r="F4530" s="325">
        <v>1</v>
      </c>
      <c r="G4530" s="312">
        <f>G2611</f>
        <v>28305</v>
      </c>
      <c r="H4530" s="322">
        <v>0</v>
      </c>
      <c r="I4530" s="312">
        <f>ROUND((F4530*G4530),0)</f>
        <v>28305</v>
      </c>
    </row>
    <row r="4531" spans="1:9" s="317" customFormat="1" ht="24.9" hidden="1" customHeight="1" thickBot="1" x14ac:dyDescent="0.25">
      <c r="B4531" s="668"/>
      <c r="C4531" s="322" t="str">
        <f>+B1543</f>
        <v>ITE172</v>
      </c>
      <c r="D4531" s="320" t="str">
        <f>+D1543</f>
        <v>Muro en ladrillo prensado visto en soga, dos caras</v>
      </c>
      <c r="E4531" s="322" t="str">
        <f>+E1543</f>
        <v>M2</v>
      </c>
      <c r="F4531" s="325">
        <v>0.5</v>
      </c>
      <c r="G4531" s="312">
        <f>G1543</f>
        <v>104238</v>
      </c>
      <c r="H4531" s="322">
        <v>0</v>
      </c>
      <c r="I4531" s="312">
        <f>ROUND((F4531*G4531),0)</f>
        <v>52119</v>
      </c>
    </row>
    <row r="4532" spans="1:9" s="317" customFormat="1" ht="24.9" hidden="1" customHeight="1" thickTop="1" thickBot="1" x14ac:dyDescent="0.25">
      <c r="B4532" s="342" t="s">
        <v>1034</v>
      </c>
      <c r="C4532" s="322" t="str">
        <f>+'LISTA DE INSUMOS'!A9</f>
        <v>MOB006</v>
      </c>
      <c r="D4532" s="324" t="str">
        <f>+'LISTA DE INSUMOS'!B9</f>
        <v>Cuadrilla A 1 Of + 4 Ay (jornal + prestaciones)</v>
      </c>
      <c r="E4532" s="322" t="str">
        <f>+'LISTA DE INSUMOS'!C9</f>
        <v>Día</v>
      </c>
      <c r="F4532" s="325">
        <v>1</v>
      </c>
      <c r="G4532" s="312">
        <f>'LISTA DE INSUMOS'!E9</f>
        <v>491167</v>
      </c>
      <c r="H4532" s="322">
        <f>1/6</f>
        <v>0.16666666666666666</v>
      </c>
      <c r="I4532" s="312">
        <f>ROUND((F4532*G4532*H4532),0)</f>
        <v>81861</v>
      </c>
    </row>
    <row r="4533" spans="1:9" s="317" customFormat="1" ht="24.9" hidden="1" customHeight="1" thickTop="1" x14ac:dyDescent="0.2">
      <c r="B4533" s="693" t="s">
        <v>1033</v>
      </c>
      <c r="C4533" s="322" t="str">
        <f>+'LISTA DE INSUMOS'!A758</f>
        <v>EQU002</v>
      </c>
      <c r="D4533" s="324" t="str">
        <f>+'LISTA DE INSUMOS'!B758</f>
        <v>Herramienta menor (% mano obra)</v>
      </c>
      <c r="E4533" s="322" t="str">
        <f>+'LISTA DE INSUMOS'!C758</f>
        <v>%MO</v>
      </c>
      <c r="F4533" s="332">
        <v>0.1</v>
      </c>
      <c r="G4533" s="312">
        <f>I4532</f>
        <v>81861</v>
      </c>
      <c r="H4533" s="322">
        <v>0</v>
      </c>
      <c r="I4533" s="312">
        <f>ROUND((F4533*G4533),0)</f>
        <v>8186</v>
      </c>
    </row>
    <row r="4534" spans="1:9" s="317" customFormat="1" ht="24.9" hidden="1" customHeight="1" x14ac:dyDescent="0.2">
      <c r="B4534" s="658"/>
      <c r="C4534" s="338" t="str">
        <f>+'LISTA DE INSUMOS'!A796</f>
        <v>EQU039</v>
      </c>
      <c r="D4534" s="339" t="str">
        <f>+'LISTA DE INSUMOS'!B796</f>
        <v>Equipo soldadura eléctrica</v>
      </c>
      <c r="E4534" s="338" t="str">
        <f>+'LISTA DE INSUMOS'!C796</f>
        <v>Día</v>
      </c>
      <c r="F4534" s="332">
        <v>1</v>
      </c>
      <c r="G4534" s="341">
        <f>'LISTA DE INSUMOS'!E796</f>
        <v>43693.897103999996</v>
      </c>
      <c r="H4534" s="322">
        <f>1/10</f>
        <v>0.1</v>
      </c>
      <c r="I4534" s="312">
        <f>ROUND((F4534*G4534*H4534),0)</f>
        <v>4369</v>
      </c>
    </row>
    <row r="4535" spans="1:9" s="317" customFormat="1" ht="24.9" hidden="1" customHeight="1" thickBot="1" x14ac:dyDescent="0.25">
      <c r="B4535" s="694"/>
      <c r="C4535" s="329" t="str">
        <f>+'LISTA DE INSUMOS'!A762</f>
        <v>EQU006</v>
      </c>
      <c r="D4535" s="328" t="str">
        <f>+'LISTA DE INSUMOS'!B762</f>
        <v>Andamio (% mano obra)</v>
      </c>
      <c r="E4535" s="329" t="str">
        <f>+'LISTA DE INSUMOS'!C762</f>
        <v>%MO</v>
      </c>
      <c r="F4535" s="362">
        <v>0.05</v>
      </c>
      <c r="G4535" s="331">
        <f>I4532</f>
        <v>81861</v>
      </c>
      <c r="H4535" s="350">
        <v>0</v>
      </c>
      <c r="I4535" s="331">
        <f>ROUND((F4535*G4535),0)</f>
        <v>4093</v>
      </c>
    </row>
    <row r="4536" spans="1:9" ht="30" customHeight="1" x14ac:dyDescent="0.2">
      <c r="B4536" s="117" t="s">
        <v>3026</v>
      </c>
      <c r="C4536" s="117"/>
      <c r="D4536" s="112" t="s">
        <v>139</v>
      </c>
      <c r="E4536" s="117" t="s">
        <v>2585</v>
      </c>
      <c r="F4536" s="149"/>
      <c r="G4536" s="119">
        <f>ROUND(SUM(I4536:I4540),0)</f>
        <v>22102</v>
      </c>
      <c r="H4536" s="120"/>
      <c r="I4536" s="119"/>
    </row>
    <row r="4537" spans="1:9" ht="30" customHeight="1" x14ac:dyDescent="0.2">
      <c r="B4537" s="678" t="s">
        <v>1034</v>
      </c>
      <c r="C4537" s="108" t="str">
        <f>+'LISTA DE INSUMOS'!A9</f>
        <v>MOB006</v>
      </c>
      <c r="D4537" s="139" t="str">
        <f>+'LISTA DE INSUMOS'!B9</f>
        <v>Cuadrilla A 1 Of + 4 Ay (jornal + prestaciones)</v>
      </c>
      <c r="E4537" s="108" t="str">
        <f>+'LISTA DE INSUMOS'!C9</f>
        <v>Día</v>
      </c>
      <c r="F4537" s="140">
        <v>1</v>
      </c>
      <c r="G4537" s="141">
        <f>'LISTA DE INSUMOS'!E9</f>
        <v>491167</v>
      </c>
      <c r="H4537" s="108">
        <f>1/30</f>
        <v>3.3333333333333333E-2</v>
      </c>
      <c r="I4537" s="141">
        <f>ROUND((F4537*G4537*H4537),0)</f>
        <v>16372</v>
      </c>
    </row>
    <row r="4538" spans="1:9" ht="24.9" customHeight="1" thickBot="1" x14ac:dyDescent="0.25">
      <c r="B4538" s="705"/>
      <c r="C4538" s="108" t="str">
        <f>+'LISTA DE INSUMOS'!A14</f>
        <v>MOB011</v>
      </c>
      <c r="D4538" s="139" t="str">
        <f>+'LISTA DE INSUMOS'!B14</f>
        <v>Acarreo Horizontal (% mano obra)</v>
      </c>
      <c r="E4538" s="108" t="str">
        <f>+'LISTA DE INSUMOS'!C14</f>
        <v>% MO</v>
      </c>
      <c r="F4538" s="140">
        <v>0.1</v>
      </c>
      <c r="G4538" s="141">
        <f>I4537</f>
        <v>16372</v>
      </c>
      <c r="H4538" s="108">
        <v>0</v>
      </c>
      <c r="I4538" s="141">
        <f>ROUND((F4538*G4538),0)</f>
        <v>1637</v>
      </c>
    </row>
    <row r="4539" spans="1:9" ht="24.9" customHeight="1" thickTop="1" x14ac:dyDescent="0.2">
      <c r="B4539" s="674" t="s">
        <v>1033</v>
      </c>
      <c r="C4539" s="108" t="str">
        <f>+'LISTA DE INSUMOS'!A758</f>
        <v>EQU002</v>
      </c>
      <c r="D4539" s="139" t="str">
        <f>+'LISTA DE INSUMOS'!B758</f>
        <v>Herramienta menor (% mano obra)</v>
      </c>
      <c r="E4539" s="108" t="str">
        <f>+'LISTA DE INSUMOS'!C758</f>
        <v>%MO</v>
      </c>
      <c r="F4539" s="140">
        <v>0.15</v>
      </c>
      <c r="G4539" s="141">
        <f>I4537</f>
        <v>16372</v>
      </c>
      <c r="H4539" s="108">
        <v>0</v>
      </c>
      <c r="I4539" s="141">
        <f>ROUND((F4539*G4539),0)</f>
        <v>2456</v>
      </c>
    </row>
    <row r="4540" spans="1:9" ht="24.9" customHeight="1" thickBot="1" x14ac:dyDescent="0.25">
      <c r="B4540" s="709"/>
      <c r="C4540" s="145" t="str">
        <f>+'LISTA DE INSUMOS'!A762</f>
        <v>EQU006</v>
      </c>
      <c r="D4540" s="146" t="str">
        <f>+'LISTA DE INSUMOS'!B762</f>
        <v>Andamio (% mano obra)</v>
      </c>
      <c r="E4540" s="145" t="str">
        <f>+'LISTA DE INSUMOS'!C762</f>
        <v>%MO</v>
      </c>
      <c r="F4540" s="147">
        <v>0.1</v>
      </c>
      <c r="G4540" s="148">
        <f>I4537</f>
        <v>16372</v>
      </c>
      <c r="H4540" s="145">
        <v>0</v>
      </c>
      <c r="I4540" s="148">
        <f>ROUND((F4540*G4540),0)</f>
        <v>1637</v>
      </c>
    </row>
    <row r="4541" spans="1:9" s="317" customFormat="1" ht="24.9" customHeight="1" x14ac:dyDescent="0.2">
      <c r="A4541" s="104"/>
      <c r="B4541" s="117" t="s">
        <v>3027</v>
      </c>
      <c r="C4541" s="117"/>
      <c r="D4541" s="112" t="s">
        <v>2407</v>
      </c>
      <c r="E4541" s="117" t="s">
        <v>2586</v>
      </c>
      <c r="F4541" s="149"/>
      <c r="G4541" s="119">
        <f>ROUND(SUM(I4541:I4553),0)</f>
        <v>1141579</v>
      </c>
      <c r="H4541" s="120"/>
      <c r="I4541" s="119"/>
    </row>
    <row r="4542" spans="1:9" s="317" customFormat="1" ht="24.9" customHeight="1" x14ac:dyDescent="0.2">
      <c r="A4542" s="104"/>
      <c r="B4542" s="680" t="s">
        <v>1035</v>
      </c>
      <c r="C4542" s="161" t="str">
        <f>+'LISTA DE INSUMOS'!A49</f>
        <v>MAT018</v>
      </c>
      <c r="D4542" s="162" t="str">
        <f>+'LISTA DE INSUMOS'!B49</f>
        <v>Cuartón de sajo 2" x 4" x 2,9 m</v>
      </c>
      <c r="E4542" s="161" t="str">
        <f>+'LISTA DE INSUMOS'!C49</f>
        <v>M</v>
      </c>
      <c r="F4542" s="182">
        <v>9</v>
      </c>
      <c r="G4542" s="164">
        <f>+'LISTA DE INSUMOS'!E49</f>
        <v>11944.810644542158</v>
      </c>
      <c r="H4542" s="245">
        <f>1/3</f>
        <v>0.33333333333333331</v>
      </c>
      <c r="I4542" s="164">
        <f>ROUND((F4542*G4542*H4542),0)</f>
        <v>35834</v>
      </c>
    </row>
    <row r="4543" spans="1:9" s="317" customFormat="1" ht="24.9" customHeight="1" x14ac:dyDescent="0.2">
      <c r="A4543" s="104"/>
      <c r="B4543" s="680"/>
      <c r="C4543" s="161" t="str">
        <f>+'LISTA DE INSUMOS'!A51</f>
        <v>MAT020</v>
      </c>
      <c r="D4543" s="162" t="str">
        <f>+'LISTA DE INSUMOS'!B51</f>
        <v>Guadua basa longitud promedio = 5 m</v>
      </c>
      <c r="E4543" s="161" t="str">
        <f>+'LISTA DE INSUMOS'!C51</f>
        <v>Un</v>
      </c>
      <c r="F4543" s="182">
        <v>2</v>
      </c>
      <c r="G4543" s="164">
        <f>+'LISTA DE INSUMOS'!E51</f>
        <v>8662.3499999999985</v>
      </c>
      <c r="H4543" s="245">
        <f>1/3</f>
        <v>0.33333333333333331</v>
      </c>
      <c r="I4543" s="164">
        <f>ROUND((F4543*G4543*H4543),0)</f>
        <v>5775</v>
      </c>
    </row>
    <row r="4544" spans="1:9" s="317" customFormat="1" ht="24.9" customHeight="1" x14ac:dyDescent="0.2">
      <c r="A4544" s="104"/>
      <c r="B4544" s="680"/>
      <c r="C4544" s="161" t="str">
        <f>+'LISTA DE INSUMOS'!A52</f>
        <v>MAT021</v>
      </c>
      <c r="D4544" s="162" t="str">
        <f>+'LISTA DE INSUMOS'!B52</f>
        <v>Puntilla (promedio)</v>
      </c>
      <c r="E4544" s="161" t="str">
        <f>+'LISTA DE INSUMOS'!C52</f>
        <v>Lb</v>
      </c>
      <c r="F4544" s="244">
        <v>2</v>
      </c>
      <c r="G4544" s="164">
        <f>+'LISTA DE INSUMOS'!E52</f>
        <v>6690.6972299999998</v>
      </c>
      <c r="H4544" s="245">
        <v>0</v>
      </c>
      <c r="I4544" s="164">
        <f>ROUND((F4544*G4544),0)</f>
        <v>13381</v>
      </c>
    </row>
    <row r="4545" spans="1:38" s="317" customFormat="1" ht="24.9" customHeight="1" x14ac:dyDescent="0.2">
      <c r="A4545" s="104"/>
      <c r="B4545" s="680"/>
      <c r="C4545" s="161" t="str">
        <f>+'LISTA DE INSUMOS'!A53</f>
        <v>MAT022</v>
      </c>
      <c r="D4545" s="162" t="str">
        <f>+'LISTA DE INSUMOS'!B53</f>
        <v>Alambre negro calibre 17</v>
      </c>
      <c r="E4545" s="161" t="str">
        <f>+'LISTA DE INSUMOS'!C53</f>
        <v>Kg</v>
      </c>
      <c r="F4545" s="182">
        <v>2</v>
      </c>
      <c r="G4545" s="164">
        <f>+'LISTA DE INSUMOS'!E53</f>
        <v>7948.98</v>
      </c>
      <c r="H4545" s="161">
        <v>0</v>
      </c>
      <c r="I4545" s="164">
        <f>ROUND((F4545*G4545),0)</f>
        <v>15898</v>
      </c>
    </row>
    <row r="4546" spans="1:38" s="317" customFormat="1" ht="24.9" customHeight="1" x14ac:dyDescent="0.2">
      <c r="A4546" s="104"/>
      <c r="B4546" s="680"/>
      <c r="C4546" s="161" t="str">
        <f>+'LISTA DE INSUMOS'!A93</f>
        <v>MAT051</v>
      </c>
      <c r="D4546" s="162" t="str">
        <f>+'LISTA DE INSUMOS'!B93</f>
        <v>Antisol blanco</v>
      </c>
      <c r="E4546" s="161" t="str">
        <f>+'LISTA DE INSUMOS'!C93</f>
        <v>Kg</v>
      </c>
      <c r="F4546" s="182">
        <v>1.1000000000000001</v>
      </c>
      <c r="G4546" s="164">
        <f>+'LISTA DE INSUMOS'!E93</f>
        <v>11510.734499999999</v>
      </c>
      <c r="H4546" s="161">
        <v>1.03</v>
      </c>
      <c r="I4546" s="164">
        <f>ROUND((F4546*G4546*H4546),0)</f>
        <v>13042</v>
      </c>
    </row>
    <row r="4547" spans="1:38" s="317" customFormat="1" ht="24.9" customHeight="1" thickBot="1" x14ac:dyDescent="0.25">
      <c r="A4547" s="104"/>
      <c r="B4547" s="681"/>
      <c r="C4547" s="161" t="str">
        <f>+'LISTA DE INSUMOS'!A132</f>
        <v>MAT091</v>
      </c>
      <c r="D4547" s="162" t="str">
        <f>+'LISTA DE INSUMOS'!B132</f>
        <v>Varillón de sajo</v>
      </c>
      <c r="E4547" s="161" t="str">
        <f>+'LISTA DE INSUMOS'!C132</f>
        <v>M</v>
      </c>
      <c r="F4547" s="244">
        <v>6</v>
      </c>
      <c r="G4547" s="164">
        <f>+'LISTA DE INSUMOS'!E132</f>
        <v>2979.6450687603597</v>
      </c>
      <c r="H4547" s="245">
        <f>1/3</f>
        <v>0.33333333333333331</v>
      </c>
      <c r="I4547" s="164">
        <f>ROUND((F4547*G4547*H4547),0)</f>
        <v>5959</v>
      </c>
    </row>
    <row r="4548" spans="1:38" s="317" customFormat="1" ht="24.9" customHeight="1" thickTop="1" thickBot="1" x14ac:dyDescent="0.25">
      <c r="A4548" s="104"/>
      <c r="B4548" s="191" t="s">
        <v>1310</v>
      </c>
      <c r="C4548" s="161" t="str">
        <f>+B535</f>
        <v>ITE091</v>
      </c>
      <c r="D4548" s="162" t="str">
        <f>+D535</f>
        <v>Concreto de 27,6 Mpa (4000 psi) (producción)</v>
      </c>
      <c r="E4548" s="161" t="str">
        <f>+E535</f>
        <v>M3</v>
      </c>
      <c r="F4548" s="244">
        <v>1</v>
      </c>
      <c r="G4548" s="164">
        <f>+G535</f>
        <v>643985</v>
      </c>
      <c r="H4548" s="245">
        <v>1.05</v>
      </c>
      <c r="I4548" s="164">
        <f>ROUND((F4548*G4548*H4548),0)</f>
        <v>676184</v>
      </c>
    </row>
    <row r="4549" spans="1:38" s="317" customFormat="1" ht="24.9" customHeight="1" thickTop="1" thickBot="1" x14ac:dyDescent="0.25">
      <c r="A4549" s="104"/>
      <c r="B4549" s="250" t="s">
        <v>1034</v>
      </c>
      <c r="C4549" s="161" t="str">
        <f>+'LISTA DE INSUMOS'!A16</f>
        <v>MOB013</v>
      </c>
      <c r="D4549" s="162" t="str">
        <f>+'LISTA DE INSUMOS'!B16</f>
        <v>Cuadrilla C 1 Of + 7 Ay (jornal + prestaciones)</v>
      </c>
      <c r="E4549" s="161" t="str">
        <f>+'LISTA DE INSUMOS'!C16</f>
        <v>Día</v>
      </c>
      <c r="F4549" s="182">
        <v>1</v>
      </c>
      <c r="G4549" s="164">
        <f>+'LISTA DE INSUMOS'!E16</f>
        <v>736750</v>
      </c>
      <c r="H4549" s="161">
        <v>0.4</v>
      </c>
      <c r="I4549" s="164">
        <f>ROUND((F4549*G4549*H4549),0)</f>
        <v>294700</v>
      </c>
    </row>
    <row r="4550" spans="1:38" s="317" customFormat="1" ht="24.9" customHeight="1" thickTop="1" x14ac:dyDescent="0.2">
      <c r="A4550" s="104"/>
      <c r="B4550" s="693" t="s">
        <v>1033</v>
      </c>
      <c r="C4550" s="161" t="str">
        <f>+'LISTA DE INSUMOS'!A758</f>
        <v>EQU002</v>
      </c>
      <c r="D4550" s="162" t="str">
        <f>+'LISTA DE INSUMOS'!B758</f>
        <v>Herramienta menor (% mano obra)</v>
      </c>
      <c r="E4550" s="161" t="str">
        <f>+'LISTA DE INSUMOS'!C758</f>
        <v>%MO</v>
      </c>
      <c r="F4550" s="182">
        <v>0.1</v>
      </c>
      <c r="G4550" s="164">
        <f>I4549</f>
        <v>294700</v>
      </c>
      <c r="H4550" s="161">
        <v>0</v>
      </c>
      <c r="I4550" s="164">
        <f>ROUND((F4550*G4550),0)</f>
        <v>29470</v>
      </c>
    </row>
    <row r="4551" spans="1:38" s="317" customFormat="1" ht="24.9" customHeight="1" x14ac:dyDescent="0.2">
      <c r="A4551" s="104"/>
      <c r="B4551" s="658"/>
      <c r="C4551" s="238" t="str">
        <f>+'LISTA DE INSUMOS'!A799</f>
        <v>EQU043</v>
      </c>
      <c r="D4551" s="239" t="str">
        <f>+'LISTA DE INSUMOS'!B799</f>
        <v>Tablero formaleta 70*140</v>
      </c>
      <c r="E4551" s="161" t="str">
        <f>+'LISTA DE INSUMOS'!C799</f>
        <v>Dia</v>
      </c>
      <c r="F4551" s="163">
        <v>25</v>
      </c>
      <c r="G4551" s="164">
        <f>+'LISTA DE INSUMOS'!E799</f>
        <v>910.28952299999992</v>
      </c>
      <c r="H4551" s="161">
        <v>1.5</v>
      </c>
      <c r="I4551" s="164">
        <f>ROUND((F4551*G4551*H4551),0)</f>
        <v>34136</v>
      </c>
    </row>
    <row r="4552" spans="1:38" s="317" customFormat="1" ht="24.9" customHeight="1" thickBot="1" x14ac:dyDescent="0.25">
      <c r="A4552" s="104"/>
      <c r="B4552" s="668"/>
      <c r="C4552" s="161" t="str">
        <f>+'LISTA DE INSUMOS'!A775</f>
        <v>EQU018</v>
      </c>
      <c r="D4552" s="239" t="str">
        <f>+'LISTA DE INSUMOS'!B775</f>
        <v>Vibrador eléctrico o a gasolina</v>
      </c>
      <c r="E4552" s="161" t="str">
        <f>+'LISTA DE INSUMOS'!C775</f>
        <v>Día</v>
      </c>
      <c r="F4552" s="163">
        <v>1</v>
      </c>
      <c r="G4552" s="164">
        <f>+'LISTA DE INSUMOS'!E775</f>
        <v>42234.2781968536</v>
      </c>
      <c r="H4552" s="161">
        <v>0.2</v>
      </c>
      <c r="I4552" s="164">
        <f>ROUND((F4552*G4552*H4552),0)</f>
        <v>8447</v>
      </c>
    </row>
    <row r="4553" spans="1:38" s="317" customFormat="1" ht="24.9" customHeight="1" thickTop="1" thickBot="1" x14ac:dyDescent="0.25">
      <c r="A4553" s="104"/>
      <c r="B4553" s="171" t="s">
        <v>421</v>
      </c>
      <c r="C4553" s="186" t="str">
        <f>+'LISTA DE INSUMOS'!A823</f>
        <v>ESY001</v>
      </c>
      <c r="D4553" s="185" t="str">
        <f>+'LISTA DE INSUMOS'!B823</f>
        <v>Ensayo resistencia concretos (un testigo)</v>
      </c>
      <c r="E4553" s="186" t="str">
        <f>+'LISTA DE INSUMOS'!C823</f>
        <v>Un</v>
      </c>
      <c r="F4553" s="435">
        <f>1/10*3</f>
        <v>0.30000000000000004</v>
      </c>
      <c r="G4553" s="438">
        <f>+'LISTA DE INSUMOS'!E823</f>
        <v>29175.946249999997</v>
      </c>
      <c r="H4553" s="439">
        <v>0</v>
      </c>
      <c r="I4553" s="188">
        <f>ROUND((F4553*G4553),0)</f>
        <v>8753</v>
      </c>
    </row>
    <row r="4554" spans="1:38" ht="24.9" customHeight="1" x14ac:dyDescent="0.2">
      <c r="B4554" s="117" t="s">
        <v>1700</v>
      </c>
      <c r="C4554" s="117"/>
      <c r="D4554" s="112" t="s">
        <v>464</v>
      </c>
      <c r="E4554" s="117" t="s">
        <v>2586</v>
      </c>
      <c r="F4554" s="149"/>
      <c r="G4554" s="119">
        <f>ROUND(SUM(I4554:I4562),0)</f>
        <v>580880</v>
      </c>
      <c r="H4554" s="120"/>
      <c r="I4554" s="119"/>
      <c r="AL4554" s="104">
        <v>584094</v>
      </c>
    </row>
    <row r="4555" spans="1:38" ht="24.9" customHeight="1" x14ac:dyDescent="0.2">
      <c r="B4555" s="706" t="s">
        <v>1035</v>
      </c>
      <c r="C4555" s="108" t="str">
        <f>+'LISTA DE INSUMOS'!A30</f>
        <v>MAT001</v>
      </c>
      <c r="D4555" s="139" t="str">
        <f>+'LISTA DE INSUMOS'!B30</f>
        <v>Cemento gris saco por 50 kilos, incluye cargue, descargue y transporte</v>
      </c>
      <c r="E4555" s="108" t="str">
        <f>+'LISTA DE INSUMOS'!C30</f>
        <v>Sc</v>
      </c>
      <c r="F4555" s="140">
        <v>7.5</v>
      </c>
      <c r="G4555" s="141">
        <f>+'LISTA DE INSUMOS'!E30</f>
        <v>34500</v>
      </c>
      <c r="H4555" s="108">
        <v>1.03</v>
      </c>
      <c r="I4555" s="141">
        <f t="shared" ref="I4555:I4560" si="35">ROUND((F4555*G4555*H4555),0)</f>
        <v>266513</v>
      </c>
    </row>
    <row r="4556" spans="1:38" ht="24.9" customHeight="1" x14ac:dyDescent="0.2">
      <c r="B4556" s="706"/>
      <c r="C4556" s="108" t="str">
        <f>+'LISTA DE INSUMOS'!A32</f>
        <v>MAT003</v>
      </c>
      <c r="D4556" s="139" t="str">
        <f>+'LISTA DE INSUMOS'!B32</f>
        <v>Arena</v>
      </c>
      <c r="E4556" s="108" t="str">
        <f>+'LISTA DE INSUMOS'!C32</f>
        <v>M3</v>
      </c>
      <c r="F4556" s="140">
        <v>0.6</v>
      </c>
      <c r="G4556" s="141">
        <f>+'LISTA DE INSUMOS'!E32</f>
        <v>112536.56002875</v>
      </c>
      <c r="H4556" s="108">
        <v>1.03</v>
      </c>
      <c r="I4556" s="141">
        <f t="shared" si="35"/>
        <v>69548</v>
      </c>
    </row>
    <row r="4557" spans="1:38" ht="24.9" customHeight="1" x14ac:dyDescent="0.2">
      <c r="B4557" s="706"/>
      <c r="C4557" s="108" t="str">
        <f>+'LISTA DE INSUMOS'!A33</f>
        <v>MAT004</v>
      </c>
      <c r="D4557" s="139" t="str">
        <f>+'LISTA DE INSUMOS'!B33</f>
        <v>Gravilla de río y/o triturado</v>
      </c>
      <c r="E4557" s="108" t="str">
        <f>+'LISTA DE INSUMOS'!C33</f>
        <v>M3</v>
      </c>
      <c r="F4557" s="140">
        <v>0.8</v>
      </c>
      <c r="G4557" s="141">
        <f>+'LISTA DE INSUMOS'!E33</f>
        <v>112536.56002875</v>
      </c>
      <c r="H4557" s="108">
        <v>1.03</v>
      </c>
      <c r="I4557" s="141">
        <f t="shared" si="35"/>
        <v>92730</v>
      </c>
    </row>
    <row r="4558" spans="1:38" ht="24.9" customHeight="1" thickBot="1" x14ac:dyDescent="0.25">
      <c r="B4558" s="708"/>
      <c r="C4558" s="108" t="str">
        <f>+'LISTA DE INSUMOS'!A42</f>
        <v>MAT013</v>
      </c>
      <c r="D4558" s="139" t="str">
        <f>+'LISTA DE INSUMOS'!B42</f>
        <v xml:space="preserve">Agua </v>
      </c>
      <c r="E4558" s="108" t="str">
        <f>+'LISTA DE INSUMOS'!C42</f>
        <v>Lt</v>
      </c>
      <c r="F4558" s="140">
        <v>190</v>
      </c>
      <c r="G4558" s="141">
        <f>+'LISTA DE INSUMOS'!E42</f>
        <v>96.828790046226644</v>
      </c>
      <c r="H4558" s="108">
        <v>1.03</v>
      </c>
      <c r="I4558" s="141">
        <f t="shared" si="35"/>
        <v>18949</v>
      </c>
    </row>
    <row r="4559" spans="1:38" ht="24.9" customHeight="1" thickTop="1" thickBot="1" x14ac:dyDescent="0.25">
      <c r="B4559" s="191" t="s">
        <v>1310</v>
      </c>
      <c r="C4559" s="108" t="s">
        <v>1450</v>
      </c>
      <c r="D4559" s="436" t="str">
        <f>D336</f>
        <v xml:space="preserve">Transporte material &lt; 40 Km </v>
      </c>
      <c r="E4559" s="108" t="str">
        <f>E336</f>
        <v>M3-Km</v>
      </c>
      <c r="F4559" s="155">
        <f>SUM(F4556:F4557)*20</f>
        <v>28</v>
      </c>
      <c r="G4559" s="155">
        <f>G336</f>
        <v>1634</v>
      </c>
      <c r="H4559" s="108">
        <v>1.03</v>
      </c>
      <c r="I4559" s="141">
        <f t="shared" si="35"/>
        <v>47125</v>
      </c>
    </row>
    <row r="4560" spans="1:38" ht="24.9" customHeight="1" thickTop="1" thickBot="1" x14ac:dyDescent="0.25">
      <c r="B4560" s="156" t="s">
        <v>1034</v>
      </c>
      <c r="C4560" s="108" t="str">
        <f>+'LISTA DE INSUMOS'!A16</f>
        <v>MOB013</v>
      </c>
      <c r="D4560" s="139" t="str">
        <f>+'LISTA DE INSUMOS'!B16</f>
        <v>Cuadrilla C 1 Of + 7 Ay (jornal + prestaciones)</v>
      </c>
      <c r="E4560" s="108" t="str">
        <f>+'LISTA DE INSUMOS'!C16</f>
        <v>Día</v>
      </c>
      <c r="F4560" s="140">
        <v>1</v>
      </c>
      <c r="G4560" s="141">
        <f>+'LISTA DE INSUMOS'!E16</f>
        <v>736750</v>
      </c>
      <c r="H4560" s="108">
        <f>1/10</f>
        <v>0.1</v>
      </c>
      <c r="I4560" s="141">
        <f t="shared" si="35"/>
        <v>73675</v>
      </c>
    </row>
    <row r="4561" spans="2:9" ht="24.9" customHeight="1" thickTop="1" x14ac:dyDescent="0.2">
      <c r="B4561" s="674" t="s">
        <v>1033</v>
      </c>
      <c r="C4561" s="108" t="str">
        <f>+'LISTA DE INSUMOS'!A758</f>
        <v>EQU002</v>
      </c>
      <c r="D4561" s="139" t="str">
        <f>+'LISTA DE INSUMOS'!B758</f>
        <v>Herramienta menor (% mano obra)</v>
      </c>
      <c r="E4561" s="108" t="str">
        <f>+'LISTA DE INSUMOS'!C758</f>
        <v>%MO</v>
      </c>
      <c r="F4561" s="140">
        <v>0.1</v>
      </c>
      <c r="G4561" s="141">
        <f>I4560</f>
        <v>73675</v>
      </c>
      <c r="H4561" s="108">
        <v>0</v>
      </c>
      <c r="I4561" s="141">
        <f>ROUND((F4561*G4561),0)</f>
        <v>7368</v>
      </c>
    </row>
    <row r="4562" spans="2:9" ht="24.9" customHeight="1" thickBot="1" x14ac:dyDescent="0.25">
      <c r="B4562" s="709"/>
      <c r="C4562" s="145" t="str">
        <f>+'LISTA DE INSUMOS'!A759</f>
        <v>EQU003</v>
      </c>
      <c r="D4562" s="146" t="str">
        <f>+'LISTA DE INSUMOS'!B759</f>
        <v>Concretadora gasolina 1 o 1 1/2 sacos</v>
      </c>
      <c r="E4562" s="145" t="str">
        <f>+'LISTA DE INSUMOS'!C759</f>
        <v>Día</v>
      </c>
      <c r="F4562" s="147">
        <v>1</v>
      </c>
      <c r="G4562" s="148">
        <f>+'LISTA DE INSUMOS'!E759</f>
        <v>49716.008472358793</v>
      </c>
      <c r="H4562" s="145">
        <f>1/10</f>
        <v>0.1</v>
      </c>
      <c r="I4562" s="148">
        <f>ROUND((F4562*G4562*H4562),0)</f>
        <v>4972</v>
      </c>
    </row>
    <row r="4563" spans="2:9" ht="24.9" customHeight="1" x14ac:dyDescent="0.2">
      <c r="B4563" s="117" t="s">
        <v>3028</v>
      </c>
      <c r="C4563" s="117"/>
      <c r="D4563" s="112" t="s">
        <v>2413</v>
      </c>
      <c r="E4563" s="117" t="s">
        <v>2586</v>
      </c>
      <c r="F4563" s="118"/>
      <c r="G4563" s="119">
        <f>ROUND(SUM(I4563:I4573),0)</f>
        <v>1179888</v>
      </c>
      <c r="H4563" s="120"/>
      <c r="I4563" s="119"/>
    </row>
    <row r="4564" spans="2:9" ht="24.9" customHeight="1" x14ac:dyDescent="0.2">
      <c r="B4564" s="672" t="s">
        <v>1035</v>
      </c>
      <c r="C4564" s="108" t="str">
        <f>+'LISTA DE INSUMOS'!A46</f>
        <v>MAT017</v>
      </c>
      <c r="D4564" s="139" t="str">
        <f>+'LISTA DE INSUMOS'!B46</f>
        <v>Tabla para formaleta de 1" x 10" x 2,9 m</v>
      </c>
      <c r="E4564" s="108" t="str">
        <f>+'LISTA DE INSUMOS'!C46</f>
        <v>M</v>
      </c>
      <c r="F4564" s="140">
        <v>32</v>
      </c>
      <c r="G4564" s="141">
        <f>+'LISTA DE INSUMOS'!E46</f>
        <v>8112.0359999999991</v>
      </c>
      <c r="H4564" s="108">
        <f>1/3</f>
        <v>0.33333333333333331</v>
      </c>
      <c r="I4564" s="141">
        <f>ROUND((F4564*G4564*H4564),0)</f>
        <v>86528</v>
      </c>
    </row>
    <row r="4565" spans="2:9" ht="24.9" customHeight="1" x14ac:dyDescent="0.2">
      <c r="B4565" s="672"/>
      <c r="C4565" s="108" t="str">
        <f>+'LISTA DE INSUMOS'!A49</f>
        <v>MAT018</v>
      </c>
      <c r="D4565" s="139" t="str">
        <f>+'LISTA DE INSUMOS'!B49</f>
        <v>Cuartón de sajo 2" x 4" x 2,9 m</v>
      </c>
      <c r="E4565" s="108" t="str">
        <f>+'LISTA DE INSUMOS'!C49</f>
        <v>M</v>
      </c>
      <c r="F4565" s="140">
        <v>26</v>
      </c>
      <c r="G4565" s="141">
        <f>+'LISTA DE INSUMOS'!E49</f>
        <v>11944.810644542158</v>
      </c>
      <c r="H4565" s="108">
        <f>1/3</f>
        <v>0.33333333333333331</v>
      </c>
      <c r="I4565" s="141">
        <f>ROUND((F4565*G4565*H4565),0)</f>
        <v>103522</v>
      </c>
    </row>
    <row r="4566" spans="2:9" ht="24.9" customHeight="1" x14ac:dyDescent="0.2">
      <c r="B4566" s="672"/>
      <c r="C4566" s="108" t="str">
        <f>+'LISTA DE INSUMOS'!A51</f>
        <v>MAT020</v>
      </c>
      <c r="D4566" s="139" t="str">
        <f>+'LISTA DE INSUMOS'!B51</f>
        <v>Guadua basa longitud promedio = 5 m</v>
      </c>
      <c r="E4566" s="108" t="str">
        <f>+'LISTA DE INSUMOS'!C51</f>
        <v>Un</v>
      </c>
      <c r="F4566" s="140">
        <v>4</v>
      </c>
      <c r="G4566" s="141">
        <f>+'LISTA DE INSUMOS'!E51</f>
        <v>8662.3499999999985</v>
      </c>
      <c r="H4566" s="108">
        <f>1/3</f>
        <v>0.33333333333333331</v>
      </c>
      <c r="I4566" s="141">
        <f>ROUND((F4566*G4566*H4566),0)</f>
        <v>11550</v>
      </c>
    </row>
    <row r="4567" spans="2:9" ht="24.9" customHeight="1" x14ac:dyDescent="0.2">
      <c r="B4567" s="672"/>
      <c r="C4567" s="108" t="str">
        <f>+'LISTA DE INSUMOS'!A52</f>
        <v>MAT021</v>
      </c>
      <c r="D4567" s="139" t="str">
        <f>+'LISTA DE INSUMOS'!B52</f>
        <v>Puntilla (promedio)</v>
      </c>
      <c r="E4567" s="108" t="str">
        <f>+'LISTA DE INSUMOS'!C52</f>
        <v>Lb</v>
      </c>
      <c r="F4567" s="140">
        <v>2</v>
      </c>
      <c r="G4567" s="141">
        <f>+'LISTA DE INSUMOS'!E52</f>
        <v>6690.6972299999998</v>
      </c>
      <c r="H4567" s="108">
        <v>0</v>
      </c>
      <c r="I4567" s="141">
        <f>ROUND((F4567*G4567),0)</f>
        <v>13381</v>
      </c>
    </row>
    <row r="4568" spans="2:9" ht="24.9" customHeight="1" x14ac:dyDescent="0.2">
      <c r="B4568" s="672"/>
      <c r="C4568" s="108" t="str">
        <f>+'LISTA DE INSUMOS'!A53</f>
        <v>MAT022</v>
      </c>
      <c r="D4568" s="139" t="str">
        <f>+'LISTA DE INSUMOS'!B53</f>
        <v>Alambre negro calibre 17</v>
      </c>
      <c r="E4568" s="108" t="str">
        <f>+'LISTA DE INSUMOS'!C53</f>
        <v>Kg</v>
      </c>
      <c r="F4568" s="140">
        <v>1</v>
      </c>
      <c r="G4568" s="141">
        <f>+'LISTA DE INSUMOS'!E53</f>
        <v>7948.98</v>
      </c>
      <c r="H4568" s="108">
        <v>0</v>
      </c>
      <c r="I4568" s="141">
        <f>ROUND((F4568*G4568),0)</f>
        <v>7949</v>
      </c>
    </row>
    <row r="4569" spans="2:9" ht="24.9" customHeight="1" x14ac:dyDescent="0.2">
      <c r="B4569" s="672"/>
      <c r="C4569" s="108" t="str">
        <f>+'LISTA DE INSUMOS'!A93</f>
        <v>MAT051</v>
      </c>
      <c r="D4569" s="139" t="str">
        <f>+'LISTA DE INSUMOS'!B93</f>
        <v>Antisol blanco</v>
      </c>
      <c r="E4569" s="108" t="str">
        <f>+'LISTA DE INSUMOS'!C93</f>
        <v>Kg</v>
      </c>
      <c r="F4569" s="140">
        <v>2</v>
      </c>
      <c r="G4569" s="141">
        <f>+'LISTA DE INSUMOS'!E93</f>
        <v>11510.734499999999</v>
      </c>
      <c r="H4569" s="108">
        <v>1.03</v>
      </c>
      <c r="I4569" s="141">
        <f>ROUND((F4569*G4569*H4569),0)</f>
        <v>23712</v>
      </c>
    </row>
    <row r="4570" spans="2:9" ht="24.9" customHeight="1" thickBot="1" x14ac:dyDescent="0.25">
      <c r="B4570" s="673"/>
      <c r="C4570" s="108" t="str">
        <f>+'LISTA DE INSUMOS'!A67</f>
        <v>MAT034</v>
      </c>
      <c r="D4570" s="139" t="str">
        <f>+'LISTA DE INSUMOS'!B67</f>
        <v>ACPM</v>
      </c>
      <c r="E4570" s="108" t="str">
        <f>+'LISTA DE INSUMOS'!C67</f>
        <v>Gl</v>
      </c>
      <c r="F4570" s="140">
        <v>1</v>
      </c>
      <c r="G4570" s="141">
        <f>+'LISTA DE INSUMOS'!E67</f>
        <v>9681.4499999999989</v>
      </c>
      <c r="H4570" s="108">
        <v>1.05</v>
      </c>
      <c r="I4570" s="141">
        <f>ROUND((F4570*G4570*H4570),0)</f>
        <v>10166</v>
      </c>
    </row>
    <row r="4571" spans="2:9" ht="24.9" customHeight="1" thickTop="1" thickBot="1" x14ac:dyDescent="0.25">
      <c r="B4571" s="191" t="s">
        <v>1310</v>
      </c>
      <c r="C4571" s="108" t="str">
        <f>+B544</f>
        <v>ITE092</v>
      </c>
      <c r="D4571" s="139" t="str">
        <f>+D544</f>
        <v>Concreto de 20,7 Mpa (3000 psi) (producción)</v>
      </c>
      <c r="E4571" s="108" t="str">
        <f>+E544</f>
        <v>M3</v>
      </c>
      <c r="F4571" s="140">
        <v>1</v>
      </c>
      <c r="G4571" s="141">
        <f>+G544</f>
        <v>596118</v>
      </c>
      <c r="H4571" s="108">
        <v>1.05</v>
      </c>
      <c r="I4571" s="141">
        <f>ROUND((F4571*G4571*H4571),0)</f>
        <v>625924</v>
      </c>
    </row>
    <row r="4572" spans="2:9" ht="24.9" customHeight="1" thickTop="1" thickBot="1" x14ac:dyDescent="0.25">
      <c r="B4572" s="156" t="s">
        <v>1034</v>
      </c>
      <c r="C4572" s="108" t="str">
        <f>+'LISTA DE INSUMOS'!A9</f>
        <v>MOB006</v>
      </c>
      <c r="D4572" s="139" t="str">
        <f>+'LISTA DE INSUMOS'!B9</f>
        <v>Cuadrilla A 1 Of + 4 Ay (jornal + prestaciones)</v>
      </c>
      <c r="E4572" s="108" t="str">
        <f>+'LISTA DE INSUMOS'!C9</f>
        <v>Día</v>
      </c>
      <c r="F4572" s="140">
        <v>1</v>
      </c>
      <c r="G4572" s="141">
        <f>+'LISTA DE INSUMOS'!E9</f>
        <v>491167</v>
      </c>
      <c r="H4572" s="108">
        <v>0.55000000000000004</v>
      </c>
      <c r="I4572" s="141">
        <f>ROUND((F4572*G4572*H4572),0)</f>
        <v>270142</v>
      </c>
    </row>
    <row r="4573" spans="2:9" ht="24.9" customHeight="1" thickTop="1" thickBot="1" x14ac:dyDescent="0.25">
      <c r="B4573" s="150" t="s">
        <v>1033</v>
      </c>
      <c r="C4573" s="151" t="str">
        <f>+'LISTA DE INSUMOS'!A758</f>
        <v>EQU002</v>
      </c>
      <c r="D4573" s="146" t="str">
        <f>+'LISTA DE INSUMOS'!B758</f>
        <v>Herramienta menor (% mano obra)</v>
      </c>
      <c r="E4573" s="145" t="str">
        <f>+'LISTA DE INSUMOS'!C758</f>
        <v>%MO</v>
      </c>
      <c r="F4573" s="147">
        <v>0.1</v>
      </c>
      <c r="G4573" s="148">
        <f>I4572</f>
        <v>270142</v>
      </c>
      <c r="H4573" s="145">
        <v>0</v>
      </c>
      <c r="I4573" s="148">
        <f>ROUND((F4573*G4573),0)</f>
        <v>27014</v>
      </c>
    </row>
    <row r="4574" spans="2:9" ht="24.9" customHeight="1" x14ac:dyDescent="0.2">
      <c r="B4574" s="117" t="s">
        <v>1626</v>
      </c>
      <c r="C4574" s="117"/>
      <c r="D4574" s="112" t="s">
        <v>2417</v>
      </c>
      <c r="E4574" s="117" t="s">
        <v>2586</v>
      </c>
      <c r="F4574" s="118"/>
      <c r="G4574" s="119">
        <f>ROUND(SUM(I4574:I4582),0)</f>
        <v>957074</v>
      </c>
      <c r="H4574" s="120"/>
      <c r="I4574" s="119"/>
    </row>
    <row r="4575" spans="2:9" ht="24.9" customHeight="1" x14ac:dyDescent="0.2">
      <c r="B4575" s="672" t="s">
        <v>1035</v>
      </c>
      <c r="C4575" s="108" t="str">
        <f>+'LISTA DE INSUMOS'!A46</f>
        <v>MAT017</v>
      </c>
      <c r="D4575" s="139" t="str">
        <f>+'LISTA DE INSUMOS'!B46</f>
        <v>Tabla para formaleta de 1" x 10" x 2,9 m</v>
      </c>
      <c r="E4575" s="108" t="str">
        <f>+'LISTA DE INSUMOS'!C46</f>
        <v>M</v>
      </c>
      <c r="F4575" s="140">
        <v>36</v>
      </c>
      <c r="G4575" s="141">
        <f>+'LISTA DE INSUMOS'!E46</f>
        <v>8112.0359999999991</v>
      </c>
      <c r="H4575" s="108">
        <f>1/2</f>
        <v>0.5</v>
      </c>
      <c r="I4575" s="141">
        <f>ROUND((F4575*G4575*H4575),0)</f>
        <v>146017</v>
      </c>
    </row>
    <row r="4576" spans="2:9" ht="24.9" customHeight="1" x14ac:dyDescent="0.2">
      <c r="B4576" s="672"/>
      <c r="C4576" s="108" t="str">
        <f>+'LISTA DE INSUMOS'!A52</f>
        <v>MAT021</v>
      </c>
      <c r="D4576" s="139" t="str">
        <f>+'LISTA DE INSUMOS'!B52</f>
        <v>Puntilla (promedio)</v>
      </c>
      <c r="E4576" s="108" t="str">
        <f>+'LISTA DE INSUMOS'!C52</f>
        <v>Lb</v>
      </c>
      <c r="F4576" s="140">
        <v>0.2</v>
      </c>
      <c r="G4576" s="141">
        <f>+'LISTA DE INSUMOS'!E52</f>
        <v>6690.6972299999998</v>
      </c>
      <c r="H4576" s="108">
        <v>0</v>
      </c>
      <c r="I4576" s="141">
        <f>ROUND((F4576*G4576),0)</f>
        <v>1338</v>
      </c>
    </row>
    <row r="4577" spans="2:9" ht="24.9" customHeight="1" x14ac:dyDescent="0.2">
      <c r="B4577" s="672"/>
      <c r="C4577" s="108" t="str">
        <f>+'LISTA DE INSUMOS'!A67</f>
        <v>MAT034</v>
      </c>
      <c r="D4577" s="139" t="str">
        <f>+'LISTA DE INSUMOS'!B67</f>
        <v>ACPM</v>
      </c>
      <c r="E4577" s="108" t="str">
        <f>+'LISTA DE INSUMOS'!C67</f>
        <v>Gl</v>
      </c>
      <c r="F4577" s="140">
        <v>0.3</v>
      </c>
      <c r="G4577" s="141">
        <f>+'LISTA DE INSUMOS'!E67</f>
        <v>9681.4499999999989</v>
      </c>
      <c r="H4577" s="108">
        <v>1.05</v>
      </c>
      <c r="I4577" s="141">
        <f>ROUND((F4577*G4577*H4577),0)</f>
        <v>3050</v>
      </c>
    </row>
    <row r="4578" spans="2:9" ht="24.9" customHeight="1" x14ac:dyDescent="0.2">
      <c r="B4578" s="672"/>
      <c r="C4578" s="108" t="str">
        <f>+'LISTA DE INSUMOS'!A93</f>
        <v>MAT051</v>
      </c>
      <c r="D4578" s="139" t="str">
        <f>+'LISTA DE INSUMOS'!B93</f>
        <v>Antisol blanco</v>
      </c>
      <c r="E4578" s="108" t="str">
        <f>+'LISTA DE INSUMOS'!C93</f>
        <v>Kg</v>
      </c>
      <c r="F4578" s="140">
        <v>0.2</v>
      </c>
      <c r="G4578" s="141">
        <f>+'LISTA DE INSUMOS'!E93</f>
        <v>11510.734499999999</v>
      </c>
      <c r="H4578" s="108">
        <v>1.03</v>
      </c>
      <c r="I4578" s="141">
        <f>ROUND((F4578*G4578*H4578),0)</f>
        <v>2371</v>
      </c>
    </row>
    <row r="4579" spans="2:9" ht="24.9" customHeight="1" thickBot="1" x14ac:dyDescent="0.25">
      <c r="B4579" s="673"/>
      <c r="C4579" s="108" t="str">
        <f>+'LISTA DE INSUMOS'!A132</f>
        <v>MAT091</v>
      </c>
      <c r="D4579" s="139" t="str">
        <f>+'LISTA DE INSUMOS'!B132</f>
        <v>Varillón de sajo</v>
      </c>
      <c r="E4579" s="108" t="str">
        <f>+'LISTA DE INSUMOS'!C132</f>
        <v>M</v>
      </c>
      <c r="F4579" s="140">
        <v>30</v>
      </c>
      <c r="G4579" s="141">
        <f>+'LISTA DE INSUMOS'!E132</f>
        <v>2979.6450687603597</v>
      </c>
      <c r="H4579" s="108">
        <v>0.33333333333333331</v>
      </c>
      <c r="I4579" s="141">
        <f>ROUND((F4579*G4579*H4579),0)</f>
        <v>29796</v>
      </c>
    </row>
    <row r="4580" spans="2:9" ht="24.9" customHeight="1" thickTop="1" thickBot="1" x14ac:dyDescent="0.25">
      <c r="B4580" s="191" t="s">
        <v>1310</v>
      </c>
      <c r="C4580" s="108" t="str">
        <f>+B544</f>
        <v>ITE092</v>
      </c>
      <c r="D4580" s="139" t="str">
        <f>+D544</f>
        <v>Concreto de 20,7 Mpa (3000 psi) (producción)</v>
      </c>
      <c r="E4580" s="108" t="str">
        <f>+E544</f>
        <v>M3</v>
      </c>
      <c r="F4580" s="140">
        <v>1</v>
      </c>
      <c r="G4580" s="141">
        <f>+G544</f>
        <v>596118</v>
      </c>
      <c r="H4580" s="108">
        <v>1.05</v>
      </c>
      <c r="I4580" s="141">
        <f>ROUND((F4580*G4580*H4580),0)</f>
        <v>625924</v>
      </c>
    </row>
    <row r="4581" spans="2:9" ht="24.9" customHeight="1" thickTop="1" thickBot="1" x14ac:dyDescent="0.25">
      <c r="B4581" s="156" t="s">
        <v>1034</v>
      </c>
      <c r="C4581" s="108" t="str">
        <f>+'LISTA DE INSUMOS'!A18</f>
        <v>MOB015</v>
      </c>
      <c r="D4581" s="139" t="str">
        <f>+'LISTA DE INSUMOS'!B18</f>
        <v>Cuadrilla E 1 Of + 1 Ay (jornal + prestaciones)</v>
      </c>
      <c r="E4581" s="108" t="str">
        <f>+'LISTA DE INSUMOS'!C18</f>
        <v>Día</v>
      </c>
      <c r="F4581" s="140">
        <v>1</v>
      </c>
      <c r="G4581" s="141">
        <f>+'LISTA DE INSUMOS'!E18</f>
        <v>245584</v>
      </c>
      <c r="H4581" s="108">
        <v>0.55000000000000004</v>
      </c>
      <c r="I4581" s="141">
        <f>ROUND((F4581*G4581*H4581),0)</f>
        <v>135071</v>
      </c>
    </row>
    <row r="4582" spans="2:9" ht="24.9" customHeight="1" thickTop="1" thickBot="1" x14ac:dyDescent="0.25">
      <c r="B4582" s="150" t="s">
        <v>1033</v>
      </c>
      <c r="C4582" s="151" t="str">
        <f>+'LISTA DE INSUMOS'!A758</f>
        <v>EQU002</v>
      </c>
      <c r="D4582" s="146" t="str">
        <f>+'LISTA DE INSUMOS'!B758</f>
        <v>Herramienta menor (% mano obra)</v>
      </c>
      <c r="E4582" s="145" t="str">
        <f>+'LISTA DE INSUMOS'!C758</f>
        <v>%MO</v>
      </c>
      <c r="F4582" s="147">
        <v>0.1</v>
      </c>
      <c r="G4582" s="148">
        <f>I4581</f>
        <v>135071</v>
      </c>
      <c r="H4582" s="145">
        <v>0</v>
      </c>
      <c r="I4582" s="148">
        <f>ROUND((F4582*G4582),0)</f>
        <v>13507</v>
      </c>
    </row>
    <row r="4583" spans="2:9" ht="24.9" customHeight="1" x14ac:dyDescent="0.2">
      <c r="B4583" s="117" t="s">
        <v>2047</v>
      </c>
      <c r="C4583" s="117"/>
      <c r="D4583" s="112" t="s">
        <v>2420</v>
      </c>
      <c r="E4583" s="117" t="s">
        <v>2585</v>
      </c>
      <c r="F4583" s="118"/>
      <c r="G4583" s="119">
        <f>ROUND(SUM(I4583:I4591),0)</f>
        <v>110237</v>
      </c>
      <c r="H4583" s="120"/>
      <c r="I4583" s="119"/>
    </row>
    <row r="4584" spans="2:9" ht="24.9" customHeight="1" x14ac:dyDescent="0.2">
      <c r="B4584" s="672" t="s">
        <v>1035</v>
      </c>
      <c r="C4584" s="108" t="str">
        <f>+'LISTA DE INSUMOS'!A46</f>
        <v>MAT017</v>
      </c>
      <c r="D4584" s="139" t="str">
        <f>+'LISTA DE INSUMOS'!B46</f>
        <v>Tabla para formaleta de 1" x 10" x 2,9 m</v>
      </c>
      <c r="E4584" s="108" t="str">
        <f>+'LISTA DE INSUMOS'!C46</f>
        <v>M</v>
      </c>
      <c r="F4584" s="140">
        <v>0.5</v>
      </c>
      <c r="G4584" s="141">
        <f>+'LISTA DE INSUMOS'!E46</f>
        <v>8112.0359999999991</v>
      </c>
      <c r="H4584" s="108">
        <f>1/3</f>
        <v>0.33333333333333331</v>
      </c>
      <c r="I4584" s="141">
        <f>ROUND((F4584*G4584*H4584),0)</f>
        <v>1352</v>
      </c>
    </row>
    <row r="4585" spans="2:9" ht="24.9" customHeight="1" x14ac:dyDescent="0.2">
      <c r="B4585" s="672"/>
      <c r="C4585" s="108" t="str">
        <f>+'LISTA DE INSUMOS'!A49</f>
        <v>MAT018</v>
      </c>
      <c r="D4585" s="139" t="str">
        <f>+'LISTA DE INSUMOS'!B49</f>
        <v>Cuartón de sajo 2" x 4" x 2,9 m</v>
      </c>
      <c r="E4585" s="108" t="str">
        <f>+'LISTA DE INSUMOS'!C49</f>
        <v>M</v>
      </c>
      <c r="F4585" s="140">
        <v>0.5</v>
      </c>
      <c r="G4585" s="141">
        <f>+'LISTA DE INSUMOS'!E49</f>
        <v>11944.810644542158</v>
      </c>
      <c r="H4585" s="108">
        <f>1/3</f>
        <v>0.33333333333333331</v>
      </c>
      <c r="I4585" s="141">
        <f>ROUND((F4585*G4585*H4585),0)</f>
        <v>1991</v>
      </c>
    </row>
    <row r="4586" spans="2:9" ht="24.9" customHeight="1" x14ac:dyDescent="0.2">
      <c r="B4586" s="672"/>
      <c r="C4586" s="108" t="str">
        <f>+'LISTA DE INSUMOS'!A52</f>
        <v>MAT021</v>
      </c>
      <c r="D4586" s="139" t="str">
        <f>+'LISTA DE INSUMOS'!B52</f>
        <v>Puntilla (promedio)</v>
      </c>
      <c r="E4586" s="108" t="str">
        <f>+'LISTA DE INSUMOS'!C52</f>
        <v>Lb</v>
      </c>
      <c r="F4586" s="140">
        <v>0.01</v>
      </c>
      <c r="G4586" s="141">
        <f>+'LISTA DE INSUMOS'!E52</f>
        <v>6690.6972299999998</v>
      </c>
      <c r="H4586" s="108">
        <v>0</v>
      </c>
      <c r="I4586" s="141">
        <f>ROUND((F4586*G4586),0)</f>
        <v>67</v>
      </c>
    </row>
    <row r="4587" spans="2:9" ht="24.9" customHeight="1" x14ac:dyDescent="0.2">
      <c r="B4587" s="702" t="s">
        <v>1310</v>
      </c>
      <c r="C4587" s="108" t="str">
        <f>+B587</f>
        <v>ITE98</v>
      </c>
      <c r="D4587" s="139" t="str">
        <f>+D587</f>
        <v>Acero Fy = 60.000 psi d&gt;1/4"</v>
      </c>
      <c r="E4587" s="108" t="str">
        <f>+E587</f>
        <v>Kg</v>
      </c>
      <c r="F4587" s="152">
        <v>5.6</v>
      </c>
      <c r="G4587" s="141">
        <f>+G587</f>
        <v>7240</v>
      </c>
      <c r="H4587" s="108">
        <v>0</v>
      </c>
      <c r="I4587" s="141">
        <f>ROUND((F4587*G4587),0)</f>
        <v>40544</v>
      </c>
    </row>
    <row r="4588" spans="2:9" ht="24.9" customHeight="1" thickBot="1" x14ac:dyDescent="0.25">
      <c r="B4588" s="703"/>
      <c r="C4588" s="108" t="str">
        <f>+B544</f>
        <v>ITE092</v>
      </c>
      <c r="D4588" s="139" t="str">
        <f>+D544</f>
        <v>Concreto de 20,7 Mpa (3000 psi) (producción)</v>
      </c>
      <c r="E4588" s="108" t="str">
        <f>+E544</f>
        <v>M3</v>
      </c>
      <c r="F4588" s="160">
        <v>0.08</v>
      </c>
      <c r="G4588" s="141">
        <f>+G544</f>
        <v>596118</v>
      </c>
      <c r="H4588" s="108">
        <v>1.05</v>
      </c>
      <c r="I4588" s="141">
        <f>ROUND((F4588*G4588*H4588),0)</f>
        <v>50074</v>
      </c>
    </row>
    <row r="4589" spans="2:9" ht="24.9" customHeight="1" thickTop="1" thickBot="1" x14ac:dyDescent="0.25">
      <c r="B4589" s="156" t="s">
        <v>1034</v>
      </c>
      <c r="C4589" s="108" t="str">
        <f>+'LISTA DE INSUMOS'!A9</f>
        <v>MOB006</v>
      </c>
      <c r="D4589" s="139" t="str">
        <f>+'LISTA DE INSUMOS'!B9</f>
        <v>Cuadrilla A 1 Of + 4 Ay (jornal + prestaciones)</v>
      </c>
      <c r="E4589" s="108" t="str">
        <f>+'LISTA DE INSUMOS'!C9</f>
        <v>Día</v>
      </c>
      <c r="F4589" s="160">
        <v>1</v>
      </c>
      <c r="G4589" s="141">
        <f>+'LISTA DE INSUMOS'!E9</f>
        <v>491167</v>
      </c>
      <c r="H4589" s="108">
        <v>0.03</v>
      </c>
      <c r="I4589" s="141">
        <f>ROUND((F4589*G4589*H4589),0)</f>
        <v>14735</v>
      </c>
    </row>
    <row r="4590" spans="2:9" ht="24.9" customHeight="1" thickTop="1" thickBot="1" x14ac:dyDescent="0.25">
      <c r="B4590" s="150" t="s">
        <v>1033</v>
      </c>
      <c r="C4590" s="151" t="str">
        <f>+'LISTA DE INSUMOS'!A758</f>
        <v>EQU002</v>
      </c>
      <c r="D4590" s="146" t="str">
        <f>+'LISTA DE INSUMOS'!B758</f>
        <v>Herramienta menor (% mano obra)</v>
      </c>
      <c r="E4590" s="145" t="str">
        <f>+'LISTA DE INSUMOS'!C758</f>
        <v>%MO</v>
      </c>
      <c r="F4590" s="147">
        <v>0.1</v>
      </c>
      <c r="G4590" s="148">
        <f>I4589</f>
        <v>14735</v>
      </c>
      <c r="H4590" s="145">
        <v>0</v>
      </c>
      <c r="I4590" s="148">
        <f>ROUND((F4590*G4590),0)</f>
        <v>1474</v>
      </c>
    </row>
    <row r="4591" spans="2:9" ht="24.9" customHeight="1" x14ac:dyDescent="0.2">
      <c r="B4591" s="117" t="s">
        <v>2045</v>
      </c>
      <c r="C4591" s="117"/>
      <c r="D4591" s="112" t="s">
        <v>2421</v>
      </c>
      <c r="E4591" s="117" t="s">
        <v>2586</v>
      </c>
      <c r="F4591" s="118"/>
      <c r="G4591" s="119">
        <f>ROUND(SUM(I4591:I4596),0)</f>
        <v>161022</v>
      </c>
      <c r="H4591" s="120"/>
      <c r="I4591" s="119"/>
    </row>
    <row r="4592" spans="2:9" ht="24.9" customHeight="1" thickBot="1" x14ac:dyDescent="0.25">
      <c r="B4592" s="175" t="s">
        <v>1325</v>
      </c>
      <c r="C4592" s="108" t="str">
        <f>+'LISTA DE INSUMOS'!A32</f>
        <v>MAT003</v>
      </c>
      <c r="D4592" s="139" t="str">
        <f>+'LISTA DE INSUMOS'!B32</f>
        <v>Arena</v>
      </c>
      <c r="E4592" s="108" t="str">
        <f>+'LISTA DE INSUMOS'!C32</f>
        <v>M3</v>
      </c>
      <c r="F4592" s="140">
        <v>1</v>
      </c>
      <c r="G4592" s="141">
        <f>+'LISTA DE INSUMOS'!E32</f>
        <v>112536.56002875</v>
      </c>
      <c r="H4592" s="108">
        <v>1.3</v>
      </c>
      <c r="I4592" s="141">
        <f>ROUND((F4592*G4592*H4592),0)</f>
        <v>146298</v>
      </c>
    </row>
    <row r="4593" spans="2:41" ht="24.9" customHeight="1" thickTop="1" x14ac:dyDescent="0.2">
      <c r="B4593" s="678" t="s">
        <v>1034</v>
      </c>
      <c r="C4593" s="108" t="str">
        <f>+'LISTA DE INSUMOS'!A9</f>
        <v>MOB006</v>
      </c>
      <c r="D4593" s="139" t="str">
        <f>+'LISTA DE INSUMOS'!B9</f>
        <v>Cuadrilla A 1 Of + 4 Ay (jornal + prestaciones)</v>
      </c>
      <c r="E4593" s="108" t="str">
        <f>+'LISTA DE INSUMOS'!C9</f>
        <v>Día</v>
      </c>
      <c r="F4593" s="140">
        <v>1</v>
      </c>
      <c r="G4593" s="141">
        <f>+'LISTA DE INSUMOS'!E9</f>
        <v>491167</v>
      </c>
      <c r="H4593" s="108">
        <v>0.02</v>
      </c>
      <c r="I4593" s="141">
        <f>ROUND((F4593*G4593*H4593),0)</f>
        <v>9823</v>
      </c>
    </row>
    <row r="4594" spans="2:41" ht="24.9" customHeight="1" x14ac:dyDescent="0.2">
      <c r="B4594" s="678"/>
      <c r="C4594" s="108" t="str">
        <f>+'LISTA DE INSUMOS'!A14</f>
        <v>MOB011</v>
      </c>
      <c r="D4594" s="139" t="str">
        <f>+'LISTA DE INSUMOS'!B14</f>
        <v>Acarreo Horizontal (% mano obra)</v>
      </c>
      <c r="E4594" s="108" t="str">
        <f>+'LISTA DE INSUMOS'!C14</f>
        <v>% MO</v>
      </c>
      <c r="F4594" s="140">
        <v>0.1</v>
      </c>
      <c r="G4594" s="141">
        <f>I4593</f>
        <v>9823</v>
      </c>
      <c r="H4594" s="108">
        <v>0</v>
      </c>
      <c r="I4594" s="141">
        <f>ROUND((F4594*G4594),0)</f>
        <v>982</v>
      </c>
    </row>
    <row r="4595" spans="2:41" ht="24.9" customHeight="1" x14ac:dyDescent="0.2">
      <c r="B4595" s="648" t="s">
        <v>1033</v>
      </c>
      <c r="C4595" s="108" t="str">
        <f>+'LISTA DE INSUMOS'!A758</f>
        <v>EQU002</v>
      </c>
      <c r="D4595" s="139" t="str">
        <f>+'LISTA DE INSUMOS'!B758</f>
        <v>Herramienta menor (% mano obra)</v>
      </c>
      <c r="E4595" s="108" t="str">
        <f>+'LISTA DE INSUMOS'!C758</f>
        <v>%MO</v>
      </c>
      <c r="F4595" s="160">
        <v>0.1</v>
      </c>
      <c r="G4595" s="141">
        <f>I4593</f>
        <v>9823</v>
      </c>
      <c r="H4595" s="108">
        <v>0</v>
      </c>
      <c r="I4595" s="141">
        <f>ROUND((F4595*G4595),0)</f>
        <v>982</v>
      </c>
    </row>
    <row r="4596" spans="2:41" ht="24.9" customHeight="1" thickBot="1" x14ac:dyDescent="0.25">
      <c r="B4596" s="704"/>
      <c r="C4596" s="145" t="str">
        <f>+'LISTA DE INSUMOS'!A791</f>
        <v>EQU034</v>
      </c>
      <c r="D4596" s="146" t="str">
        <f>+'LISTA DE INSUMOS'!B791</f>
        <v>Compactador  manual (canguro)</v>
      </c>
      <c r="E4596" s="145" t="str">
        <f>+'LISTA DE INSUMOS'!C791</f>
        <v>Día</v>
      </c>
      <c r="F4596" s="147">
        <v>1</v>
      </c>
      <c r="G4596" s="148">
        <f>+'LISTA DE INSUMOS'!E791</f>
        <v>58744.017217600012</v>
      </c>
      <c r="H4596" s="145">
        <v>0.05</v>
      </c>
      <c r="I4596" s="148">
        <f>ROUND((F4596*G4596*H4596),0)</f>
        <v>2937</v>
      </c>
    </row>
    <row r="4597" spans="2:41" ht="57" customHeight="1" x14ac:dyDescent="0.2">
      <c r="B4597" s="263" t="s">
        <v>1662</v>
      </c>
      <c r="C4597" s="124"/>
      <c r="D4597" s="121" t="s">
        <v>2428</v>
      </c>
      <c r="E4597" s="124" t="str">
        <f>+'LISTA DE INSUMOS'!C671</f>
        <v>Un</v>
      </c>
      <c r="F4597" s="264"/>
      <c r="G4597" s="123">
        <f>ROUND(SUM(I4597:I4600),0)</f>
        <v>6741469</v>
      </c>
      <c r="H4597" s="265"/>
      <c r="I4597" s="123"/>
    </row>
    <row r="4598" spans="2:41" ht="24.9" customHeight="1" thickBot="1" x14ac:dyDescent="0.25">
      <c r="B4598" s="432" t="s">
        <v>1035</v>
      </c>
      <c r="C4598" s="108" t="str">
        <f>+'LISTA DE INSUMOS'!A674</f>
        <v>MAT688</v>
      </c>
      <c r="D4598" s="139" t="str">
        <f>+'LISTA DE INSUMOS'!B674</f>
        <v>Sistema Séptico Integrado 3000 Litros</v>
      </c>
      <c r="E4598" s="108" t="str">
        <f>+'LISTA DE INSUMOS'!C674</f>
        <v>Un</v>
      </c>
      <c r="F4598" s="160">
        <v>1</v>
      </c>
      <c r="G4598" s="141">
        <f>+'LISTA DE INSUMOS'!E674</f>
        <v>6606397.7875499995</v>
      </c>
      <c r="H4598" s="142">
        <v>1</v>
      </c>
      <c r="I4598" s="141">
        <f>ROUND((F4598*G4598*H4598),0)</f>
        <v>6606398</v>
      </c>
    </row>
    <row r="4599" spans="2:41" ht="24.9" customHeight="1" thickTop="1" x14ac:dyDescent="0.2">
      <c r="B4599" s="424" t="s">
        <v>1034</v>
      </c>
      <c r="C4599" s="108" t="str">
        <f>+'LISTA DE INSUMOS'!A9</f>
        <v>MOB006</v>
      </c>
      <c r="D4599" s="139" t="str">
        <f>+'LISTA DE INSUMOS'!B9</f>
        <v>Cuadrilla A 1 Of + 4 Ay (jornal + prestaciones)</v>
      </c>
      <c r="E4599" s="108" t="str">
        <f>+'LISTA DE INSUMOS'!C9</f>
        <v>Día</v>
      </c>
      <c r="F4599" s="160">
        <v>1</v>
      </c>
      <c r="G4599" s="141">
        <f>+'LISTA DE INSUMOS'!E9</f>
        <v>491167</v>
      </c>
      <c r="H4599" s="142">
        <f>1/4</f>
        <v>0.25</v>
      </c>
      <c r="I4599" s="141">
        <f>ROUND((F4599*G4599*H4599),0)</f>
        <v>122792</v>
      </c>
    </row>
    <row r="4600" spans="2:41" ht="24.9" customHeight="1" thickBot="1" x14ac:dyDescent="0.25">
      <c r="B4600" s="433" t="s">
        <v>1033</v>
      </c>
      <c r="C4600" s="145" t="str">
        <f>+'LISTA DE INSUMOS'!A758</f>
        <v>EQU002</v>
      </c>
      <c r="D4600" s="146" t="str">
        <f>+'LISTA DE INSUMOS'!B758</f>
        <v>Herramienta menor (% mano obra)</v>
      </c>
      <c r="E4600" s="145" t="str">
        <f>+'LISTA DE INSUMOS'!C758</f>
        <v>%MO</v>
      </c>
      <c r="F4600" s="147">
        <v>0.1</v>
      </c>
      <c r="G4600" s="148">
        <f>+I4599</f>
        <v>122792</v>
      </c>
      <c r="H4600" s="154">
        <v>0</v>
      </c>
      <c r="I4600" s="148">
        <f>ROUND((F4600*G4600),0)</f>
        <v>12279</v>
      </c>
    </row>
    <row r="4601" spans="2:41" ht="76.5" customHeight="1" x14ac:dyDescent="0.2">
      <c r="B4601" s="263" t="s">
        <v>3311</v>
      </c>
      <c r="C4601" s="124"/>
      <c r="D4601" s="121" t="s">
        <v>3312</v>
      </c>
      <c r="E4601" s="124" t="str">
        <f>+'LISTA DE INSUMOS'!C675</f>
        <v>Un</v>
      </c>
      <c r="F4601" s="264"/>
      <c r="G4601" s="123">
        <f>ROUND(SUM(I4601:I4604),0)</f>
        <v>3237521</v>
      </c>
      <c r="H4601" s="265"/>
      <c r="I4601" s="123"/>
    </row>
    <row r="4602" spans="2:41" ht="45.75" customHeight="1" thickBot="1" x14ac:dyDescent="0.25">
      <c r="B4602" s="432" t="s">
        <v>1035</v>
      </c>
      <c r="C4602" s="108" t="str">
        <f>+'LISTA DE INSUMOS'!A678</f>
        <v>MAT692</v>
      </c>
      <c r="D4602" s="139" t="str">
        <f>'LISTA DE INSUMOS'!B677</f>
        <v>Sistema Séptico 5000 Litros (septico de 2000 + Septico de 1000+ tanque filtro de 2000 +Falso fondo+Trampa de grasas de 250lts )</v>
      </c>
      <c r="E4602" s="108" t="str">
        <f>+'LISTA DE INSUMOS'!C678</f>
        <v>Un</v>
      </c>
      <c r="F4602" s="160">
        <v>1</v>
      </c>
      <c r="G4602" s="141">
        <f>'LISTA DE INSUMOS'!E677</f>
        <v>3075436</v>
      </c>
      <c r="H4602" s="142">
        <v>1</v>
      </c>
      <c r="I4602" s="141">
        <f>ROUND((F4602*G4602*H4602),0)</f>
        <v>3075436</v>
      </c>
      <c r="AO4602" s="103"/>
    </row>
    <row r="4603" spans="2:41" ht="24.9" customHeight="1" thickTop="1" x14ac:dyDescent="0.2">
      <c r="B4603" s="424" t="s">
        <v>1034</v>
      </c>
      <c r="C4603" s="108" t="str">
        <f>+'LISTA DE INSUMOS'!A13</f>
        <v>MOB010</v>
      </c>
      <c r="D4603" s="139" t="str">
        <f>+'LISTA DE INSUMOS'!B9</f>
        <v>Cuadrilla A 1 Of + 4 Ay (jornal + prestaciones)</v>
      </c>
      <c r="E4603" s="108" t="str">
        <f>+'LISTA DE INSUMOS'!C13</f>
        <v>Día</v>
      </c>
      <c r="F4603" s="160">
        <v>1</v>
      </c>
      <c r="G4603" s="141">
        <f>+'LISTA DE INSUMOS'!E9</f>
        <v>491167</v>
      </c>
      <c r="H4603" s="142">
        <v>0.3</v>
      </c>
      <c r="I4603" s="141">
        <f>ROUND((F4603*G4603*H4603),0)</f>
        <v>147350</v>
      </c>
    </row>
    <row r="4604" spans="2:41" ht="24.9" customHeight="1" thickBot="1" x14ac:dyDescent="0.25">
      <c r="B4604" s="433" t="s">
        <v>1033</v>
      </c>
      <c r="C4604" s="145" t="str">
        <f>+'LISTA DE INSUMOS'!A762</f>
        <v>EQU006</v>
      </c>
      <c r="D4604" s="146" t="str">
        <f>+'LISTA DE INSUMOS'!B758</f>
        <v>Herramienta menor (% mano obra)</v>
      </c>
      <c r="E4604" s="145" t="str">
        <f>+'LISTA DE INSUMOS'!C762</f>
        <v>%MO</v>
      </c>
      <c r="F4604" s="147">
        <v>0.1</v>
      </c>
      <c r="G4604" s="148">
        <f>+I4603</f>
        <v>147350</v>
      </c>
      <c r="H4604" s="154">
        <v>0</v>
      </c>
      <c r="I4604" s="148">
        <f>ROUND((F4604*G4604),0)</f>
        <v>14735</v>
      </c>
    </row>
    <row r="4605" spans="2:41" ht="57" customHeight="1" x14ac:dyDescent="0.2">
      <c r="B4605" s="117" t="s">
        <v>352</v>
      </c>
      <c r="C4605" s="117"/>
      <c r="D4605" s="112" t="s">
        <v>2427</v>
      </c>
      <c r="E4605" s="117" t="s">
        <v>1435</v>
      </c>
      <c r="F4605" s="118"/>
      <c r="G4605" s="119">
        <f>SUM(I4606:I4617)</f>
        <v>11999863</v>
      </c>
      <c r="H4605" s="120"/>
      <c r="I4605" s="119"/>
    </row>
    <row r="4606" spans="2:41" s="317" customFormat="1" ht="24.9" customHeight="1" x14ac:dyDescent="0.2">
      <c r="B4606" s="241" t="s">
        <v>1325</v>
      </c>
      <c r="C4606" s="125" t="s">
        <v>2644</v>
      </c>
      <c r="D4606" s="139" t="s">
        <v>2645</v>
      </c>
      <c r="E4606" s="108" t="s">
        <v>1435</v>
      </c>
      <c r="F4606" s="140">
        <v>1</v>
      </c>
      <c r="G4606" s="141">
        <f>'LISTA DE INSUMOS'!E705</f>
        <v>84339.381401315026</v>
      </c>
      <c r="H4606" s="108">
        <v>0</v>
      </c>
      <c r="I4606" s="141">
        <f t="shared" ref="I4606:I4617" si="36">ROUND((F4606*G4606),0)</f>
        <v>84339</v>
      </c>
    </row>
    <row r="4607" spans="2:41" s="317" customFormat="1" ht="24.9" customHeight="1" thickBot="1" x14ac:dyDescent="0.25">
      <c r="B4607" s="191" t="s">
        <v>1310</v>
      </c>
      <c r="C4607" s="125" t="s">
        <v>2647</v>
      </c>
      <c r="D4607" s="139" t="s">
        <v>2430</v>
      </c>
      <c r="E4607" s="108" t="s">
        <v>2648</v>
      </c>
      <c r="F4607" s="140">
        <v>3</v>
      </c>
      <c r="G4607" s="141">
        <f>G5032</f>
        <v>178012</v>
      </c>
      <c r="H4607" s="108">
        <v>0</v>
      </c>
      <c r="I4607" s="141">
        <f t="shared" si="36"/>
        <v>534036</v>
      </c>
    </row>
    <row r="4608" spans="2:41" s="317" customFormat="1" ht="24.9" customHeight="1" thickTop="1" x14ac:dyDescent="0.2">
      <c r="B4608" s="241" t="s">
        <v>1325</v>
      </c>
      <c r="C4608" s="125" t="s">
        <v>2646</v>
      </c>
      <c r="D4608" s="139" t="s">
        <v>2418</v>
      </c>
      <c r="E4608" s="108" t="s">
        <v>1435</v>
      </c>
      <c r="F4608" s="140">
        <v>3</v>
      </c>
      <c r="G4608" s="141">
        <f>'LISTA DE INSUMOS'!E706</f>
        <v>121037.42267759999</v>
      </c>
      <c r="H4608" s="108">
        <v>0</v>
      </c>
      <c r="I4608" s="141">
        <f t="shared" si="36"/>
        <v>363112</v>
      </c>
    </row>
    <row r="4609" spans="2:9" s="317" customFormat="1" ht="24.9" customHeight="1" thickBot="1" x14ac:dyDescent="0.25">
      <c r="B4609" s="241" t="s">
        <v>1325</v>
      </c>
      <c r="C4609" s="108" t="s">
        <v>131</v>
      </c>
      <c r="D4609" s="139" t="s">
        <v>2419</v>
      </c>
      <c r="E4609" s="108" t="s">
        <v>1412</v>
      </c>
      <c r="F4609" s="160">
        <v>20</v>
      </c>
      <c r="G4609" s="141">
        <f>'LISTA DE INSUMOS'!E679</f>
        <v>7572.7076748578629</v>
      </c>
      <c r="H4609" s="108">
        <v>0</v>
      </c>
      <c r="I4609" s="141">
        <f t="shared" si="36"/>
        <v>151454</v>
      </c>
    </row>
    <row r="4610" spans="2:9" s="317" customFormat="1" ht="58.5" customHeight="1" thickTop="1" x14ac:dyDescent="0.2">
      <c r="B4610" s="701" t="s">
        <v>1310</v>
      </c>
      <c r="C4610" s="108" t="s">
        <v>1662</v>
      </c>
      <c r="D4610" s="139" t="s">
        <v>2428</v>
      </c>
      <c r="E4610" s="108" t="s">
        <v>1435</v>
      </c>
      <c r="F4610" s="160">
        <v>1</v>
      </c>
      <c r="G4610" s="141">
        <f>G4597</f>
        <v>6741469</v>
      </c>
      <c r="H4610" s="108">
        <v>0</v>
      </c>
      <c r="I4610" s="141">
        <f t="shared" si="36"/>
        <v>6741469</v>
      </c>
    </row>
    <row r="4611" spans="2:9" s="317" customFormat="1" ht="24.9" customHeight="1" x14ac:dyDescent="0.2">
      <c r="B4611" s="702"/>
      <c r="C4611" s="108" t="s">
        <v>2359</v>
      </c>
      <c r="D4611" s="139" t="s">
        <v>2020</v>
      </c>
      <c r="E4611" s="108" t="s">
        <v>1412</v>
      </c>
      <c r="F4611" s="140">
        <v>12</v>
      </c>
      <c r="G4611" s="141">
        <f>G3456</f>
        <v>38029</v>
      </c>
      <c r="H4611" s="108">
        <v>0</v>
      </c>
      <c r="I4611" s="141">
        <f t="shared" si="36"/>
        <v>456348</v>
      </c>
    </row>
    <row r="4612" spans="2:9" s="317" customFormat="1" ht="24.9" customHeight="1" x14ac:dyDescent="0.2">
      <c r="B4612" s="702"/>
      <c r="C4612" s="108" t="s">
        <v>2361</v>
      </c>
      <c r="D4612" s="139" t="s">
        <v>2022</v>
      </c>
      <c r="E4612" s="108" t="s">
        <v>1412</v>
      </c>
      <c r="F4612" s="140">
        <v>18</v>
      </c>
      <c r="G4612" s="141">
        <f>G3470</f>
        <v>65630</v>
      </c>
      <c r="H4612" s="108">
        <v>0</v>
      </c>
      <c r="I4612" s="141">
        <f t="shared" si="36"/>
        <v>1181340</v>
      </c>
    </row>
    <row r="4613" spans="2:9" s="317" customFormat="1" ht="24.9" customHeight="1" x14ac:dyDescent="0.2">
      <c r="B4613" s="702"/>
      <c r="C4613" s="108" t="s">
        <v>1881</v>
      </c>
      <c r="D4613" s="139" t="s">
        <v>409</v>
      </c>
      <c r="E4613" s="108" t="s">
        <v>1432</v>
      </c>
      <c r="F4613" s="140">
        <v>10</v>
      </c>
      <c r="G4613" s="141">
        <f>G115</f>
        <v>32745</v>
      </c>
      <c r="H4613" s="108">
        <v>0</v>
      </c>
      <c r="I4613" s="141">
        <f t="shared" si="36"/>
        <v>327450</v>
      </c>
    </row>
    <row r="4614" spans="2:9" s="317" customFormat="1" ht="24.9" customHeight="1" x14ac:dyDescent="0.2">
      <c r="B4614" s="702"/>
      <c r="C4614" s="108" t="s">
        <v>1546</v>
      </c>
      <c r="D4614" s="139" t="s">
        <v>1324</v>
      </c>
      <c r="E4614" s="108" t="s">
        <v>1432</v>
      </c>
      <c r="F4614" s="160">
        <v>5</v>
      </c>
      <c r="G4614" s="141">
        <f>G253</f>
        <v>36417</v>
      </c>
      <c r="H4614" s="108">
        <v>0</v>
      </c>
      <c r="I4614" s="141">
        <f t="shared" si="36"/>
        <v>182085</v>
      </c>
    </row>
    <row r="4615" spans="2:9" s="317" customFormat="1" ht="24.9" customHeight="1" x14ac:dyDescent="0.2">
      <c r="B4615" s="702"/>
      <c r="C4615" s="108" t="s">
        <v>1849</v>
      </c>
      <c r="D4615" s="139" t="s">
        <v>213</v>
      </c>
      <c r="E4615" s="108" t="s">
        <v>1435</v>
      </c>
      <c r="F4615" s="160">
        <v>1</v>
      </c>
      <c r="G4615" s="141">
        <f>G1066</f>
        <v>321334</v>
      </c>
      <c r="H4615" s="108">
        <v>0</v>
      </c>
      <c r="I4615" s="141">
        <f t="shared" si="36"/>
        <v>321334</v>
      </c>
    </row>
    <row r="4616" spans="2:9" s="317" customFormat="1" ht="24.9" customHeight="1" x14ac:dyDescent="0.2">
      <c r="B4616" s="702"/>
      <c r="C4616" s="108" t="s">
        <v>1660</v>
      </c>
      <c r="D4616" s="139" t="s">
        <v>2420</v>
      </c>
      <c r="E4616" s="108" t="s">
        <v>1424</v>
      </c>
      <c r="F4616" s="140">
        <v>8</v>
      </c>
      <c r="G4616" s="141">
        <f>G4583</f>
        <v>110237</v>
      </c>
      <c r="H4616" s="108">
        <v>0</v>
      </c>
      <c r="I4616" s="141">
        <f t="shared" si="36"/>
        <v>881896</v>
      </c>
    </row>
    <row r="4617" spans="2:9" s="317" customFormat="1" ht="24.9" customHeight="1" x14ac:dyDescent="0.2">
      <c r="B4617" s="702"/>
      <c r="C4617" s="108" t="s">
        <v>1661</v>
      </c>
      <c r="D4617" s="139" t="str">
        <f>'LISTA DE INSUMOS'!B724</f>
        <v>Material filtrante Plastico (Roseton )</v>
      </c>
      <c r="E4617" s="108" t="s">
        <v>1432</v>
      </c>
      <c r="F4617" s="160">
        <v>500</v>
      </c>
      <c r="G4617" s="141">
        <f>'LISTA DE INSUMOS'!E724</f>
        <v>1550</v>
      </c>
      <c r="H4617" s="108">
        <v>0</v>
      </c>
      <c r="I4617" s="141">
        <f t="shared" si="36"/>
        <v>775000</v>
      </c>
    </row>
    <row r="4618" spans="2:9" s="317" customFormat="1" ht="47.25" hidden="1" customHeight="1" x14ac:dyDescent="0.2">
      <c r="B4618" s="374" t="s">
        <v>2244</v>
      </c>
      <c r="C4618" s="322"/>
      <c r="D4618" s="324" t="s">
        <v>2437</v>
      </c>
      <c r="E4618" s="319" t="s">
        <v>1435</v>
      </c>
      <c r="F4618" s="332"/>
      <c r="G4618" s="312">
        <f>ROUND(SUM(I4618:I4629),0)</f>
        <v>1032085</v>
      </c>
      <c r="H4618" s="326"/>
      <c r="I4618" s="312"/>
    </row>
    <row r="4619" spans="2:9" s="313" customFormat="1" ht="24.9" hidden="1" customHeight="1" x14ac:dyDescent="0.2">
      <c r="B4619" s="699" t="s">
        <v>1035</v>
      </c>
      <c r="C4619" s="322" t="str">
        <f>+'LISTA DE INSUMOS'!A46</f>
        <v>MAT017</v>
      </c>
      <c r="D4619" s="324" t="str">
        <f>+'LISTA DE INSUMOS'!B46</f>
        <v>Tabla para formaleta de 1" x 10" x 2,9 m</v>
      </c>
      <c r="E4619" s="322" t="str">
        <f>+'LISTA DE INSUMOS'!C46</f>
        <v>M</v>
      </c>
      <c r="F4619" s="325">
        <v>52</v>
      </c>
      <c r="G4619" s="312">
        <f>+'LISTA DE INSUMOS'!E46</f>
        <v>8112.0359999999991</v>
      </c>
      <c r="H4619" s="349">
        <f>1/3</f>
        <v>0.33333333333333331</v>
      </c>
      <c r="I4619" s="312">
        <f>ROUND((F4619*G4619*H4619),0)</f>
        <v>140609</v>
      </c>
    </row>
    <row r="4620" spans="2:9" s="313" customFormat="1" ht="24.9" hidden="1" customHeight="1" x14ac:dyDescent="0.2">
      <c r="B4620" s="699"/>
      <c r="C4620" s="322" t="str">
        <f>+'LISTA DE INSUMOS'!A51</f>
        <v>MAT020</v>
      </c>
      <c r="D4620" s="324" t="str">
        <f>+'LISTA DE INSUMOS'!B51</f>
        <v>Guadua basa longitud promedio = 5 m</v>
      </c>
      <c r="E4620" s="322" t="str">
        <f>+'LISTA DE INSUMOS'!C51</f>
        <v>Un</v>
      </c>
      <c r="F4620" s="325">
        <v>4</v>
      </c>
      <c r="G4620" s="312">
        <f>+'LISTA DE INSUMOS'!E51</f>
        <v>8662.3499999999985</v>
      </c>
      <c r="H4620" s="349">
        <f>1/3</f>
        <v>0.33333333333333331</v>
      </c>
      <c r="I4620" s="312">
        <f>ROUND((F4620*G4620*H4620),0)</f>
        <v>11550</v>
      </c>
    </row>
    <row r="4621" spans="2:9" s="313" customFormat="1" ht="24.9" hidden="1" customHeight="1" x14ac:dyDescent="0.2">
      <c r="B4621" s="699"/>
      <c r="C4621" s="322" t="str">
        <f>+'LISTA DE INSUMOS'!A52</f>
        <v>MAT021</v>
      </c>
      <c r="D4621" s="324" t="str">
        <f>+'LISTA DE INSUMOS'!B52</f>
        <v>Puntilla (promedio)</v>
      </c>
      <c r="E4621" s="322" t="str">
        <f>+'LISTA DE INSUMOS'!C52</f>
        <v>Lb</v>
      </c>
      <c r="F4621" s="321">
        <v>2</v>
      </c>
      <c r="G4621" s="312">
        <f>+'LISTA DE INSUMOS'!E52</f>
        <v>6690.6972299999998</v>
      </c>
      <c r="H4621" s="349">
        <v>0</v>
      </c>
      <c r="I4621" s="312">
        <f>ROUND((F4621*G4621),0)</f>
        <v>13381</v>
      </c>
    </row>
    <row r="4622" spans="2:9" s="313" customFormat="1" ht="24.9" hidden="1" customHeight="1" x14ac:dyDescent="0.2">
      <c r="B4622" s="699"/>
      <c r="C4622" s="322" t="str">
        <f>+'LISTA DE INSUMOS'!A53</f>
        <v>MAT022</v>
      </c>
      <c r="D4622" s="324" t="str">
        <f>+'LISTA DE INSUMOS'!B53</f>
        <v>Alambre negro calibre 17</v>
      </c>
      <c r="E4622" s="322" t="str">
        <f>+'LISTA DE INSUMOS'!C53</f>
        <v>Kg</v>
      </c>
      <c r="F4622" s="325">
        <v>2</v>
      </c>
      <c r="G4622" s="312">
        <f>+'LISTA DE INSUMOS'!E53</f>
        <v>7948.98</v>
      </c>
      <c r="H4622" s="322">
        <v>0</v>
      </c>
      <c r="I4622" s="312">
        <f>ROUND((F4622*G4622),0)</f>
        <v>15898</v>
      </c>
    </row>
    <row r="4623" spans="2:9" s="313" customFormat="1" ht="24.9" hidden="1" customHeight="1" x14ac:dyDescent="0.2">
      <c r="B4623" s="699"/>
      <c r="C4623" s="322" t="str">
        <f>+'LISTA DE INSUMOS'!A93</f>
        <v>MAT051</v>
      </c>
      <c r="D4623" s="324" t="str">
        <f>+'LISTA DE INSUMOS'!B93</f>
        <v>Antisol blanco</v>
      </c>
      <c r="E4623" s="322" t="str">
        <f>+'LISTA DE INSUMOS'!C93</f>
        <v>Kg</v>
      </c>
      <c r="F4623" s="325">
        <v>1.1000000000000001</v>
      </c>
      <c r="G4623" s="312">
        <f>+'LISTA DE INSUMOS'!E93</f>
        <v>11510.734499999999</v>
      </c>
      <c r="H4623" s="322">
        <v>1.03</v>
      </c>
      <c r="I4623" s="312">
        <f>ROUND((F4623*G4623*H4623),0)</f>
        <v>13042</v>
      </c>
    </row>
    <row r="4624" spans="2:9" s="313" customFormat="1" ht="19.5" hidden="1" customHeight="1" thickBot="1" x14ac:dyDescent="0.25">
      <c r="B4624" s="700"/>
      <c r="C4624" s="322" t="str">
        <f>+'LISTA DE INSUMOS'!A132</f>
        <v>MAT091</v>
      </c>
      <c r="D4624" s="324" t="str">
        <f>+'LISTA DE INSUMOS'!B132</f>
        <v>Varillón de sajo</v>
      </c>
      <c r="E4624" s="322" t="str">
        <f>+'LISTA DE INSUMOS'!C132</f>
        <v>M</v>
      </c>
      <c r="F4624" s="321">
        <v>6</v>
      </c>
      <c r="G4624" s="312">
        <f>+'LISTA DE INSUMOS'!E132</f>
        <v>2979.6450687603597</v>
      </c>
      <c r="H4624" s="349">
        <f>1/3</f>
        <v>0.33333333333333331</v>
      </c>
      <c r="I4624" s="312">
        <f>ROUND((F4624*G4624*H4624),0)</f>
        <v>5959</v>
      </c>
    </row>
    <row r="4625" spans="2:9" s="313" customFormat="1" ht="19.5" hidden="1" customHeight="1" thickTop="1" thickBot="1" x14ac:dyDescent="0.25">
      <c r="B4625" s="347" t="s">
        <v>1310</v>
      </c>
      <c r="C4625" s="322" t="str">
        <f>+B535</f>
        <v>ITE091</v>
      </c>
      <c r="D4625" s="324" t="str">
        <f>+D535</f>
        <v>Concreto de 27,6 Mpa (4000 psi) (producción)</v>
      </c>
      <c r="E4625" s="322" t="str">
        <f>+E535</f>
        <v>M3</v>
      </c>
      <c r="F4625" s="321">
        <f>(6*(0.4*0.4*1))+(0.4*0.4*0.4)</f>
        <v>1.0240000000000002</v>
      </c>
      <c r="G4625" s="312">
        <f>+G535</f>
        <v>643985</v>
      </c>
      <c r="H4625" s="349">
        <v>1.05</v>
      </c>
      <c r="I4625" s="312">
        <f>ROUND((F4625*G4625*H4625),0)</f>
        <v>692413</v>
      </c>
    </row>
    <row r="4626" spans="2:9" s="313" customFormat="1" ht="19.5" hidden="1" customHeight="1" thickTop="1" thickBot="1" x14ac:dyDescent="0.25">
      <c r="B4626" s="342" t="s">
        <v>1034</v>
      </c>
      <c r="C4626" s="322" t="str">
        <f>+'LISTA DE INSUMOS'!A20</f>
        <v>MOB017</v>
      </c>
      <c r="D4626" s="324" t="str">
        <f>+'LISTA DE INSUMOS'!B20</f>
        <v>Cuadrilla G 1 Of + 2 Ay (jornal + prestaciones)</v>
      </c>
      <c r="E4626" s="322" t="str">
        <f>+'LISTA DE INSUMOS'!C20</f>
        <v>Día</v>
      </c>
      <c r="F4626" s="325">
        <v>1</v>
      </c>
      <c r="G4626" s="312">
        <f>+'LISTA DE INSUMOS'!E20</f>
        <v>327445</v>
      </c>
      <c r="H4626" s="322">
        <v>0.3</v>
      </c>
      <c r="I4626" s="312">
        <f>ROUND((F4626*G4626*H4626),0)</f>
        <v>98234</v>
      </c>
    </row>
    <row r="4627" spans="2:9" s="313" customFormat="1" ht="19.5" hidden="1" customHeight="1" thickTop="1" x14ac:dyDescent="0.2">
      <c r="B4627" s="693" t="s">
        <v>1033</v>
      </c>
      <c r="C4627" s="322" t="str">
        <f>+'LISTA DE INSUMOS'!A758</f>
        <v>EQU002</v>
      </c>
      <c r="D4627" s="324" t="str">
        <f>+'LISTA DE INSUMOS'!B758</f>
        <v>Herramienta menor (% mano obra)</v>
      </c>
      <c r="E4627" s="322" t="str">
        <f>+'LISTA DE INSUMOS'!C758</f>
        <v>%MO</v>
      </c>
      <c r="F4627" s="325">
        <v>0.1</v>
      </c>
      <c r="G4627" s="312">
        <f>I4626</f>
        <v>98234</v>
      </c>
      <c r="H4627" s="322">
        <v>0</v>
      </c>
      <c r="I4627" s="312">
        <f>ROUND((F4627*G4627),0)</f>
        <v>9823</v>
      </c>
    </row>
    <row r="4628" spans="2:9" s="313" customFormat="1" ht="29.25" hidden="1" customHeight="1" thickBot="1" x14ac:dyDescent="0.25">
      <c r="B4628" s="658"/>
      <c r="C4628" s="338" t="str">
        <f>+'LISTA DE INSUMOS'!A775</f>
        <v>EQU018</v>
      </c>
      <c r="D4628" s="339" t="str">
        <f>+'LISTA DE INSUMOS'!B775</f>
        <v>Vibrador eléctrico o a gasolina</v>
      </c>
      <c r="E4628" s="322" t="str">
        <f>+'LISTA DE INSUMOS'!C775</f>
        <v>Día</v>
      </c>
      <c r="F4628" s="332">
        <v>3</v>
      </c>
      <c r="G4628" s="312">
        <f>+'LISTA DE INSUMOS'!E775</f>
        <v>42234.2781968536</v>
      </c>
      <c r="H4628" s="322">
        <v>0.2</v>
      </c>
      <c r="I4628" s="312">
        <f>ROUND((F4628*G4628*H4628),0)</f>
        <v>25341</v>
      </c>
    </row>
    <row r="4629" spans="2:9" s="313" customFormat="1" ht="19.5" hidden="1" customHeight="1" thickTop="1" thickBot="1" x14ac:dyDescent="0.25">
      <c r="B4629" s="343" t="s">
        <v>421</v>
      </c>
      <c r="C4629" s="329" t="str">
        <f>+'LISTA DE INSUMOS'!A823</f>
        <v>ESY001</v>
      </c>
      <c r="D4629" s="328" t="str">
        <f>+'LISTA DE INSUMOS'!B823</f>
        <v>Ensayo resistencia concretos (un testigo)</v>
      </c>
      <c r="E4629" s="329" t="str">
        <f>+'LISTA DE INSUMOS'!C823</f>
        <v>Un</v>
      </c>
      <c r="F4629" s="344">
        <v>1</v>
      </c>
      <c r="G4629" s="345">
        <f>+'LISTA DE INSUMOS'!E823</f>
        <v>29175.946249999997</v>
      </c>
      <c r="H4629" s="350">
        <v>0.2</v>
      </c>
      <c r="I4629" s="312">
        <f>ROUND((F4629*G4629*H4629),0)</f>
        <v>5835</v>
      </c>
    </row>
    <row r="4630" spans="2:9" s="313" customFormat="1" ht="36" customHeight="1" x14ac:dyDescent="0.2">
      <c r="B4630" s="117" t="s">
        <v>2345</v>
      </c>
      <c r="C4630" s="117"/>
      <c r="D4630" s="437" t="s">
        <v>2948</v>
      </c>
      <c r="E4630" s="117" t="s">
        <v>1435</v>
      </c>
      <c r="F4630" s="117"/>
      <c r="G4630" s="119">
        <f>SUM(I4631:I4636)</f>
        <v>1706016.5773738024</v>
      </c>
      <c r="H4630" s="117"/>
      <c r="I4630" s="117"/>
    </row>
    <row r="4631" spans="2:9" s="313" customFormat="1" ht="19.5" customHeight="1" x14ac:dyDescent="0.2">
      <c r="B4631" s="636" t="s">
        <v>1310</v>
      </c>
      <c r="C4631" s="484" t="str">
        <f>B115</f>
        <v>ITE024</v>
      </c>
      <c r="D4631" s="484" t="str">
        <f>D115</f>
        <v>Excavación en material común seco de 0 - 1,5 m manual</v>
      </c>
      <c r="E4631" s="486" t="s">
        <v>1432</v>
      </c>
      <c r="F4631" s="486">
        <v>1</v>
      </c>
      <c r="G4631" s="488">
        <f>G115</f>
        <v>32745</v>
      </c>
      <c r="H4631" s="488">
        <v>4.8099999999999996</v>
      </c>
      <c r="I4631" s="488">
        <f>H4631*G4631*F4631</f>
        <v>157503.44999999998</v>
      </c>
    </row>
    <row r="4632" spans="2:9" s="313" customFormat="1" ht="19.5" customHeight="1" x14ac:dyDescent="0.2">
      <c r="B4632" s="636"/>
      <c r="C4632" s="484" t="str">
        <f>B1511</f>
        <v>ITE169</v>
      </c>
      <c r="D4632" s="484" t="str">
        <f>D1511</f>
        <v>Muro en ladrillo tolete en soga</v>
      </c>
      <c r="E4632" s="486" t="s">
        <v>1424</v>
      </c>
      <c r="F4632" s="486">
        <v>1</v>
      </c>
      <c r="G4632" s="488">
        <f>G1511</f>
        <v>93257</v>
      </c>
      <c r="H4632" s="488">
        <v>9.42</v>
      </c>
      <c r="I4632" s="488">
        <f>H4632*G4632*F4632</f>
        <v>878480.94</v>
      </c>
    </row>
    <row r="4633" spans="2:9" s="313" customFormat="1" ht="19.5" customHeight="1" x14ac:dyDescent="0.2">
      <c r="B4633" s="636"/>
      <c r="C4633" s="484" t="str">
        <f>B4583</f>
        <v>ITE435</v>
      </c>
      <c r="D4633" s="484" t="str">
        <f>D4583</f>
        <v>Placa en concreto 20,7 Mpa (3000 psi) e=0,08 m incluye refuerzo</v>
      </c>
      <c r="E4633" s="486" t="s">
        <v>1424</v>
      </c>
      <c r="F4633" s="486">
        <v>1</v>
      </c>
      <c r="G4633" s="488">
        <f>G4583</f>
        <v>110237</v>
      </c>
      <c r="H4633" s="488">
        <v>4</v>
      </c>
      <c r="I4633" s="488">
        <f>H4633*G4633*F4633</f>
        <v>440948</v>
      </c>
    </row>
    <row r="4634" spans="2:9" s="313" customFormat="1" ht="27" customHeight="1" x14ac:dyDescent="0.2">
      <c r="B4634" s="657" t="s">
        <v>1325</v>
      </c>
      <c r="C4634" s="484" t="str">
        <f>'LISTA DE INSUMOS'!A720</f>
        <v>MAT734</v>
      </c>
      <c r="D4634" s="484" t="str">
        <f>'LISTA DE INSUMOS'!B720</f>
        <v>Kit de herrajes para tapas de angulo de 0,60x0,60x1/8"x1 1/2"-1 1/4" para STARD</v>
      </c>
      <c r="E4634" s="486" t="s">
        <v>1435</v>
      </c>
      <c r="F4634" s="486">
        <v>1</v>
      </c>
      <c r="G4634" s="488">
        <f>'LISTA DE INSUMOS'!E720</f>
        <v>185757.61176273372</v>
      </c>
      <c r="H4634" s="488">
        <v>1</v>
      </c>
      <c r="I4634" s="488">
        <f>H4634*G4634*F4634</f>
        <v>185757.61176273372</v>
      </c>
    </row>
    <row r="4635" spans="2:9" s="313" customFormat="1" ht="19.5" customHeight="1" thickBot="1" x14ac:dyDescent="0.25">
      <c r="B4635" s="657" t="s">
        <v>1325</v>
      </c>
      <c r="C4635" s="484" t="str">
        <f>'LISTA DE INSUMOS'!A33</f>
        <v>MAT004</v>
      </c>
      <c r="D4635" s="484" t="str">
        <f>'LISTA DE INSUMOS'!B33</f>
        <v>Gravilla de río y/o triturado</v>
      </c>
      <c r="E4635" s="486" t="s">
        <v>1432</v>
      </c>
      <c r="F4635" s="486">
        <v>1</v>
      </c>
      <c r="G4635" s="488">
        <f>'LISTA DE INSUMOS'!E33</f>
        <v>112536.56002875</v>
      </c>
      <c r="H4635" s="488">
        <v>0.35</v>
      </c>
      <c r="I4635" s="488">
        <f>H4635*G4635*F4635</f>
        <v>39387.796010062499</v>
      </c>
    </row>
    <row r="4636" spans="2:9" s="313" customFormat="1" ht="19.5" customHeight="1" thickTop="1" thickBot="1" x14ac:dyDescent="0.25">
      <c r="B4636" s="150" t="s">
        <v>1033</v>
      </c>
      <c r="C4636" s="484" t="s">
        <v>1017</v>
      </c>
      <c r="D4636" s="484" t="s">
        <v>1029</v>
      </c>
      <c r="E4636" s="486" t="s">
        <v>2066</v>
      </c>
      <c r="F4636" s="486">
        <v>0.1</v>
      </c>
      <c r="G4636" s="488">
        <f>I4635</f>
        <v>39387.796010062499</v>
      </c>
      <c r="H4636" s="488">
        <v>0</v>
      </c>
      <c r="I4636" s="488">
        <f>G4636*F4636</f>
        <v>3938.7796010062502</v>
      </c>
    </row>
    <row r="4637" spans="2:9" s="313" customFormat="1" ht="42" customHeight="1" x14ac:dyDescent="0.2">
      <c r="B4637" s="230" t="s">
        <v>1751</v>
      </c>
      <c r="C4637" s="117"/>
      <c r="D4637" s="437" t="s">
        <v>2949</v>
      </c>
      <c r="E4637" s="117" t="s">
        <v>1412</v>
      </c>
      <c r="F4637" s="117"/>
      <c r="G4637" s="119">
        <f>SUM(I4638:I4645)</f>
        <v>70635.505499335006</v>
      </c>
      <c r="H4637" s="117"/>
      <c r="I4637" s="117"/>
    </row>
    <row r="4638" spans="2:9" s="313" customFormat="1" ht="29.25" customHeight="1" x14ac:dyDescent="0.2">
      <c r="B4638" s="485" t="s">
        <v>1310</v>
      </c>
      <c r="C4638" s="484" t="s">
        <v>1881</v>
      </c>
      <c r="D4638" s="484" t="s">
        <v>2950</v>
      </c>
      <c r="E4638" s="486" t="s">
        <v>1432</v>
      </c>
      <c r="F4638" s="486">
        <v>1</v>
      </c>
      <c r="G4638" s="488">
        <f>G115</f>
        <v>32745</v>
      </c>
      <c r="H4638" s="488">
        <v>0.24</v>
      </c>
      <c r="I4638" s="488">
        <f t="shared" ref="I4638:I4644" si="37">H4638*G4638*F4638</f>
        <v>7858.7999999999993</v>
      </c>
    </row>
    <row r="4639" spans="2:9" s="313" customFormat="1" ht="19.5" customHeight="1" x14ac:dyDescent="0.2">
      <c r="B4639" s="657" t="s">
        <v>1325</v>
      </c>
      <c r="C4639" s="484" t="str">
        <f>'LISTA DE INSUMOS'!A192</f>
        <v>MAT150</v>
      </c>
      <c r="D4639" s="484" t="str">
        <f>'LISTA DE INSUMOS'!B192</f>
        <v>Tubería PVC corrugada perforada de 100 mm (4")</v>
      </c>
      <c r="E4639" s="486" t="s">
        <v>1412</v>
      </c>
      <c r="F4639" s="486">
        <v>1</v>
      </c>
      <c r="G4639" s="488">
        <f>'LISTA DE INSUMOS'!E192</f>
        <v>19726.551414735</v>
      </c>
      <c r="H4639" s="488">
        <v>1</v>
      </c>
      <c r="I4639" s="488">
        <f t="shared" si="37"/>
        <v>19726.551414735</v>
      </c>
    </row>
    <row r="4640" spans="2:9" s="313" customFormat="1" ht="19.5" customHeight="1" x14ac:dyDescent="0.2">
      <c r="B4640" s="657" t="s">
        <v>1325</v>
      </c>
      <c r="C4640" s="484" t="str">
        <f>'LISTA DE INSUMOS'!A165</f>
        <v>MAT120</v>
      </c>
      <c r="D4640" s="484" t="str">
        <f>'LISTA DE INSUMOS'!B165</f>
        <v>Geotextil no tejido 1,600 a = 3,50 m</v>
      </c>
      <c r="E4640" s="486" t="s">
        <v>1424</v>
      </c>
      <c r="F4640" s="486">
        <v>1</v>
      </c>
      <c r="G4640" s="488">
        <f>'LISTA DE INSUMOS'!E165</f>
        <v>3843.0260999999996</v>
      </c>
      <c r="H4640" s="488">
        <v>1.8</v>
      </c>
      <c r="I4640" s="488">
        <f t="shared" si="37"/>
        <v>6917.4469799999997</v>
      </c>
    </row>
    <row r="4641" spans="2:9" s="313" customFormat="1" ht="19.5" customHeight="1" x14ac:dyDescent="0.2">
      <c r="B4641" s="117" t="s">
        <v>1310</v>
      </c>
      <c r="C4641" s="484" t="str">
        <f>B253</f>
        <v>ITE043</v>
      </c>
      <c r="D4641" s="484" t="str">
        <f>D253</f>
        <v>Lleno compactado con material del sitio manual</v>
      </c>
      <c r="E4641" s="486" t="s">
        <v>1432</v>
      </c>
      <c r="F4641" s="486">
        <v>1</v>
      </c>
      <c r="G4641" s="488">
        <f>G253</f>
        <v>36417</v>
      </c>
      <c r="H4641" s="488">
        <v>0.08</v>
      </c>
      <c r="I4641" s="488">
        <f t="shared" si="37"/>
        <v>2913.36</v>
      </c>
    </row>
    <row r="4642" spans="2:9" s="313" customFormat="1" ht="19.5" customHeight="1" thickBot="1" x14ac:dyDescent="0.25">
      <c r="B4642" s="175" t="s">
        <v>1325</v>
      </c>
      <c r="C4642" s="484" t="str">
        <f>'LISTA DE INSUMOS'!A33</f>
        <v>MAT004</v>
      </c>
      <c r="D4642" s="484" t="str">
        <f>'LISTA DE INSUMOS'!B33</f>
        <v>Gravilla de río y/o triturado</v>
      </c>
      <c r="E4642" s="486" t="s">
        <v>1432</v>
      </c>
      <c r="F4642" s="486">
        <v>1</v>
      </c>
      <c r="G4642" s="488">
        <f>'LISTA DE INSUMOS'!E33</f>
        <v>112536.56002875</v>
      </c>
      <c r="H4642" s="488">
        <v>0.16</v>
      </c>
      <c r="I4642" s="488">
        <f t="shared" si="37"/>
        <v>18005.8496046</v>
      </c>
    </row>
    <row r="4643" spans="2:9" s="313" customFormat="1" ht="24" customHeight="1" thickTop="1" x14ac:dyDescent="0.2">
      <c r="B4643" s="117" t="s">
        <v>1310</v>
      </c>
      <c r="C4643" s="484" t="str">
        <f>B1066</f>
        <v>ITE134</v>
      </c>
      <c r="D4643" s="484" t="str">
        <f>D1066</f>
        <v>Caja de inspección de 0,50 x 0,50 x 0,50  m en concreto de 17,2 Mpa, tapa reforzada en concreto de 20,7 Mpa</v>
      </c>
      <c r="E4643" s="486" t="s">
        <v>1435</v>
      </c>
      <c r="F4643" s="486">
        <v>1</v>
      </c>
      <c r="G4643" s="488">
        <f>G1066</f>
        <v>321334</v>
      </c>
      <c r="H4643" s="488">
        <v>3.3333333333333333E-2</v>
      </c>
      <c r="I4643" s="488">
        <f t="shared" si="37"/>
        <v>10711.133333333333</v>
      </c>
    </row>
    <row r="4644" spans="2:9" s="313" customFormat="1" ht="24" customHeight="1" thickBot="1" x14ac:dyDescent="0.25">
      <c r="B4644" s="479" t="s">
        <v>2527</v>
      </c>
      <c r="C4644" s="484" t="str">
        <f>'LISTA DE INSUMOS'!A9</f>
        <v>MOB006</v>
      </c>
      <c r="D4644" s="484" t="str">
        <f>'LISTA DE INSUMOS'!B9</f>
        <v>Cuadrilla A 1 Of + 4 Ay (jornal + prestaciones)</v>
      </c>
      <c r="E4644" s="108" t="s">
        <v>2947</v>
      </c>
      <c r="F4644" s="486">
        <v>1</v>
      </c>
      <c r="G4644" s="141">
        <f>'LISTA DE INSUMOS'!E9</f>
        <v>491167</v>
      </c>
      <c r="H4644" s="488">
        <f>1/120</f>
        <v>8.3333333333333332E-3</v>
      </c>
      <c r="I4644" s="190">
        <f t="shared" si="37"/>
        <v>4093.0583333333334</v>
      </c>
    </row>
    <row r="4645" spans="2:9" s="313" customFormat="1" ht="19.5" customHeight="1" thickTop="1" thickBot="1" x14ac:dyDescent="0.25">
      <c r="B4645" s="150" t="s">
        <v>1033</v>
      </c>
      <c r="C4645" s="484" t="s">
        <v>1017</v>
      </c>
      <c r="D4645" s="484" t="s">
        <v>1029</v>
      </c>
      <c r="E4645" s="486" t="s">
        <v>2066</v>
      </c>
      <c r="F4645" s="486">
        <v>0.1</v>
      </c>
      <c r="G4645" s="488">
        <f>I4644</f>
        <v>4093.0583333333334</v>
      </c>
      <c r="H4645" s="488">
        <v>0</v>
      </c>
      <c r="I4645" s="190">
        <f>G4645*F4645</f>
        <v>409.30583333333334</v>
      </c>
    </row>
    <row r="4646" spans="2:9" s="313" customFormat="1" ht="61.5" customHeight="1" x14ac:dyDescent="0.2">
      <c r="B4646" s="117" t="s">
        <v>1892</v>
      </c>
      <c r="C4646" s="483"/>
      <c r="D4646" s="483" t="s">
        <v>2427</v>
      </c>
      <c r="E4646" s="117" t="s">
        <v>1435</v>
      </c>
      <c r="F4646" s="117"/>
      <c r="G4646" s="119">
        <f>SUM(I4647:I4658)</f>
        <v>9318310.580974834</v>
      </c>
      <c r="H4646" s="117"/>
      <c r="I4646" s="117"/>
    </row>
    <row r="4647" spans="2:9" s="313" customFormat="1" ht="25.5" customHeight="1" x14ac:dyDescent="0.2">
      <c r="B4647" s="678" t="s">
        <v>1325</v>
      </c>
      <c r="C4647" s="108" t="s">
        <v>2644</v>
      </c>
      <c r="D4647" s="225" t="s">
        <v>2645</v>
      </c>
      <c r="E4647" s="108" t="s">
        <v>1435</v>
      </c>
      <c r="F4647" s="108">
        <v>1</v>
      </c>
      <c r="G4647" s="108">
        <f>'LISTA DE INSUMOS'!E670</f>
        <v>67017.345009125274</v>
      </c>
      <c r="H4647" s="108">
        <v>0</v>
      </c>
      <c r="I4647" s="108">
        <v>51940</v>
      </c>
    </row>
    <row r="4648" spans="2:9" s="313" customFormat="1" ht="19.5" customHeight="1" x14ac:dyDescent="0.2">
      <c r="B4648" s="678"/>
      <c r="C4648" s="108" t="s">
        <v>2647</v>
      </c>
      <c r="D4648" s="155" t="str">
        <f>'LISTA DE INSUMOS'!B669</f>
        <v>Transporte STARD, materiales y accesorios</v>
      </c>
      <c r="E4648" s="108" t="str">
        <f>'LISTA DE INSUMOS'!C669</f>
        <v>%MAT</v>
      </c>
      <c r="F4648" s="108">
        <v>10</v>
      </c>
      <c r="G4648" s="108">
        <f>I4647+I4649+I4650+I4651+I4652+I4653+I4654+I4655+I4656+I4657+I4658</f>
        <v>8471191.4372498486</v>
      </c>
      <c r="H4648" s="108">
        <v>0</v>
      </c>
      <c r="I4648" s="108">
        <f>G4648*F4648/100</f>
        <v>847119.14372498484</v>
      </c>
    </row>
    <row r="4649" spans="2:9" s="313" customFormat="1" ht="19.5" customHeight="1" x14ac:dyDescent="0.2">
      <c r="B4649" s="678"/>
      <c r="C4649" s="108" t="s">
        <v>2646</v>
      </c>
      <c r="D4649" s="155" t="s">
        <v>2418</v>
      </c>
      <c r="E4649" s="108" t="s">
        <v>1435</v>
      </c>
      <c r="F4649" s="108">
        <v>3</v>
      </c>
      <c r="G4649" s="108">
        <f>'LISTA DE INSUMOS'!E678</f>
        <v>250256.72334969603</v>
      </c>
      <c r="H4649" s="108">
        <v>0</v>
      </c>
      <c r="I4649" s="108">
        <f>F4649*G4649</f>
        <v>750770.17004908808</v>
      </c>
    </row>
    <row r="4650" spans="2:9" s="313" customFormat="1" ht="19.5" customHeight="1" x14ac:dyDescent="0.2">
      <c r="B4650" s="678"/>
      <c r="C4650" s="108" t="s">
        <v>131</v>
      </c>
      <c r="D4650" s="155" t="s">
        <v>2419</v>
      </c>
      <c r="E4650" s="108" t="s">
        <v>1412</v>
      </c>
      <c r="F4650" s="108">
        <v>20</v>
      </c>
      <c r="G4650" s="108">
        <f>'LISTA DE INSUMOS'!E679</f>
        <v>7572.7076748578629</v>
      </c>
      <c r="H4650" s="108">
        <v>0</v>
      </c>
      <c r="I4650" s="108">
        <f t="shared" ref="I4650:I4657" si="38">G4650*F4650</f>
        <v>151454.15349715727</v>
      </c>
    </row>
    <row r="4651" spans="2:9" s="313" customFormat="1" ht="38.25" customHeight="1" x14ac:dyDescent="0.2">
      <c r="B4651" s="636" t="s">
        <v>1310</v>
      </c>
      <c r="C4651" s="108" t="str">
        <f>'LISTA DE INSUMOS'!A723</f>
        <v>MAT736</v>
      </c>
      <c r="D4651" s="484" t="str">
        <f>'LISTA DE INSUMOS'!B721</f>
        <v>Tanque Séptico Imhoff Integrado Horizontal 2000 Litros Tapa Acce. Dec. Verde Colempaques inc dos camaras y filtro anaerobio de flujo ascendente</v>
      </c>
      <c r="E4651" s="108" t="s">
        <v>1435</v>
      </c>
      <c r="F4651" s="108">
        <v>1</v>
      </c>
      <c r="G4651" s="108">
        <f>'LISTA DE INSUMOS'!E721</f>
        <v>4258063.3156168796</v>
      </c>
      <c r="H4651" s="108">
        <v>0</v>
      </c>
      <c r="I4651" s="108">
        <f t="shared" si="38"/>
        <v>4258063.3156168796</v>
      </c>
    </row>
    <row r="4652" spans="2:9" s="313" customFormat="1" ht="19.5" customHeight="1" x14ac:dyDescent="0.2">
      <c r="B4652" s="636"/>
      <c r="C4652" s="108" t="str">
        <f>'LISTA DE INSUMOS'!A144</f>
        <v>MAT103</v>
      </c>
      <c r="D4652" s="139" t="str">
        <f>'LISTA DE INSUMOS'!B144</f>
        <v>Tubería PVC sanitaria de 2"</v>
      </c>
      <c r="E4652" s="108" t="s">
        <v>1412</v>
      </c>
      <c r="F4652" s="108">
        <v>12</v>
      </c>
      <c r="G4652" s="487">
        <f>'LISTA DE INSUMOS'!E144</f>
        <v>16397.123332799998</v>
      </c>
      <c r="H4652" s="108">
        <v>0</v>
      </c>
      <c r="I4652" s="108">
        <f t="shared" si="38"/>
        <v>196765.47999359999</v>
      </c>
    </row>
    <row r="4653" spans="2:9" s="313" customFormat="1" ht="19.5" customHeight="1" x14ac:dyDescent="0.2">
      <c r="B4653" s="636"/>
      <c r="C4653" s="108" t="str">
        <f>'LISTA DE INSUMOS'!A145</f>
        <v>MAT104</v>
      </c>
      <c r="D4653" s="139" t="str">
        <f>'LISTA DE INSUMOS'!B145</f>
        <v>Tubería PVC sanitaria de 4"</v>
      </c>
      <c r="E4653" s="108" t="s">
        <v>1412</v>
      </c>
      <c r="F4653" s="108">
        <v>18</v>
      </c>
      <c r="G4653" s="487">
        <f>'LISTA DE INSUMOS'!E145</f>
        <v>34443.320315599995</v>
      </c>
      <c r="H4653" s="108">
        <v>0</v>
      </c>
      <c r="I4653" s="108">
        <f t="shared" si="38"/>
        <v>619979.76568079996</v>
      </c>
    </row>
    <row r="4654" spans="2:9" s="313" customFormat="1" ht="19.5" customHeight="1" x14ac:dyDescent="0.2">
      <c r="B4654" s="636"/>
      <c r="C4654" s="108" t="str">
        <f>'LISTA DE INSUMOS'!A339</f>
        <v>MAT326</v>
      </c>
      <c r="D4654" s="139" t="str">
        <f>'LISTA DE INSUMOS'!B339</f>
        <v>Accesorios PVC sanitaria 4" promedio</v>
      </c>
      <c r="E4654" s="108" t="s">
        <v>1432</v>
      </c>
      <c r="F4654" s="108">
        <v>6</v>
      </c>
      <c r="G4654" s="487">
        <f>'LISTA DE INSUMOS'!E339</f>
        <v>16128.5236624512</v>
      </c>
      <c r="H4654" s="108">
        <v>0</v>
      </c>
      <c r="I4654" s="108">
        <f t="shared" si="38"/>
        <v>96771.141974707192</v>
      </c>
    </row>
    <row r="4655" spans="2:9" s="313" customFormat="1" ht="19.5" customHeight="1" x14ac:dyDescent="0.2">
      <c r="B4655" s="636"/>
      <c r="C4655" s="108" t="str">
        <f>'LISTA DE INSUMOS'!A345</f>
        <v>MAT334</v>
      </c>
      <c r="D4655" s="139" t="str">
        <f>'LISTA DE INSUMOS'!B345</f>
        <v>Accesorios PVC sanitaria 2" promedio</v>
      </c>
      <c r="E4655" s="108" t="s">
        <v>1432</v>
      </c>
      <c r="F4655" s="108">
        <v>5</v>
      </c>
      <c r="G4655" s="487">
        <f>'LISTA DE INSUMOS'!E345</f>
        <v>6254.9723178095992</v>
      </c>
      <c r="H4655" s="108">
        <v>0</v>
      </c>
      <c r="I4655" s="108">
        <f t="shared" si="38"/>
        <v>31274.861589047996</v>
      </c>
    </row>
    <row r="4656" spans="2:9" s="313" customFormat="1" ht="19.5" customHeight="1" x14ac:dyDescent="0.2">
      <c r="B4656" s="636"/>
      <c r="C4656" s="108" t="s">
        <v>1849</v>
      </c>
      <c r="D4656" s="155" t="s">
        <v>213</v>
      </c>
      <c r="E4656" s="108" t="s">
        <v>1435</v>
      </c>
      <c r="F4656" s="108">
        <v>3</v>
      </c>
      <c r="G4656" s="487">
        <f>G1066</f>
        <v>321334</v>
      </c>
      <c r="H4656" s="108">
        <v>0</v>
      </c>
      <c r="I4656" s="108">
        <f t="shared" si="38"/>
        <v>964002</v>
      </c>
    </row>
    <row r="4657" spans="2:9" s="313" customFormat="1" ht="19.5" customHeight="1" x14ac:dyDescent="0.2">
      <c r="B4657" s="636"/>
      <c r="C4657" s="108" t="s">
        <v>1660</v>
      </c>
      <c r="D4657" s="155" t="s">
        <v>2420</v>
      </c>
      <c r="E4657" s="108" t="s">
        <v>1424</v>
      </c>
      <c r="F4657" s="108">
        <v>8</v>
      </c>
      <c r="G4657" s="108">
        <f>G4583</f>
        <v>110237</v>
      </c>
      <c r="H4657" s="108">
        <v>0</v>
      </c>
      <c r="I4657" s="108">
        <f t="shared" si="38"/>
        <v>881896</v>
      </c>
    </row>
    <row r="4658" spans="2:9" s="313" customFormat="1" ht="19.5" customHeight="1" thickBot="1" x14ac:dyDescent="0.25">
      <c r="B4658" s="637"/>
      <c r="C4658" s="108" t="str">
        <f>'LISTA DE INSUMOS'!A722</f>
        <v>MAT735-1</v>
      </c>
      <c r="D4658" s="155" t="str">
        <f>'LISTA DE INSUMOS'!B722</f>
        <v>Tanque con tapa parar separar las grasas y jabones 95 lts</v>
      </c>
      <c r="E4658" s="108" t="s">
        <v>2946</v>
      </c>
      <c r="F4658" s="108">
        <v>1</v>
      </c>
      <c r="G4658" s="108">
        <f>'LISTA DE INSUMOS'!E722</f>
        <v>468274.54884856794</v>
      </c>
      <c r="H4658" s="108">
        <v>1</v>
      </c>
      <c r="I4658" s="108">
        <f>H4658*G4658</f>
        <v>468274.54884856794</v>
      </c>
    </row>
    <row r="4659" spans="2:9" s="313" customFormat="1" ht="46.5" customHeight="1" x14ac:dyDescent="0.2">
      <c r="B4659" s="117" t="s">
        <v>3260</v>
      </c>
      <c r="C4659" s="483"/>
      <c r="D4659" s="483" t="s">
        <v>3290</v>
      </c>
      <c r="E4659" s="117" t="s">
        <v>1435</v>
      </c>
      <c r="F4659" s="117"/>
      <c r="G4659" s="119">
        <f>SUM(I4660:I4673)</f>
        <v>10453520.4422487</v>
      </c>
      <c r="H4659" s="117"/>
      <c r="I4659" s="117"/>
    </row>
    <row r="4660" spans="2:9" s="313" customFormat="1" ht="32.25" customHeight="1" x14ac:dyDescent="0.2">
      <c r="B4660" s="678" t="s">
        <v>1325</v>
      </c>
      <c r="C4660" s="108" t="s">
        <v>2644</v>
      </c>
      <c r="D4660" s="225" t="s">
        <v>2645</v>
      </c>
      <c r="E4660" s="108" t="s">
        <v>1435</v>
      </c>
      <c r="F4660" s="108">
        <v>1</v>
      </c>
      <c r="G4660" s="108">
        <f>'LISTA DE INSUMOS'!E670</f>
        <v>67017.345009125274</v>
      </c>
      <c r="H4660" s="108">
        <v>1</v>
      </c>
      <c r="I4660" s="108">
        <f>F4660*G4660*H4660</f>
        <v>67017.345009125274</v>
      </c>
    </row>
    <row r="4661" spans="2:9" s="313" customFormat="1" ht="19.5" customHeight="1" x14ac:dyDescent="0.2">
      <c r="B4661" s="678"/>
      <c r="C4661" s="108" t="s">
        <v>2647</v>
      </c>
      <c r="D4661" s="155" t="str">
        <f>'LISTA DE INSUMOS'!B669</f>
        <v>Transporte STARD, materiales y accesorios</v>
      </c>
      <c r="E4661" s="108" t="s">
        <v>3146</v>
      </c>
      <c r="F4661" s="108">
        <v>10</v>
      </c>
      <c r="G4661" s="108">
        <f>I4660+I4663+I4664+I4665+I4666+I4670+I4671+I4673+4665</f>
        <v>8688430.2384079099</v>
      </c>
      <c r="H4661" s="108">
        <v>0</v>
      </c>
      <c r="I4661" s="108">
        <f>G4661*F4661/100</f>
        <v>868843.02384079096</v>
      </c>
    </row>
    <row r="4662" spans="2:9" s="313" customFormat="1" ht="19.5" customHeight="1" x14ac:dyDescent="0.2">
      <c r="B4662" s="678"/>
      <c r="C4662" s="108"/>
      <c r="D4662" s="155" t="str">
        <f>'LISTA DE INSUMOS'!B128</f>
        <v>Bacteria trampa grasas o septico</v>
      </c>
      <c r="E4662" s="108" t="s">
        <v>2946</v>
      </c>
      <c r="F4662" s="108">
        <v>2</v>
      </c>
      <c r="G4662" s="108">
        <f>'LISTA DE INSUMOS'!E128</f>
        <v>40662.089999999997</v>
      </c>
      <c r="H4662" s="108">
        <v>1</v>
      </c>
      <c r="I4662" s="108">
        <f>G4662*F4662*H4662</f>
        <v>81324.179999999993</v>
      </c>
    </row>
    <row r="4663" spans="2:9" s="313" customFormat="1" ht="19.5" customHeight="1" x14ac:dyDescent="0.2">
      <c r="B4663" s="678"/>
      <c r="C4663" s="108" t="s">
        <v>2646</v>
      </c>
      <c r="D4663" s="155" t="s">
        <v>2418</v>
      </c>
      <c r="E4663" s="108" t="s">
        <v>1435</v>
      </c>
      <c r="F4663" s="108">
        <v>4</v>
      </c>
      <c r="G4663" s="108">
        <f>'LISTA DE INSUMOS'!E678</f>
        <v>250256.72334969603</v>
      </c>
      <c r="H4663" s="108">
        <v>0</v>
      </c>
      <c r="I4663" s="108">
        <f>F4663*G4663</f>
        <v>1001026.8933987841</v>
      </c>
    </row>
    <row r="4664" spans="2:9" s="313" customFormat="1" ht="56.25" customHeight="1" x14ac:dyDescent="0.2">
      <c r="B4664" s="636" t="s">
        <v>1310</v>
      </c>
      <c r="C4664" s="108" t="str">
        <f>'LISTA DE INSUMOS'!A677</f>
        <v>MAT688-3</v>
      </c>
      <c r="D4664" s="484" t="str">
        <f>D4601</f>
        <v>Suministro e instalación kit Sistema de Tratamineto de Aguas Residuales Domomesticas Prefabricado de 5000 lts, incluye trampa de grasas de 250 lts, tanque séptico de 2000 lts, tanque anaeróbico de 2000 lts y falso fondo</v>
      </c>
      <c r="E4664" s="108" t="s">
        <v>1435</v>
      </c>
      <c r="F4664" s="108">
        <v>1</v>
      </c>
      <c r="G4664" s="108">
        <f>G4601</f>
        <v>3237521</v>
      </c>
      <c r="H4664" s="108">
        <v>0</v>
      </c>
      <c r="I4664" s="108">
        <f t="shared" ref="I4664:I4672" si="39">G4664*F4664</f>
        <v>3237521</v>
      </c>
    </row>
    <row r="4665" spans="2:9" s="313" customFormat="1" ht="19.5" customHeight="1" x14ac:dyDescent="0.2">
      <c r="B4665" s="636"/>
      <c r="C4665" s="108" t="str">
        <f>'LISTA DE INSUMOS'!A144</f>
        <v>MAT103</v>
      </c>
      <c r="D4665" s="139" t="str">
        <f>D3456</f>
        <v>Tubería PVC sanitaria de 2", incluye accesorios</v>
      </c>
      <c r="E4665" s="108" t="s">
        <v>1412</v>
      </c>
      <c r="F4665" s="108">
        <v>12</v>
      </c>
      <c r="G4665" s="487">
        <f>G3456</f>
        <v>38029</v>
      </c>
      <c r="H4665" s="108">
        <v>0</v>
      </c>
      <c r="I4665" s="108">
        <f t="shared" si="39"/>
        <v>456348</v>
      </c>
    </row>
    <row r="4666" spans="2:9" s="313" customFormat="1" ht="19.5" customHeight="1" x14ac:dyDescent="0.2">
      <c r="B4666" s="636"/>
      <c r="C4666" s="108" t="str">
        <f>'LISTA DE INSUMOS'!A145</f>
        <v>MAT104</v>
      </c>
      <c r="D4666" s="139" t="str">
        <f>D3470</f>
        <v>Tubería PVC sanitaria de 4", incluye accesorios</v>
      </c>
      <c r="E4666" s="108" t="s">
        <v>1412</v>
      </c>
      <c r="F4666" s="108">
        <v>18</v>
      </c>
      <c r="G4666" s="487">
        <f>G3470</f>
        <v>65630</v>
      </c>
      <c r="H4666" s="108">
        <v>0</v>
      </c>
      <c r="I4666" s="108">
        <f t="shared" si="39"/>
        <v>1181340</v>
      </c>
    </row>
    <row r="4667" spans="2:9" s="313" customFormat="1" ht="19.5" customHeight="1" x14ac:dyDescent="0.2">
      <c r="B4667" s="636"/>
      <c r="C4667" s="108" t="str">
        <f>B115</f>
        <v>ITE024</v>
      </c>
      <c r="D4667" s="139" t="str">
        <f>D115</f>
        <v>Excavación en material común seco de 0 - 1,5 m manual</v>
      </c>
      <c r="E4667" s="108" t="s">
        <v>1432</v>
      </c>
      <c r="F4667" s="108">
        <v>10.5</v>
      </c>
      <c r="G4667" s="487">
        <f>G115</f>
        <v>32745</v>
      </c>
      <c r="H4667" s="108">
        <v>1</v>
      </c>
      <c r="I4667" s="108">
        <f>G4667*F4667</f>
        <v>343822.5</v>
      </c>
    </row>
    <row r="4668" spans="2:9" s="313" customFormat="1" ht="19.5" customHeight="1" x14ac:dyDescent="0.2">
      <c r="B4668" s="636"/>
      <c r="C4668" s="108"/>
      <c r="D4668" s="139" t="str">
        <f>D151</f>
        <v>Excavación en conglomerado seco de 0 - 1,5 m manual</v>
      </c>
      <c r="E4668" s="108" t="s">
        <v>1432</v>
      </c>
      <c r="F4668" s="108">
        <v>4.5</v>
      </c>
      <c r="G4668" s="487">
        <f>G151</f>
        <v>47071</v>
      </c>
      <c r="H4668" s="108">
        <v>1</v>
      </c>
      <c r="I4668" s="108">
        <f>G4668*F4668</f>
        <v>211819.5</v>
      </c>
    </row>
    <row r="4669" spans="2:9" s="313" customFormat="1" ht="19.5" customHeight="1" x14ac:dyDescent="0.2">
      <c r="B4669" s="636"/>
      <c r="C4669" s="108" t="str">
        <f>B253</f>
        <v>ITE043</v>
      </c>
      <c r="D4669" s="139" t="str">
        <f>D253</f>
        <v>Lleno compactado con material del sitio manual</v>
      </c>
      <c r="E4669" s="108" t="s">
        <v>1432</v>
      </c>
      <c r="F4669" s="108">
        <v>5</v>
      </c>
      <c r="G4669" s="487">
        <f>G253</f>
        <v>36417</v>
      </c>
      <c r="H4669" s="108">
        <v>1</v>
      </c>
      <c r="I4669" s="108">
        <f>G4669*F4669</f>
        <v>182085</v>
      </c>
    </row>
    <row r="4670" spans="2:9" s="313" customFormat="1" ht="19.5" customHeight="1" x14ac:dyDescent="0.2">
      <c r="B4670" s="636"/>
      <c r="C4670" s="108" t="s">
        <v>1849</v>
      </c>
      <c r="D4670" s="155" t="s">
        <v>213</v>
      </c>
      <c r="E4670" s="108" t="s">
        <v>1435</v>
      </c>
      <c r="F4670" s="108">
        <v>2</v>
      </c>
      <c r="G4670" s="487">
        <f>G1066</f>
        <v>321334</v>
      </c>
      <c r="H4670" s="108">
        <v>0</v>
      </c>
      <c r="I4670" s="108">
        <f t="shared" si="39"/>
        <v>642668</v>
      </c>
    </row>
    <row r="4671" spans="2:9" s="313" customFormat="1" ht="19.5" customHeight="1" x14ac:dyDescent="0.2">
      <c r="B4671" s="636"/>
      <c r="C4671" s="108" t="s">
        <v>1660</v>
      </c>
      <c r="D4671" s="155" t="s">
        <v>2420</v>
      </c>
      <c r="E4671" s="108" t="s">
        <v>1424</v>
      </c>
      <c r="F4671" s="108">
        <v>12</v>
      </c>
      <c r="G4671" s="108">
        <f>G4583</f>
        <v>110237</v>
      </c>
      <c r="H4671" s="108">
        <v>0</v>
      </c>
      <c r="I4671" s="108">
        <f t="shared" si="39"/>
        <v>1322844</v>
      </c>
    </row>
    <row r="4672" spans="2:9" s="313" customFormat="1" ht="19.5" customHeight="1" x14ac:dyDescent="0.2">
      <c r="B4672" s="636"/>
      <c r="C4672" s="108"/>
      <c r="D4672" s="155" t="str">
        <f>'ANÁLISIS MANO DE OBRA'!A61</f>
        <v>Transporte a hombro ( Cg /km)</v>
      </c>
      <c r="E4672" s="108" t="s">
        <v>2426</v>
      </c>
      <c r="F4672" s="108">
        <v>1</v>
      </c>
      <c r="G4672" s="108">
        <f>'ANÁLISIS MANO DE OBRA'!E60</f>
        <v>81861</v>
      </c>
      <c r="H4672" s="108">
        <v>1</v>
      </c>
      <c r="I4672" s="108">
        <f t="shared" si="39"/>
        <v>81861</v>
      </c>
    </row>
    <row r="4673" spans="2:9" s="313" customFormat="1" ht="19.5" customHeight="1" thickBot="1" x14ac:dyDescent="0.25">
      <c r="B4673" s="637"/>
      <c r="C4673" s="108" t="str">
        <f>'LISTA DE INSUMOS'!A724</f>
        <v>MAT737</v>
      </c>
      <c r="D4673" s="155" t="str">
        <f>'LISTA DE INSUMOS'!B724</f>
        <v>Material filtrante Plastico (Roseton )</v>
      </c>
      <c r="E4673" s="108" t="s">
        <v>2946</v>
      </c>
      <c r="F4673" s="108">
        <v>500</v>
      </c>
      <c r="G4673" s="108">
        <f>'LISTA DE INSUMOS'!E724</f>
        <v>1550</v>
      </c>
      <c r="H4673" s="108">
        <v>1</v>
      </c>
      <c r="I4673" s="108">
        <f>G4673*F4673</f>
        <v>775000</v>
      </c>
    </row>
    <row r="4674" spans="2:9" ht="41.25" customHeight="1" x14ac:dyDescent="0.2">
      <c r="B4674" s="263" t="s">
        <v>1895</v>
      </c>
      <c r="C4674" s="124"/>
      <c r="D4674" s="121" t="s">
        <v>2930</v>
      </c>
      <c r="E4674" s="124" t="s">
        <v>1435</v>
      </c>
      <c r="F4674" s="264"/>
      <c r="G4674" s="119">
        <f>SUM(I4675:I4688)</f>
        <v>10577256</v>
      </c>
      <c r="H4674" s="265"/>
      <c r="I4674" s="123"/>
    </row>
    <row r="4675" spans="2:9" ht="24.9" customHeight="1" x14ac:dyDescent="0.2">
      <c r="B4675" s="657" t="s">
        <v>1325</v>
      </c>
      <c r="C4675" s="108" t="s">
        <v>130</v>
      </c>
      <c r="D4675" s="139" t="str">
        <f>'LISTA DE INSUMOS'!B674</f>
        <v>Sistema Séptico Integrado 3000 Litros</v>
      </c>
      <c r="E4675" s="108" t="s">
        <v>1435</v>
      </c>
      <c r="F4675" s="160">
        <v>1</v>
      </c>
      <c r="G4675" s="141">
        <f>'LISTA DE INSUMOS'!E674</f>
        <v>6606397.7875499995</v>
      </c>
      <c r="H4675" s="142">
        <v>1</v>
      </c>
      <c r="I4675" s="141">
        <f t="shared" ref="I4675:I4687" si="40">ROUND((F4675*G4675*H4675),0)</f>
        <v>6606398</v>
      </c>
    </row>
    <row r="4676" spans="2:9" ht="24.9" customHeight="1" x14ac:dyDescent="0.2">
      <c r="B4676" s="657"/>
      <c r="C4676" s="108" t="str">
        <f>'LISTA DE INSUMOS'!A676</f>
        <v>MAT688-2</v>
      </c>
      <c r="D4676" s="139" t="str">
        <f>'LISTA DE INSUMOS'!B676</f>
        <v>Trampa de Grasa 250 Litros ROTOPLAST</v>
      </c>
      <c r="E4676" s="108" t="s">
        <v>1435</v>
      </c>
      <c r="F4676" s="160">
        <v>1</v>
      </c>
      <c r="G4676" s="141">
        <f>'LISTA DE INSUMOS'!E676</f>
        <v>313390.46227288799</v>
      </c>
      <c r="H4676" s="142">
        <v>1</v>
      </c>
      <c r="I4676" s="141">
        <f t="shared" si="40"/>
        <v>313390</v>
      </c>
    </row>
    <row r="4677" spans="2:9" ht="24.9" customHeight="1" x14ac:dyDescent="0.2">
      <c r="B4677" s="657"/>
      <c r="C4677" s="108" t="str">
        <f>'LISTA DE INSUMOS'!A144</f>
        <v>MAT103</v>
      </c>
      <c r="D4677" s="139" t="str">
        <f>'LISTA DE INSUMOS'!B144</f>
        <v>Tubería PVC sanitaria de 2"</v>
      </c>
      <c r="E4677" s="108" t="s">
        <v>1412</v>
      </c>
      <c r="F4677" s="160">
        <v>12</v>
      </c>
      <c r="G4677" s="141">
        <f>'LISTA DE INSUMOS'!E144</f>
        <v>16397.123332799998</v>
      </c>
      <c r="H4677" s="142">
        <v>1</v>
      </c>
      <c r="I4677" s="141">
        <f t="shared" si="40"/>
        <v>196765</v>
      </c>
    </row>
    <row r="4678" spans="2:9" ht="24.9" customHeight="1" x14ac:dyDescent="0.2">
      <c r="B4678" s="657"/>
      <c r="C4678" s="108" t="str">
        <f>'LISTA DE INSUMOS'!A145</f>
        <v>MAT104</v>
      </c>
      <c r="D4678" s="139" t="str">
        <f>'LISTA DE INSUMOS'!B145</f>
        <v>Tubería PVC sanitaria de 4"</v>
      </c>
      <c r="E4678" s="108" t="s">
        <v>1412</v>
      </c>
      <c r="F4678" s="160">
        <v>18</v>
      </c>
      <c r="G4678" s="141">
        <f>'LISTA DE INSUMOS'!E145</f>
        <v>34443.320315599995</v>
      </c>
      <c r="H4678" s="142">
        <v>1</v>
      </c>
      <c r="I4678" s="141">
        <f t="shared" si="40"/>
        <v>619980</v>
      </c>
    </row>
    <row r="4679" spans="2:9" ht="24.9" customHeight="1" x14ac:dyDescent="0.2">
      <c r="B4679" s="657"/>
      <c r="C4679" s="108" t="str">
        <f>'LISTA DE INSUMOS'!A339</f>
        <v>MAT326</v>
      </c>
      <c r="D4679" s="139" t="str">
        <f>'LISTA DE INSUMOS'!B339</f>
        <v>Accesorios PVC sanitaria 4" promedio</v>
      </c>
      <c r="E4679" s="108" t="s">
        <v>1435</v>
      </c>
      <c r="F4679" s="160">
        <v>2</v>
      </c>
      <c r="G4679" s="141">
        <f>'LISTA DE INSUMOS'!E339</f>
        <v>16128.5236624512</v>
      </c>
      <c r="H4679" s="142">
        <v>1</v>
      </c>
      <c r="I4679" s="141">
        <f t="shared" si="40"/>
        <v>32257</v>
      </c>
    </row>
    <row r="4680" spans="2:9" ht="24.9" customHeight="1" x14ac:dyDescent="0.2">
      <c r="B4680" s="657"/>
      <c r="C4680" s="108" t="str">
        <f>'LISTA DE INSUMOS'!A345</f>
        <v>MAT334</v>
      </c>
      <c r="D4680" s="139" t="str">
        <f>'LISTA DE INSUMOS'!B345</f>
        <v>Accesorios PVC sanitaria 2" promedio</v>
      </c>
      <c r="E4680" s="108" t="s">
        <v>1435</v>
      </c>
      <c r="F4680" s="160">
        <v>3</v>
      </c>
      <c r="G4680" s="141">
        <f>'LISTA DE INSUMOS'!E345</f>
        <v>6254.9723178095992</v>
      </c>
      <c r="H4680" s="142">
        <v>1</v>
      </c>
      <c r="I4680" s="141">
        <f t="shared" si="40"/>
        <v>18765</v>
      </c>
    </row>
    <row r="4681" spans="2:9" ht="24.9" customHeight="1" x14ac:dyDescent="0.2">
      <c r="B4681" s="657"/>
      <c r="C4681" s="108" t="str">
        <f>'LISTA DE INSUMOS'!A678</f>
        <v>MAT692</v>
      </c>
      <c r="D4681" s="139" t="str">
        <f>'LISTA DE INSUMOS'!B678</f>
        <v>Kit de herrajes para tapas de angulo de 0,60x0,60x1/8"x1 1/2"-1 1/4" para STARD</v>
      </c>
      <c r="E4681" s="108" t="s">
        <v>1435</v>
      </c>
      <c r="F4681" s="160">
        <v>3</v>
      </c>
      <c r="G4681" s="141">
        <f>'LISTA DE INSUMOS'!E678</f>
        <v>250256.72334969603</v>
      </c>
      <c r="H4681" s="142">
        <v>1</v>
      </c>
      <c r="I4681" s="141">
        <f t="shared" si="40"/>
        <v>750770</v>
      </c>
    </row>
    <row r="4682" spans="2:9" ht="24.9" customHeight="1" x14ac:dyDescent="0.2">
      <c r="B4682" s="657"/>
      <c r="C4682" s="108" t="str">
        <f>B1066</f>
        <v>ITE134</v>
      </c>
      <c r="D4682" s="139" t="str">
        <f>D1066</f>
        <v>Caja de inspección de 0,50 x 0,50 x 0,50  m en concreto de 17,2 Mpa, tapa reforzada en concreto de 20,7 Mpa</v>
      </c>
      <c r="E4682" s="108" t="s">
        <v>1435</v>
      </c>
      <c r="F4682" s="160">
        <v>1</v>
      </c>
      <c r="G4682" s="141">
        <f>G1066</f>
        <v>321334</v>
      </c>
      <c r="H4682" s="142">
        <v>1</v>
      </c>
      <c r="I4682" s="141">
        <f t="shared" si="40"/>
        <v>321334</v>
      </c>
    </row>
    <row r="4683" spans="2:9" ht="24.9" customHeight="1" x14ac:dyDescent="0.2">
      <c r="B4683" s="657"/>
      <c r="C4683" s="108" t="str">
        <f>'LISTA DE INSUMOS'!A679</f>
        <v>MAT693</v>
      </c>
      <c r="D4683" s="139" t="str">
        <f>'LISTA DE INSUMOS'!B679</f>
        <v>Manguera polipropileno de 3" para descole</v>
      </c>
      <c r="E4683" s="108" t="s">
        <v>1412</v>
      </c>
      <c r="F4683" s="160">
        <v>20</v>
      </c>
      <c r="G4683" s="141">
        <f>'LISTA DE INSUMOS'!E679</f>
        <v>7572.7076748578629</v>
      </c>
      <c r="H4683" s="142">
        <v>1</v>
      </c>
      <c r="I4683" s="141">
        <f t="shared" si="40"/>
        <v>151454</v>
      </c>
    </row>
    <row r="4684" spans="2:9" ht="24.9" customHeight="1" x14ac:dyDescent="0.2">
      <c r="B4684" s="657"/>
      <c r="C4684" s="108" t="str">
        <f>B1091</f>
        <v>ITE137</v>
      </c>
      <c r="D4684" s="139" t="str">
        <f>D1091</f>
        <v>Placa de contrapiso en concreto de 20,7 Mpa e = 0,10 m</v>
      </c>
      <c r="E4684" s="108" t="s">
        <v>1424</v>
      </c>
      <c r="F4684" s="160">
        <v>8</v>
      </c>
      <c r="G4684" s="141">
        <f>G1091</f>
        <v>92670</v>
      </c>
      <c r="H4684" s="142">
        <v>1</v>
      </c>
      <c r="I4684" s="141">
        <f t="shared" si="40"/>
        <v>741360</v>
      </c>
    </row>
    <row r="4685" spans="2:9" ht="24.9" customHeight="1" x14ac:dyDescent="0.2">
      <c r="B4685" s="657"/>
      <c r="C4685" s="108" t="str">
        <f>'LISTA DE INSUMOS'!A670</f>
        <v>MAT686</v>
      </c>
      <c r="D4685" s="139" t="str">
        <f>'LISTA DE INSUMOS'!B670</f>
        <v>Sello logo CARDER STARD</v>
      </c>
      <c r="E4685" s="108" t="s">
        <v>1435</v>
      </c>
      <c r="F4685" s="160">
        <v>1</v>
      </c>
      <c r="G4685" s="141">
        <f>'LISTA DE INSUMOS'!E670</f>
        <v>67017.345009125274</v>
      </c>
      <c r="H4685" s="142">
        <v>1</v>
      </c>
      <c r="I4685" s="141">
        <f t="shared" si="40"/>
        <v>67017</v>
      </c>
    </row>
    <row r="4686" spans="2:9" ht="24.9" customHeight="1" thickBot="1" x14ac:dyDescent="0.25">
      <c r="B4686" s="659"/>
      <c r="C4686" s="108" t="str">
        <f>'LISTA DE INSUMOS'!A669</f>
        <v>MAT685</v>
      </c>
      <c r="D4686" s="139" t="str">
        <f>'LISTA DE INSUMOS'!B669</f>
        <v>Transporte STARD, materiales y accesorios</v>
      </c>
      <c r="E4686" s="108" t="str">
        <f>'LISTA DE INSUMOS'!C669</f>
        <v>%MAT</v>
      </c>
      <c r="F4686" s="160">
        <v>0.05</v>
      </c>
      <c r="G4686" s="141">
        <f>SUM(I4675:I4684)</f>
        <v>9752473</v>
      </c>
      <c r="H4686" s="142">
        <v>1</v>
      </c>
      <c r="I4686" s="141">
        <f t="shared" si="40"/>
        <v>487624</v>
      </c>
    </row>
    <row r="4687" spans="2:9" ht="24.9" customHeight="1" thickTop="1" thickBot="1" x14ac:dyDescent="0.25">
      <c r="B4687" s="156" t="s">
        <v>1034</v>
      </c>
      <c r="C4687" s="108" t="s">
        <v>2103</v>
      </c>
      <c r="D4687" s="139" t="str">
        <f>'LISTA DE INSUMOS'!B9</f>
        <v>Cuadrilla A 1 Of + 4 Ay (jornal + prestaciones)</v>
      </c>
      <c r="E4687" s="108" t="s">
        <v>2065</v>
      </c>
      <c r="F4687" s="160">
        <v>1</v>
      </c>
      <c r="G4687" s="141">
        <f>'LISTA DE INSUMOS'!E9</f>
        <v>491167</v>
      </c>
      <c r="H4687" s="142">
        <v>0.5</v>
      </c>
      <c r="I4687" s="141">
        <f t="shared" si="40"/>
        <v>245584</v>
      </c>
    </row>
    <row r="4688" spans="2:9" ht="24.9" customHeight="1" thickTop="1" thickBot="1" x14ac:dyDescent="0.25">
      <c r="B4688" s="150" t="s">
        <v>1033</v>
      </c>
      <c r="C4688" s="145" t="s">
        <v>1017</v>
      </c>
      <c r="D4688" s="146" t="str">
        <f>'LISTA DE INSUMOS'!B758</f>
        <v>Herramienta menor (% mano obra)</v>
      </c>
      <c r="E4688" s="145" t="s">
        <v>2066</v>
      </c>
      <c r="F4688" s="147">
        <v>0.1</v>
      </c>
      <c r="G4688" s="141">
        <f>I4687</f>
        <v>245584</v>
      </c>
      <c r="H4688" s="154">
        <v>0</v>
      </c>
      <c r="I4688" s="148">
        <f>ROUND((F4688*G4688),0)</f>
        <v>24558</v>
      </c>
    </row>
    <row r="4689" spans="2:9" ht="45" customHeight="1" x14ac:dyDescent="0.2">
      <c r="B4689" s="230" t="s">
        <v>1894</v>
      </c>
      <c r="C4689" s="124"/>
      <c r="D4689" s="482" t="s">
        <v>2932</v>
      </c>
      <c r="E4689" s="124" t="s">
        <v>1435</v>
      </c>
      <c r="F4689" s="124"/>
      <c r="G4689" s="119">
        <f>SUM(I4690:I4703)</f>
        <v>10090424</v>
      </c>
      <c r="H4689" s="124"/>
      <c r="I4689" s="124"/>
    </row>
    <row r="4690" spans="2:9" ht="24.9" customHeight="1" x14ac:dyDescent="0.2">
      <c r="B4690" s="657" t="s">
        <v>1325</v>
      </c>
      <c r="C4690" s="108" t="s">
        <v>130</v>
      </c>
      <c r="D4690" s="139" t="s">
        <v>2916</v>
      </c>
      <c r="E4690" s="108" t="s">
        <v>1435</v>
      </c>
      <c r="F4690" s="160">
        <v>1</v>
      </c>
      <c r="G4690" s="141">
        <f>'LISTA DE INSUMOS'!E672</f>
        <v>6688744.2226835992</v>
      </c>
      <c r="H4690" s="142">
        <v>1</v>
      </c>
      <c r="I4690" s="141">
        <f t="shared" ref="I4690:I4717" si="41">ROUND((F4690*G4690*H4690),0)</f>
        <v>6688744</v>
      </c>
    </row>
    <row r="4691" spans="2:9" ht="24.9" customHeight="1" x14ac:dyDescent="0.2">
      <c r="B4691" s="657"/>
      <c r="C4691" s="108" t="s">
        <v>2917</v>
      </c>
      <c r="D4691" s="139" t="s">
        <v>2918</v>
      </c>
      <c r="E4691" s="108" t="s">
        <v>1435</v>
      </c>
      <c r="F4691" s="160">
        <v>1</v>
      </c>
      <c r="G4691" s="141">
        <f>+'LISTA DE INSUMOS'!E676</f>
        <v>313390.46227288799</v>
      </c>
      <c r="H4691" s="142">
        <v>1</v>
      </c>
      <c r="I4691" s="141">
        <f t="shared" si="41"/>
        <v>313390</v>
      </c>
    </row>
    <row r="4692" spans="2:9" ht="24.9" customHeight="1" x14ac:dyDescent="0.2">
      <c r="B4692" s="657"/>
      <c r="C4692" s="108" t="str">
        <f>'LISTA DE INSUMOS'!A144</f>
        <v>MAT103</v>
      </c>
      <c r="D4692" s="139" t="str">
        <f>'LISTA DE INSUMOS'!B144</f>
        <v>Tubería PVC sanitaria de 2"</v>
      </c>
      <c r="E4692" s="108" t="s">
        <v>1412</v>
      </c>
      <c r="F4692" s="160">
        <v>12</v>
      </c>
      <c r="G4692" s="141">
        <f>'LISTA DE INSUMOS'!$E$144</f>
        <v>16397.123332799998</v>
      </c>
      <c r="H4692" s="142">
        <v>1</v>
      </c>
      <c r="I4692" s="141">
        <f t="shared" si="41"/>
        <v>196765</v>
      </c>
    </row>
    <row r="4693" spans="2:9" ht="24.9" customHeight="1" x14ac:dyDescent="0.2">
      <c r="B4693" s="657"/>
      <c r="C4693" s="108" t="str">
        <f>'LISTA DE INSUMOS'!A145</f>
        <v>MAT104</v>
      </c>
      <c r="D4693" s="139" t="str">
        <f>'LISTA DE INSUMOS'!B145</f>
        <v>Tubería PVC sanitaria de 4"</v>
      </c>
      <c r="E4693" s="108" t="s">
        <v>1412</v>
      </c>
      <c r="F4693" s="160">
        <v>18</v>
      </c>
      <c r="G4693" s="141">
        <f>'LISTA DE INSUMOS'!$E$145</f>
        <v>34443.320315599995</v>
      </c>
      <c r="H4693" s="142">
        <v>1</v>
      </c>
      <c r="I4693" s="141">
        <f t="shared" si="41"/>
        <v>619980</v>
      </c>
    </row>
    <row r="4694" spans="2:9" ht="24.9" customHeight="1" x14ac:dyDescent="0.2">
      <c r="B4694" s="657"/>
      <c r="C4694" s="108" t="s">
        <v>809</v>
      </c>
      <c r="D4694" s="139" t="s">
        <v>1084</v>
      </c>
      <c r="E4694" s="108" t="s">
        <v>1435</v>
      </c>
      <c r="F4694" s="160">
        <v>2</v>
      </c>
      <c r="G4694" s="141">
        <v>13728</v>
      </c>
      <c r="H4694" s="142">
        <v>1</v>
      </c>
      <c r="I4694" s="141">
        <f t="shared" si="41"/>
        <v>27456</v>
      </c>
    </row>
    <row r="4695" spans="2:9" ht="24.9" customHeight="1" x14ac:dyDescent="0.2">
      <c r="B4695" s="657"/>
      <c r="C4695" s="108" t="s">
        <v>807</v>
      </c>
      <c r="D4695" s="139" t="s">
        <v>1085</v>
      </c>
      <c r="E4695" s="108" t="s">
        <v>1435</v>
      </c>
      <c r="F4695" s="160">
        <v>3</v>
      </c>
      <c r="G4695" s="141">
        <v>4185</v>
      </c>
      <c r="H4695" s="142">
        <v>1</v>
      </c>
      <c r="I4695" s="141">
        <f t="shared" si="41"/>
        <v>12555</v>
      </c>
    </row>
    <row r="4696" spans="2:9" ht="24.9" customHeight="1" x14ac:dyDescent="0.2">
      <c r="B4696" s="657"/>
      <c r="C4696" s="108" t="s">
        <v>384</v>
      </c>
      <c r="D4696" s="139" t="s">
        <v>2418</v>
      </c>
      <c r="E4696" s="108" t="s">
        <v>1435</v>
      </c>
      <c r="F4696" s="160">
        <v>3</v>
      </c>
      <c r="G4696" s="141">
        <f>'LISTA DE INSUMOS'!$E$678</f>
        <v>250256.72334969603</v>
      </c>
      <c r="H4696" s="142">
        <v>1</v>
      </c>
      <c r="I4696" s="141">
        <f t="shared" si="41"/>
        <v>750770</v>
      </c>
    </row>
    <row r="4697" spans="2:9" ht="24.9" customHeight="1" x14ac:dyDescent="0.2">
      <c r="B4697" s="657"/>
      <c r="C4697" s="108" t="s">
        <v>1849</v>
      </c>
      <c r="D4697" s="139" t="s">
        <v>213</v>
      </c>
      <c r="E4697" s="108" t="s">
        <v>1435</v>
      </c>
      <c r="F4697" s="160">
        <v>1</v>
      </c>
      <c r="G4697" s="141">
        <v>211801</v>
      </c>
      <c r="H4697" s="142">
        <v>1</v>
      </c>
      <c r="I4697" s="141">
        <f t="shared" si="41"/>
        <v>211801</v>
      </c>
    </row>
    <row r="4698" spans="2:9" ht="24.9" customHeight="1" x14ac:dyDescent="0.2">
      <c r="B4698" s="657"/>
      <c r="C4698" s="108" t="s">
        <v>386</v>
      </c>
      <c r="D4698" s="139" t="s">
        <v>2419</v>
      </c>
      <c r="E4698" s="108" t="s">
        <v>1412</v>
      </c>
      <c r="F4698" s="160">
        <v>20</v>
      </c>
      <c r="G4698" s="141">
        <f>+'LISTA DE INSUMOS'!$E$679</f>
        <v>7572.7076748578629</v>
      </c>
      <c r="H4698" s="142">
        <v>1</v>
      </c>
      <c r="I4698" s="141">
        <f t="shared" si="41"/>
        <v>151454</v>
      </c>
    </row>
    <row r="4699" spans="2:9" ht="24.9" customHeight="1" x14ac:dyDescent="0.2">
      <c r="B4699" s="657"/>
      <c r="C4699" s="108" t="s">
        <v>2049</v>
      </c>
      <c r="D4699" s="139" t="s">
        <v>432</v>
      </c>
      <c r="E4699" s="108" t="s">
        <v>1424</v>
      </c>
      <c r="F4699" s="160">
        <v>8</v>
      </c>
      <c r="G4699" s="141">
        <f>+$G$873</f>
        <v>58657</v>
      </c>
      <c r="H4699" s="142">
        <v>1</v>
      </c>
      <c r="I4699" s="141">
        <f t="shared" si="41"/>
        <v>469256</v>
      </c>
    </row>
    <row r="4700" spans="2:9" ht="24.9" customHeight="1" x14ac:dyDescent="0.2">
      <c r="B4700" s="657"/>
      <c r="C4700" s="108" t="s">
        <v>363</v>
      </c>
      <c r="D4700" s="139" t="s">
        <v>2429</v>
      </c>
      <c r="E4700" s="108" t="s">
        <v>1435</v>
      </c>
      <c r="F4700" s="160">
        <v>1</v>
      </c>
      <c r="G4700" s="141">
        <f>+'LISTA DE INSUMOS'!$E$670</f>
        <v>67017.345009125274</v>
      </c>
      <c r="H4700" s="142">
        <v>1</v>
      </c>
      <c r="I4700" s="141">
        <f t="shared" si="41"/>
        <v>67017</v>
      </c>
    </row>
    <row r="4701" spans="2:9" ht="24.9" customHeight="1" thickBot="1" x14ac:dyDescent="0.25">
      <c r="B4701" s="659"/>
      <c r="C4701" s="108" t="s">
        <v>359</v>
      </c>
      <c r="D4701" s="139" t="s">
        <v>2430</v>
      </c>
      <c r="E4701" s="108" t="s">
        <v>2931</v>
      </c>
      <c r="F4701" s="160">
        <v>0.05</v>
      </c>
      <c r="G4701" s="141">
        <v>6221879</v>
      </c>
      <c r="H4701" s="142">
        <v>1</v>
      </c>
      <c r="I4701" s="141">
        <f t="shared" si="41"/>
        <v>311094</v>
      </c>
    </row>
    <row r="4702" spans="2:9" ht="24.9" customHeight="1" thickTop="1" thickBot="1" x14ac:dyDescent="0.25">
      <c r="B4702" s="156" t="s">
        <v>1034</v>
      </c>
      <c r="C4702" s="108" t="s">
        <v>2103</v>
      </c>
      <c r="D4702" s="139" t="s">
        <v>2068</v>
      </c>
      <c r="E4702" s="108" t="s">
        <v>2065</v>
      </c>
      <c r="F4702" s="160">
        <v>1</v>
      </c>
      <c r="G4702" s="141">
        <f>+'ANÁLISIS MANO DE OBRA'!$E$34</f>
        <v>491167</v>
      </c>
      <c r="H4702" s="142">
        <v>0.5</v>
      </c>
      <c r="I4702" s="141">
        <f t="shared" si="41"/>
        <v>245584</v>
      </c>
    </row>
    <row r="4703" spans="2:9" ht="24.9" customHeight="1" thickTop="1" thickBot="1" x14ac:dyDescent="0.25">
      <c r="B4703" s="150" t="s">
        <v>1033</v>
      </c>
      <c r="C4703" s="108" t="s">
        <v>1017</v>
      </c>
      <c r="D4703" s="139" t="s">
        <v>1029</v>
      </c>
      <c r="E4703" s="108" t="s">
        <v>2066</v>
      </c>
      <c r="F4703" s="160">
        <v>0.1</v>
      </c>
      <c r="G4703" s="141">
        <f>+I4702</f>
        <v>245584</v>
      </c>
      <c r="H4703" s="142">
        <v>0</v>
      </c>
      <c r="I4703" s="141">
        <f>ROUND((F4703*G4703),0)</f>
        <v>24558</v>
      </c>
    </row>
    <row r="4704" spans="2:9" ht="43.5" customHeight="1" x14ac:dyDescent="0.2">
      <c r="B4704" s="230" t="s">
        <v>1899</v>
      </c>
      <c r="C4704" s="124"/>
      <c r="D4704" s="482" t="s">
        <v>2933</v>
      </c>
      <c r="E4704" s="124" t="s">
        <v>1435</v>
      </c>
      <c r="F4704" s="124"/>
      <c r="G4704" s="119">
        <f>SUM(I4705:I4718)</f>
        <v>11881584</v>
      </c>
      <c r="H4704" s="124"/>
      <c r="I4704" s="124"/>
    </row>
    <row r="4705" spans="2:9" ht="24.9" customHeight="1" x14ac:dyDescent="0.2">
      <c r="B4705" s="657" t="s">
        <v>1325</v>
      </c>
      <c r="C4705" s="108" t="s">
        <v>130</v>
      </c>
      <c r="D4705" s="139" t="s">
        <v>2914</v>
      </c>
      <c r="E4705" s="108" t="s">
        <v>1435</v>
      </c>
      <c r="F4705" s="160">
        <v>1</v>
      </c>
      <c r="G4705" s="141">
        <f>'LISTA DE INSUMOS'!E675</f>
        <v>8479903.7400184777</v>
      </c>
      <c r="H4705" s="142">
        <v>1</v>
      </c>
      <c r="I4705" s="141">
        <f t="shared" si="41"/>
        <v>8479904</v>
      </c>
    </row>
    <row r="4706" spans="2:9" ht="24.9" customHeight="1" x14ac:dyDescent="0.2">
      <c r="B4706" s="657"/>
      <c r="C4706" s="108" t="s">
        <v>2917</v>
      </c>
      <c r="D4706" s="139" t="s">
        <v>2918</v>
      </c>
      <c r="E4706" s="108" t="s">
        <v>1435</v>
      </c>
      <c r="F4706" s="160">
        <v>1</v>
      </c>
      <c r="G4706" s="141">
        <f>+'LISTA DE INSUMOS'!E676</f>
        <v>313390.46227288799</v>
      </c>
      <c r="H4706" s="142">
        <v>1</v>
      </c>
      <c r="I4706" s="141">
        <f t="shared" si="41"/>
        <v>313390</v>
      </c>
    </row>
    <row r="4707" spans="2:9" ht="24.9" customHeight="1" x14ac:dyDescent="0.2">
      <c r="B4707" s="657"/>
      <c r="C4707" s="108" t="s">
        <v>801</v>
      </c>
      <c r="D4707" s="139" t="s">
        <v>802</v>
      </c>
      <c r="E4707" s="108" t="s">
        <v>1412</v>
      </c>
      <c r="F4707" s="160">
        <v>12</v>
      </c>
      <c r="G4707" s="141">
        <f>'LISTA DE INSUMOS'!$E$144</f>
        <v>16397.123332799998</v>
      </c>
      <c r="H4707" s="142">
        <v>1</v>
      </c>
      <c r="I4707" s="141">
        <f t="shared" si="41"/>
        <v>196765</v>
      </c>
    </row>
    <row r="4708" spans="2:9" ht="24.9" customHeight="1" x14ac:dyDescent="0.2">
      <c r="B4708" s="657"/>
      <c r="C4708" s="108" t="s">
        <v>803</v>
      </c>
      <c r="D4708" s="139" t="s">
        <v>804</v>
      </c>
      <c r="E4708" s="108" t="s">
        <v>1412</v>
      </c>
      <c r="F4708" s="160">
        <v>18</v>
      </c>
      <c r="G4708" s="141">
        <f>'LISTA DE INSUMOS'!$E$145</f>
        <v>34443.320315599995</v>
      </c>
      <c r="H4708" s="142">
        <v>1</v>
      </c>
      <c r="I4708" s="141">
        <f t="shared" si="41"/>
        <v>619980</v>
      </c>
    </row>
    <row r="4709" spans="2:9" ht="24.9" customHeight="1" x14ac:dyDescent="0.2">
      <c r="B4709" s="657"/>
      <c r="C4709" s="108" t="s">
        <v>809</v>
      </c>
      <c r="D4709" s="139" t="s">
        <v>1084</v>
      </c>
      <c r="E4709" s="108" t="s">
        <v>1435</v>
      </c>
      <c r="F4709" s="160">
        <v>2</v>
      </c>
      <c r="G4709" s="141">
        <v>13728</v>
      </c>
      <c r="H4709" s="142">
        <v>1</v>
      </c>
      <c r="I4709" s="141">
        <f t="shared" si="41"/>
        <v>27456</v>
      </c>
    </row>
    <row r="4710" spans="2:9" ht="24.9" customHeight="1" x14ac:dyDescent="0.2">
      <c r="B4710" s="657"/>
      <c r="C4710" s="108" t="s">
        <v>807</v>
      </c>
      <c r="D4710" s="139" t="s">
        <v>1085</v>
      </c>
      <c r="E4710" s="108" t="s">
        <v>1435</v>
      </c>
      <c r="F4710" s="160">
        <v>3</v>
      </c>
      <c r="G4710" s="141">
        <v>4185</v>
      </c>
      <c r="H4710" s="142">
        <v>1</v>
      </c>
      <c r="I4710" s="141">
        <f t="shared" si="41"/>
        <v>12555</v>
      </c>
    </row>
    <row r="4711" spans="2:9" ht="24.9" customHeight="1" x14ac:dyDescent="0.2">
      <c r="B4711" s="657"/>
      <c r="C4711" s="108" t="s">
        <v>384</v>
      </c>
      <c r="D4711" s="139" t="s">
        <v>2418</v>
      </c>
      <c r="E4711" s="108" t="s">
        <v>1435</v>
      </c>
      <c r="F4711" s="160">
        <v>3</v>
      </c>
      <c r="G4711" s="141">
        <f>'LISTA DE INSUMOS'!$E$678</f>
        <v>250256.72334969603</v>
      </c>
      <c r="H4711" s="142">
        <v>1</v>
      </c>
      <c r="I4711" s="141">
        <f t="shared" si="41"/>
        <v>750770</v>
      </c>
    </row>
    <row r="4712" spans="2:9" ht="24.9" customHeight="1" x14ac:dyDescent="0.2">
      <c r="B4712" s="657"/>
      <c r="C4712" s="108" t="s">
        <v>1849</v>
      </c>
      <c r="D4712" s="139" t="s">
        <v>213</v>
      </c>
      <c r="E4712" s="108" t="s">
        <v>1435</v>
      </c>
      <c r="F4712" s="160">
        <v>1</v>
      </c>
      <c r="G4712" s="141">
        <v>211801</v>
      </c>
      <c r="H4712" s="142">
        <v>1</v>
      </c>
      <c r="I4712" s="141">
        <f t="shared" si="41"/>
        <v>211801</v>
      </c>
    </row>
    <row r="4713" spans="2:9" ht="24.9" customHeight="1" x14ac:dyDescent="0.2">
      <c r="B4713" s="657"/>
      <c r="C4713" s="108" t="s">
        <v>386</v>
      </c>
      <c r="D4713" s="139" t="s">
        <v>2419</v>
      </c>
      <c r="E4713" s="108" t="s">
        <v>1412</v>
      </c>
      <c r="F4713" s="160">
        <v>20</v>
      </c>
      <c r="G4713" s="141">
        <f>+'LISTA DE INSUMOS'!$E$679</f>
        <v>7572.7076748578629</v>
      </c>
      <c r="H4713" s="142">
        <v>1</v>
      </c>
      <c r="I4713" s="141">
        <f t="shared" si="41"/>
        <v>151454</v>
      </c>
    </row>
    <row r="4714" spans="2:9" ht="24.9" customHeight="1" x14ac:dyDescent="0.2">
      <c r="B4714" s="657"/>
      <c r="C4714" s="108" t="s">
        <v>2049</v>
      </c>
      <c r="D4714" s="139" t="s">
        <v>432</v>
      </c>
      <c r="E4714" s="108" t="s">
        <v>1424</v>
      </c>
      <c r="F4714" s="160">
        <v>8</v>
      </c>
      <c r="G4714" s="141">
        <f>+$G$873</f>
        <v>58657</v>
      </c>
      <c r="H4714" s="142">
        <v>1</v>
      </c>
      <c r="I4714" s="141">
        <f t="shared" si="41"/>
        <v>469256</v>
      </c>
    </row>
    <row r="4715" spans="2:9" ht="24.9" customHeight="1" x14ac:dyDescent="0.2">
      <c r="B4715" s="657"/>
      <c r="C4715" s="108" t="s">
        <v>363</v>
      </c>
      <c r="D4715" s="139" t="s">
        <v>2429</v>
      </c>
      <c r="E4715" s="108" t="s">
        <v>1435</v>
      </c>
      <c r="F4715" s="160">
        <v>1</v>
      </c>
      <c r="G4715" s="141">
        <f>+'LISTA DE INSUMOS'!$E$670</f>
        <v>67017.345009125274</v>
      </c>
      <c r="H4715" s="142">
        <v>1</v>
      </c>
      <c r="I4715" s="141">
        <f t="shared" si="41"/>
        <v>67017</v>
      </c>
    </row>
    <row r="4716" spans="2:9" ht="24.9" customHeight="1" thickBot="1" x14ac:dyDescent="0.25">
      <c r="B4716" s="659"/>
      <c r="C4716" s="108" t="s">
        <v>359</v>
      </c>
      <c r="D4716" s="139" t="s">
        <v>2430</v>
      </c>
      <c r="E4716" s="108" t="s">
        <v>2931</v>
      </c>
      <c r="F4716" s="160">
        <v>0.05</v>
      </c>
      <c r="G4716" s="141">
        <v>6221879</v>
      </c>
      <c r="H4716" s="142">
        <v>1</v>
      </c>
      <c r="I4716" s="141">
        <f t="shared" si="41"/>
        <v>311094</v>
      </c>
    </row>
    <row r="4717" spans="2:9" ht="24.9" customHeight="1" thickTop="1" thickBot="1" x14ac:dyDescent="0.25">
      <c r="B4717" s="156" t="s">
        <v>1034</v>
      </c>
      <c r="C4717" s="108" t="s">
        <v>2103</v>
      </c>
      <c r="D4717" s="139" t="s">
        <v>2068</v>
      </c>
      <c r="E4717" s="108" t="s">
        <v>2065</v>
      </c>
      <c r="F4717" s="160">
        <v>1</v>
      </c>
      <c r="G4717" s="141">
        <f>+'ANÁLISIS MANO DE OBRA'!$E$34</f>
        <v>491167</v>
      </c>
      <c r="H4717" s="142">
        <v>0.5</v>
      </c>
      <c r="I4717" s="141">
        <f t="shared" si="41"/>
        <v>245584</v>
      </c>
    </row>
    <row r="4718" spans="2:9" ht="24.9" customHeight="1" thickTop="1" thickBot="1" x14ac:dyDescent="0.25">
      <c r="B4718" s="150" t="s">
        <v>1033</v>
      </c>
      <c r="C4718" s="108" t="s">
        <v>1017</v>
      </c>
      <c r="D4718" s="139" t="s">
        <v>1029</v>
      </c>
      <c r="E4718" s="108" t="s">
        <v>2066</v>
      </c>
      <c r="F4718" s="160">
        <v>0.1</v>
      </c>
      <c r="G4718" s="141">
        <f>+I4717</f>
        <v>245584</v>
      </c>
      <c r="H4718" s="142">
        <v>0</v>
      </c>
      <c r="I4718" s="141">
        <f>ROUND((F4718*G4718),0)</f>
        <v>24558</v>
      </c>
    </row>
    <row r="4719" spans="2:9" ht="32.25" customHeight="1" x14ac:dyDescent="0.2">
      <c r="B4719" s="117" t="s">
        <v>1684</v>
      </c>
      <c r="C4719" s="117"/>
      <c r="D4719" s="112" t="s">
        <v>2629</v>
      </c>
      <c r="E4719" s="117" t="s">
        <v>1412</v>
      </c>
      <c r="F4719" s="118"/>
      <c r="G4719" s="119">
        <f>ROUND(SUM(I4719:I4727),0)</f>
        <v>758963</v>
      </c>
      <c r="H4719" s="120"/>
      <c r="I4719" s="119"/>
    </row>
    <row r="4720" spans="2:9" ht="19.5" customHeight="1" x14ac:dyDescent="0.2">
      <c r="B4720" s="706" t="s">
        <v>1035</v>
      </c>
      <c r="C4720" s="108" t="str">
        <f>+'LISTA DE INSUMOS'!A46</f>
        <v>MAT017</v>
      </c>
      <c r="D4720" s="139" t="str">
        <f>+'LISTA DE INSUMOS'!B46</f>
        <v>Tabla para formaleta de 1" x 10" x 2,9 m</v>
      </c>
      <c r="E4720" s="108" t="str">
        <f>+'LISTA DE INSUMOS'!C46</f>
        <v>M</v>
      </c>
      <c r="F4720" s="140">
        <v>10</v>
      </c>
      <c r="G4720" s="141">
        <f>+'LISTA DE INSUMOS'!E46</f>
        <v>8112.0359999999991</v>
      </c>
      <c r="H4720" s="108">
        <f>1/3</f>
        <v>0.33333333333333331</v>
      </c>
      <c r="I4720" s="141">
        <f>ROUND((F4720*G4720*H4720),0)</f>
        <v>27040</v>
      </c>
    </row>
    <row r="4721" spans="2:11" ht="19.5" customHeight="1" x14ac:dyDescent="0.2">
      <c r="B4721" s="706"/>
      <c r="C4721" s="108" t="str">
        <f>+'LISTA DE INSUMOS'!A52</f>
        <v>MAT021</v>
      </c>
      <c r="D4721" s="139" t="str">
        <f>+'LISTA DE INSUMOS'!B52</f>
        <v>Puntilla (promedio)</v>
      </c>
      <c r="E4721" s="108" t="str">
        <f>+'LISTA DE INSUMOS'!C52</f>
        <v>Lb</v>
      </c>
      <c r="F4721" s="140">
        <v>1.5</v>
      </c>
      <c r="G4721" s="141">
        <f>+'LISTA DE INSUMOS'!E52</f>
        <v>6690.6972299999998</v>
      </c>
      <c r="H4721" s="108">
        <v>0</v>
      </c>
      <c r="I4721" s="141">
        <f>ROUND((F4721*G4721),0)</f>
        <v>10036</v>
      </c>
    </row>
    <row r="4722" spans="2:11" ht="19.5" customHeight="1" x14ac:dyDescent="0.2">
      <c r="B4722" s="706"/>
      <c r="C4722" s="108" t="str">
        <f>+'LISTA DE INSUMOS'!A132</f>
        <v>MAT091</v>
      </c>
      <c r="D4722" s="139" t="str">
        <f>+'LISTA DE INSUMOS'!B132</f>
        <v>Varillón de sajo</v>
      </c>
      <c r="E4722" s="108" t="str">
        <f>+'LISTA DE INSUMOS'!C132</f>
        <v>M</v>
      </c>
      <c r="F4722" s="140">
        <v>4</v>
      </c>
      <c r="G4722" s="141">
        <f>+'LISTA DE INSUMOS'!E132</f>
        <v>2979.6450687603597</v>
      </c>
      <c r="H4722" s="108">
        <f>1/3</f>
        <v>0.33333333333333331</v>
      </c>
      <c r="I4722" s="141">
        <f>ROUND((F4722*G4722*H4722),0)</f>
        <v>3973</v>
      </c>
    </row>
    <row r="4723" spans="2:11" ht="19.5" customHeight="1" x14ac:dyDescent="0.2">
      <c r="B4723" s="706"/>
      <c r="C4723" s="108" t="str">
        <f>+'LISTA DE INSUMOS'!A67</f>
        <v>MAT034</v>
      </c>
      <c r="D4723" s="139" t="str">
        <f>+'LISTA DE INSUMOS'!B67</f>
        <v>ACPM</v>
      </c>
      <c r="E4723" s="108" t="str">
        <f>+'LISTA DE INSUMOS'!C67</f>
        <v>Gl</v>
      </c>
      <c r="F4723" s="140">
        <v>0.5</v>
      </c>
      <c r="G4723" s="141">
        <f>+'LISTA DE INSUMOS'!E67</f>
        <v>9681.4499999999989</v>
      </c>
      <c r="H4723" s="108">
        <v>1.05</v>
      </c>
      <c r="I4723" s="141">
        <f>ROUND((F4723*G4723*H4723),0)</f>
        <v>5083</v>
      </c>
    </row>
    <row r="4724" spans="2:11" ht="19.5" customHeight="1" x14ac:dyDescent="0.2">
      <c r="B4724" s="685" t="s">
        <v>1310</v>
      </c>
      <c r="C4724" s="108" t="str">
        <f>+B544</f>
        <v>ITE092</v>
      </c>
      <c r="D4724" s="139" t="str">
        <f>+D544</f>
        <v>Concreto de 20,7 Mpa (3000 psi) (producción)</v>
      </c>
      <c r="E4724" s="108" t="str">
        <f>+E544</f>
        <v>M3</v>
      </c>
      <c r="F4724" s="140">
        <v>0.22</v>
      </c>
      <c r="G4724" s="141">
        <f>+G544</f>
        <v>596118</v>
      </c>
      <c r="H4724" s="108">
        <v>1.05</v>
      </c>
      <c r="I4724" s="141">
        <f>ROUND((F4724*G4724*H4724),0)</f>
        <v>137703</v>
      </c>
    </row>
    <row r="4725" spans="2:11" ht="19.5" customHeight="1" thickBot="1" x14ac:dyDescent="0.25">
      <c r="B4725" s="707"/>
      <c r="C4725" s="108" t="str">
        <f>+B587</f>
        <v>ITE98</v>
      </c>
      <c r="D4725" s="139" t="str">
        <f>+D587</f>
        <v>Acero Fy = 60.000 psi d&gt;1/4"</v>
      </c>
      <c r="E4725" s="108" t="str">
        <f>+E587</f>
        <v>Kg</v>
      </c>
      <c r="F4725" s="140">
        <v>17.25</v>
      </c>
      <c r="G4725" s="141">
        <f>+G587</f>
        <v>7240</v>
      </c>
      <c r="H4725" s="108">
        <v>0</v>
      </c>
      <c r="I4725" s="141">
        <f>ROUND((F4725*G4725),0)</f>
        <v>124890</v>
      </c>
    </row>
    <row r="4726" spans="2:11" ht="19.5" customHeight="1" thickTop="1" thickBot="1" x14ac:dyDescent="0.25">
      <c r="B4726" s="156" t="s">
        <v>1034</v>
      </c>
      <c r="C4726" s="108" t="str">
        <f>+'LISTA DE INSUMOS'!A18</f>
        <v>MOB015</v>
      </c>
      <c r="D4726" s="139" t="str">
        <f>+'LISTA DE INSUMOS'!B18</f>
        <v>Cuadrilla E 1 Of + 1 Ay (jornal + prestaciones)</v>
      </c>
      <c r="E4726" s="108" t="str">
        <f>+'LISTA DE INSUMOS'!C18</f>
        <v>Día</v>
      </c>
      <c r="F4726" s="140">
        <v>1</v>
      </c>
      <c r="G4726" s="141">
        <f>+'LISTA DE INSUMOS'!E18</f>
        <v>245584</v>
      </c>
      <c r="H4726" s="108">
        <f>1/0.6</f>
        <v>1.6666666666666667</v>
      </c>
      <c r="I4726" s="141">
        <f>ROUND((F4726*G4726*H4726),0)</f>
        <v>409307</v>
      </c>
    </row>
    <row r="4727" spans="2:11" ht="19.5" customHeight="1" thickTop="1" thickBot="1" x14ac:dyDescent="0.25">
      <c r="B4727" s="150" t="s">
        <v>1033</v>
      </c>
      <c r="C4727" s="151" t="str">
        <f>+'LISTA DE INSUMOS'!A758</f>
        <v>EQU002</v>
      </c>
      <c r="D4727" s="146" t="str">
        <f>+'LISTA DE INSUMOS'!B758</f>
        <v>Herramienta menor (% mano obra)</v>
      </c>
      <c r="E4727" s="145" t="str">
        <f>+'LISTA DE INSUMOS'!C758</f>
        <v>%MO</v>
      </c>
      <c r="F4727" s="147">
        <v>0.1</v>
      </c>
      <c r="G4727" s="148">
        <f>I4726</f>
        <v>409307</v>
      </c>
      <c r="H4727" s="145">
        <v>0</v>
      </c>
      <c r="I4727" s="148">
        <f>ROUND((F4727*G4727),0)</f>
        <v>40931</v>
      </c>
    </row>
    <row r="4728" spans="2:11" ht="37.5" customHeight="1" thickBot="1" x14ac:dyDescent="0.25">
      <c r="B4728" s="113" t="s">
        <v>1527</v>
      </c>
      <c r="C4728" s="113"/>
      <c r="D4728" s="121" t="s">
        <v>3285</v>
      </c>
      <c r="E4728" s="113" t="s">
        <v>1412</v>
      </c>
      <c r="F4728" s="264"/>
      <c r="G4728" s="123">
        <f>ROUND(SUM(I4729:I4731),0)</f>
        <v>122920</v>
      </c>
      <c r="H4728" s="106"/>
      <c r="I4728" s="106"/>
    </row>
    <row r="4729" spans="2:11" ht="19.5" customHeight="1" thickTop="1" thickBot="1" x14ac:dyDescent="0.25">
      <c r="B4729" s="158" t="s">
        <v>1034</v>
      </c>
      <c r="C4729" s="125" t="str">
        <f>+'LISTA DE INSUMOS'!A18</f>
        <v>MOB015</v>
      </c>
      <c r="D4729" s="155" t="str">
        <f>+'LISTA DE INSUMOS'!B18</f>
        <v>Cuadrilla E 1 Of + 1 Ay (jornal + prestaciones)</v>
      </c>
      <c r="E4729" s="108" t="str">
        <f>+'LISTA DE INSUMOS'!C18</f>
        <v>Día</v>
      </c>
      <c r="F4729" s="160">
        <v>1</v>
      </c>
      <c r="G4729" s="141">
        <f>+'LISTA DE INSUMOS'!E18</f>
        <v>245584</v>
      </c>
      <c r="H4729" s="108">
        <f>1/5</f>
        <v>0.2</v>
      </c>
      <c r="I4729" s="141">
        <f>ROUND((F4729*G4729*H4729),0)</f>
        <v>49117</v>
      </c>
      <c r="K4729" s="286"/>
    </row>
    <row r="4730" spans="2:11" ht="19.5" customHeight="1" thickTop="1" x14ac:dyDescent="0.2">
      <c r="B4730" s="676" t="s">
        <v>1033</v>
      </c>
      <c r="C4730" s="108" t="str">
        <f>+'LISTA DE INSUMOS'!A758</f>
        <v>EQU002</v>
      </c>
      <c r="D4730" s="139" t="str">
        <f>+'LISTA DE INSUMOS'!B758</f>
        <v>Herramienta menor (% mano obra)</v>
      </c>
      <c r="E4730" s="108" t="str">
        <f>+'LISTA DE INSUMOS'!C758</f>
        <v>%MO</v>
      </c>
      <c r="F4730" s="176">
        <v>0.1</v>
      </c>
      <c r="G4730" s="141">
        <f>I4729</f>
        <v>49117</v>
      </c>
      <c r="H4730" s="205">
        <v>0</v>
      </c>
      <c r="I4730" s="141">
        <f>ROUND((F4730*G4730),0)</f>
        <v>4912</v>
      </c>
    </row>
    <row r="4731" spans="2:11" ht="19.5" customHeight="1" thickBot="1" x14ac:dyDescent="0.25">
      <c r="B4731" s="677"/>
      <c r="C4731" s="194" t="str">
        <f>+'LISTA DE INSUMOS'!A793</f>
        <v>EQU036</v>
      </c>
      <c r="D4731" s="198" t="str">
        <f>+'LISTA DE INSUMOS'!B793</f>
        <v>Equipo perforación</v>
      </c>
      <c r="E4731" s="145" t="str">
        <f>+'LISTA DE INSUMOS'!C793</f>
        <v>Día</v>
      </c>
      <c r="F4731" s="229">
        <v>1</v>
      </c>
      <c r="G4731" s="148">
        <f>+'LISTA DE INSUMOS'!E793</f>
        <v>172226.77775159999</v>
      </c>
      <c r="H4731" s="206">
        <f>1/2.5</f>
        <v>0.4</v>
      </c>
      <c r="I4731" s="148">
        <f>ROUND((F4731*G4731*H4731),0)</f>
        <v>68891</v>
      </c>
    </row>
    <row r="4732" spans="2:11" s="317" customFormat="1" ht="31.5" hidden="1" customHeight="1" x14ac:dyDescent="0.2">
      <c r="B4732" s="319" t="s">
        <v>2245</v>
      </c>
      <c r="C4732" s="319"/>
      <c r="D4732" s="320" t="s">
        <v>2472</v>
      </c>
      <c r="E4732" s="319" t="s">
        <v>2586</v>
      </c>
      <c r="F4732" s="321"/>
      <c r="G4732" s="312">
        <f>ROUND(SUM(I4732:I4740),0)</f>
        <v>625002</v>
      </c>
      <c r="H4732" s="322"/>
      <c r="I4732" s="312"/>
    </row>
    <row r="4733" spans="2:11" s="317" customFormat="1" ht="19.5" hidden="1" customHeight="1" x14ac:dyDescent="0.2">
      <c r="B4733" s="697" t="s">
        <v>1035</v>
      </c>
      <c r="C4733" s="322" t="str">
        <f>+'LISTA DE INSUMOS'!A35</f>
        <v>MAT006</v>
      </c>
      <c r="D4733" s="324" t="str">
        <f>+'LISTA DE INSUMOS'!B35</f>
        <v>Material de peña (recebo) en cantera</v>
      </c>
      <c r="E4733" s="319" t="str">
        <f>+'LISTA DE INSUMOS'!C35</f>
        <v>M3</v>
      </c>
      <c r="F4733" s="325">
        <v>1</v>
      </c>
      <c r="G4733" s="312">
        <f>+'LISTA DE INSUMOS'!E35</f>
        <v>55606.300249500004</v>
      </c>
      <c r="H4733" s="322">
        <v>1.25</v>
      </c>
      <c r="I4733" s="312">
        <f>ROUND((F4733*G4733*H4733),0)</f>
        <v>69508</v>
      </c>
    </row>
    <row r="4734" spans="2:11" s="317" customFormat="1" ht="19.5" hidden="1" customHeight="1" x14ac:dyDescent="0.2">
      <c r="B4734" s="697"/>
      <c r="C4734" s="322" t="str">
        <f>+'LISTA DE INSUMOS'!A81</f>
        <v>MAT 044</v>
      </c>
      <c r="D4734" s="324" t="str">
        <f>+'LISTA DE INSUMOS'!B81</f>
        <v>Llanta reutilizada</v>
      </c>
      <c r="E4734" s="322" t="str">
        <f>+'LISTA DE INSUMOS'!C81</f>
        <v>Un</v>
      </c>
      <c r="F4734" s="325">
        <v>8</v>
      </c>
      <c r="G4734" s="312">
        <f>+'LISTA DE INSUMOS'!E81</f>
        <v>2047.2178862704798</v>
      </c>
      <c r="H4734" s="322">
        <v>0</v>
      </c>
      <c r="I4734" s="312">
        <f>ROUND((F4734*G4734),0)</f>
        <v>16378</v>
      </c>
    </row>
    <row r="4735" spans="2:11" s="317" customFormat="1" ht="19.5" hidden="1" customHeight="1" x14ac:dyDescent="0.2">
      <c r="B4735" s="697"/>
      <c r="C4735" s="322" t="str">
        <f>+'LISTA DE INSUMOS'!A180</f>
        <v>MAT133</v>
      </c>
      <c r="D4735" s="324" t="str">
        <f>+'LISTA DE INSUMOS'!B180</f>
        <v>Malla eslabonada 2" x 2" C 13</v>
      </c>
      <c r="E4735" s="322" t="str">
        <f>+'LISTA DE INSUMOS'!C180</f>
        <v>M2</v>
      </c>
      <c r="F4735" s="325">
        <v>1.68</v>
      </c>
      <c r="G4735" s="312">
        <f>+'LISTA DE INSUMOS'!E180</f>
        <v>43792.809428939989</v>
      </c>
      <c r="H4735" s="322">
        <v>0</v>
      </c>
      <c r="I4735" s="312">
        <f>ROUND((F4735*G4735),0)</f>
        <v>73572</v>
      </c>
    </row>
    <row r="4736" spans="2:11" s="317" customFormat="1" ht="19.5" hidden="1" customHeight="1" x14ac:dyDescent="0.2">
      <c r="B4736" s="697"/>
      <c r="C4736" s="322" t="str">
        <f>+'LISTA DE INSUMOS'!A90</f>
        <v>MAT 048</v>
      </c>
      <c r="D4736" s="324" t="str">
        <f>+'LISTA DE INSUMOS'!B90</f>
        <v>Cable de baja relajación 1/2"</v>
      </c>
      <c r="E4736" s="322" t="str">
        <f>+'LISTA DE INSUMOS'!C90</f>
        <v>M</v>
      </c>
      <c r="F4736" s="325">
        <v>0.2</v>
      </c>
      <c r="G4736" s="312">
        <f>+'LISTA DE INSUMOS'!E90</f>
        <v>61671.380342714991</v>
      </c>
      <c r="H4736" s="322">
        <v>0</v>
      </c>
      <c r="I4736" s="312">
        <f>ROUND((F4736*G4736),0)</f>
        <v>12334</v>
      </c>
    </row>
    <row r="4737" spans="2:9" s="317" customFormat="1" ht="19.5" hidden="1" customHeight="1" thickBot="1" x14ac:dyDescent="0.25">
      <c r="B4737" s="698"/>
      <c r="C4737" s="322" t="str">
        <f>+'LISTA DE INSUMOS'!A34</f>
        <v>MAT005</v>
      </c>
      <c r="D4737" s="324" t="str">
        <f>+'LISTA DE INSUMOS'!B34</f>
        <v>Piedra media zonga</v>
      </c>
      <c r="E4737" s="319" t="str">
        <f>+'LISTA DE INSUMOS'!C34</f>
        <v>M3</v>
      </c>
      <c r="F4737" s="325">
        <v>0.5</v>
      </c>
      <c r="G4737" s="312">
        <f>+'LISTA DE INSUMOS'!E34</f>
        <v>120549.00000000001</v>
      </c>
      <c r="H4737" s="322">
        <v>0</v>
      </c>
      <c r="I4737" s="312">
        <f>ROUND((F4737*G4737),0)</f>
        <v>60275</v>
      </c>
    </row>
    <row r="4738" spans="2:9" s="317" customFormat="1" ht="19.5" hidden="1" customHeight="1" thickTop="1" x14ac:dyDescent="0.2">
      <c r="B4738" s="655" t="s">
        <v>1034</v>
      </c>
      <c r="C4738" s="322" t="str">
        <f>+'LISTA DE INSUMOS'!A9</f>
        <v>MOB006</v>
      </c>
      <c r="D4738" s="324" t="str">
        <f>+'LISTA DE INSUMOS'!B9</f>
        <v>Cuadrilla A 1 Of + 4 Ay (jornal + prestaciones)</v>
      </c>
      <c r="E4738" s="322" t="str">
        <f>+'LISTA DE INSUMOS'!C9</f>
        <v>Día</v>
      </c>
      <c r="F4738" s="325">
        <v>1</v>
      </c>
      <c r="G4738" s="312">
        <f>+'LISTA DE INSUMOS'!E9</f>
        <v>491167</v>
      </c>
      <c r="H4738" s="322">
        <f>1/1.5</f>
        <v>0.66666666666666663</v>
      </c>
      <c r="I4738" s="312">
        <f>ROUND((F4738*G4738*H4738),0)</f>
        <v>327445</v>
      </c>
    </row>
    <row r="4739" spans="2:9" s="317" customFormat="1" ht="19.5" hidden="1" customHeight="1" thickBot="1" x14ac:dyDescent="0.25">
      <c r="B4739" s="656"/>
      <c r="C4739" s="322" t="str">
        <f>+'LISTA DE INSUMOS'!A14</f>
        <v>MOB011</v>
      </c>
      <c r="D4739" s="324" t="str">
        <f>+'LISTA DE INSUMOS'!B14</f>
        <v>Acarreo Horizontal (% mano obra)</v>
      </c>
      <c r="E4739" s="322" t="str">
        <f>+'LISTA DE INSUMOS'!C14</f>
        <v>% MO</v>
      </c>
      <c r="F4739" s="325">
        <v>0.1</v>
      </c>
      <c r="G4739" s="312">
        <f>+I4738</f>
        <v>327445</v>
      </c>
      <c r="H4739" s="322">
        <v>0</v>
      </c>
      <c r="I4739" s="312">
        <f>ROUND((F4739*G4739),0)</f>
        <v>32745</v>
      </c>
    </row>
    <row r="4740" spans="2:9" s="317" customFormat="1" ht="19.5" hidden="1" customHeight="1" thickTop="1" thickBot="1" x14ac:dyDescent="0.25">
      <c r="B4740" s="255" t="s">
        <v>1033</v>
      </c>
      <c r="C4740" s="327" t="str">
        <f>+'LISTA DE INSUMOS'!A758</f>
        <v>EQU002</v>
      </c>
      <c r="D4740" s="328" t="str">
        <f>+'LISTA DE INSUMOS'!B758</f>
        <v>Herramienta menor (% mano obra)</v>
      </c>
      <c r="E4740" s="329" t="str">
        <f>+'LISTA DE INSUMOS'!C758</f>
        <v>%MO</v>
      </c>
      <c r="F4740" s="330">
        <v>0.1</v>
      </c>
      <c r="G4740" s="331">
        <f>I4738</f>
        <v>327445</v>
      </c>
      <c r="H4740" s="329">
        <v>0</v>
      </c>
      <c r="I4740" s="331">
        <f>ROUND((F4740*G4740),0)</f>
        <v>32745</v>
      </c>
    </row>
    <row r="4741" spans="2:9" ht="31.5" customHeight="1" x14ac:dyDescent="0.2">
      <c r="B4741" s="117" t="s">
        <v>1927</v>
      </c>
      <c r="C4741" s="117"/>
      <c r="D4741" s="112" t="s">
        <v>2491</v>
      </c>
      <c r="E4741" s="117" t="s">
        <v>1412</v>
      </c>
      <c r="F4741" s="118"/>
      <c r="G4741" s="119">
        <f>ROUND(SUM(I4741:I4745),0)</f>
        <v>43330</v>
      </c>
      <c r="H4741" s="120"/>
      <c r="I4741" s="119"/>
    </row>
    <row r="4742" spans="2:9" ht="19.5" customHeight="1" x14ac:dyDescent="0.2">
      <c r="B4742" s="266" t="s">
        <v>1325</v>
      </c>
      <c r="C4742" s="108" t="str">
        <f>+'LISTA DE INSUMOS'!A421</f>
        <v>MAT437</v>
      </c>
      <c r="D4742" s="139" t="str">
        <f>+'LISTA DE INSUMOS'!B421</f>
        <v>Costal de fibra</v>
      </c>
      <c r="E4742" s="108" t="str">
        <f>+'LISTA DE INSUMOS'!C421</f>
        <v>Un</v>
      </c>
      <c r="F4742" s="140">
        <v>2</v>
      </c>
      <c r="G4742" s="141">
        <f>+'LISTA DE INSUMOS'!E421</f>
        <v>874.34565002399995</v>
      </c>
      <c r="H4742" s="205">
        <v>0</v>
      </c>
      <c r="I4742" s="141">
        <f>ROUND((F4742*G4742),2)</f>
        <v>1748.69</v>
      </c>
    </row>
    <row r="4743" spans="2:9" s="47" customFormat="1" ht="19.5" customHeight="1" thickBot="1" x14ac:dyDescent="0.25">
      <c r="B4743" s="191" t="s">
        <v>1310</v>
      </c>
      <c r="C4743" s="108" t="str">
        <f>+B253</f>
        <v>ITE043</v>
      </c>
      <c r="D4743" s="139" t="str">
        <f>+D253</f>
        <v>Lleno compactado con material del sitio manual</v>
      </c>
      <c r="E4743" s="108" t="str">
        <f>+E253</f>
        <v>M3</v>
      </c>
      <c r="F4743" s="176">
        <v>0.4</v>
      </c>
      <c r="G4743" s="141">
        <f>+G253</f>
        <v>36417</v>
      </c>
      <c r="H4743" s="205">
        <v>0</v>
      </c>
      <c r="I4743" s="141">
        <f>ROUND((F4743*G4743),2)</f>
        <v>14566.8</v>
      </c>
    </row>
    <row r="4744" spans="2:9" ht="19.5" customHeight="1" thickTop="1" thickBot="1" x14ac:dyDescent="0.25">
      <c r="B4744" s="156" t="s">
        <v>1034</v>
      </c>
      <c r="C4744" s="108" t="str">
        <f>+'LISTA DE INSUMOS'!A9</f>
        <v>MOB006</v>
      </c>
      <c r="D4744" s="139" t="str">
        <f>+'LISTA DE INSUMOS'!B9</f>
        <v>Cuadrilla A 1 Of + 4 Ay (jornal + prestaciones)</v>
      </c>
      <c r="E4744" s="108" t="str">
        <f>+'LISTA DE INSUMOS'!C9</f>
        <v>Día</v>
      </c>
      <c r="F4744" s="140">
        <v>1</v>
      </c>
      <c r="G4744" s="141">
        <f>+'LISTA DE INSUMOS'!E9</f>
        <v>491167</v>
      </c>
      <c r="H4744" s="108">
        <v>0.05</v>
      </c>
      <c r="I4744" s="141">
        <f>ROUND((F4744*G4744*H4744),2)</f>
        <v>24558.35</v>
      </c>
    </row>
    <row r="4745" spans="2:9" ht="19.5" customHeight="1" thickTop="1" thickBot="1" x14ac:dyDescent="0.25">
      <c r="B4745" s="150" t="s">
        <v>1033</v>
      </c>
      <c r="C4745" s="151" t="str">
        <f>+'LISTA DE INSUMOS'!A758</f>
        <v>EQU002</v>
      </c>
      <c r="D4745" s="146" t="str">
        <f>+'LISTA DE INSUMOS'!B758</f>
        <v>Herramienta menor (% mano obra)</v>
      </c>
      <c r="E4745" s="145" t="str">
        <f>+'LISTA DE INSUMOS'!C758</f>
        <v>%MO</v>
      </c>
      <c r="F4745" s="147">
        <v>0.1</v>
      </c>
      <c r="G4745" s="148">
        <f>+I4744</f>
        <v>24558.35</v>
      </c>
      <c r="H4745" s="145">
        <v>0</v>
      </c>
      <c r="I4745" s="148">
        <f>ROUND((F4745*G4745),2)</f>
        <v>2455.84</v>
      </c>
    </row>
    <row r="4746" spans="2:9" ht="19.5" customHeight="1" thickBot="1" x14ac:dyDescent="0.25">
      <c r="B4746" s="117" t="s">
        <v>1893</v>
      </c>
      <c r="C4746" s="117"/>
      <c r="D4746" s="112" t="s">
        <v>2496</v>
      </c>
      <c r="E4746" s="117" t="s">
        <v>2107</v>
      </c>
      <c r="F4746" s="118"/>
      <c r="G4746" s="119">
        <f>ROUND(SUM(I4746:I4749),0)</f>
        <v>31807</v>
      </c>
      <c r="H4746" s="120"/>
      <c r="I4746" s="119"/>
    </row>
    <row r="4747" spans="2:9" ht="19.5" customHeight="1" thickTop="1" thickBot="1" x14ac:dyDescent="0.25">
      <c r="B4747" s="156" t="s">
        <v>1034</v>
      </c>
      <c r="C4747" s="108" t="str">
        <f>+'LISTA DE INSUMOS'!A9</f>
        <v>MOB006</v>
      </c>
      <c r="D4747" s="139" t="str">
        <f>+'LISTA DE INSUMOS'!B9</f>
        <v>Cuadrilla A 1 Of + 4 Ay (jornal + prestaciones)</v>
      </c>
      <c r="E4747" s="108" t="str">
        <f>+'LISTA DE INSUMOS'!C9</f>
        <v>Día</v>
      </c>
      <c r="F4747" s="140">
        <v>1</v>
      </c>
      <c r="G4747" s="141">
        <f>+'LISTA DE INSUMOS'!E9</f>
        <v>491167</v>
      </c>
      <c r="H4747" s="108">
        <v>0.05</v>
      </c>
      <c r="I4747" s="141">
        <f>ROUND((F4747*G4747*H4747),2)</f>
        <v>24558.35</v>
      </c>
    </row>
    <row r="4748" spans="2:9" ht="19.5" customHeight="1" thickTop="1" x14ac:dyDescent="0.2">
      <c r="B4748" s="676" t="s">
        <v>1033</v>
      </c>
      <c r="C4748" s="108" t="str">
        <f>+'LISTA DE INSUMOS'!A773</f>
        <v>EQU016</v>
      </c>
      <c r="D4748" s="139" t="str">
        <f>+'LISTA DE INSUMOS'!B773</f>
        <v>Motobomba sumergible 3" con manguera</v>
      </c>
      <c r="E4748" s="108" t="str">
        <f>+'LISTA DE INSUMOS'!C773</f>
        <v>Día</v>
      </c>
      <c r="F4748" s="140">
        <v>0.125</v>
      </c>
      <c r="G4748" s="141">
        <f>+'LISTA DE INSUMOS'!E773</f>
        <v>38341.394708759995</v>
      </c>
      <c r="H4748" s="108">
        <v>0</v>
      </c>
      <c r="I4748" s="141">
        <f>+F4748*G4748</f>
        <v>4792.6743385949994</v>
      </c>
    </row>
    <row r="4749" spans="2:9" ht="19.5" customHeight="1" thickBot="1" x14ac:dyDescent="0.25">
      <c r="B4749" s="677" t="s">
        <v>1033</v>
      </c>
      <c r="C4749" s="151" t="str">
        <f>+'LISTA DE INSUMOS'!A758</f>
        <v>EQU002</v>
      </c>
      <c r="D4749" s="146" t="str">
        <f>+'LISTA DE INSUMOS'!B758</f>
        <v>Herramienta menor (% mano obra)</v>
      </c>
      <c r="E4749" s="145" t="str">
        <f>+'LISTA DE INSUMOS'!C758</f>
        <v>%MO</v>
      </c>
      <c r="F4749" s="147">
        <v>0.1</v>
      </c>
      <c r="G4749" s="148">
        <f>+I4747</f>
        <v>24558.35</v>
      </c>
      <c r="H4749" s="145">
        <v>0</v>
      </c>
      <c r="I4749" s="148">
        <f>ROUND((F4749*G4749),2)</f>
        <v>2455.84</v>
      </c>
    </row>
    <row r="4750" spans="2:9" ht="31.5" customHeight="1" thickBot="1" x14ac:dyDescent="0.25">
      <c r="B4750" s="117" t="s">
        <v>1897</v>
      </c>
      <c r="C4750" s="117"/>
      <c r="D4750" s="112" t="s">
        <v>2497</v>
      </c>
      <c r="E4750" s="117" t="s">
        <v>2498</v>
      </c>
      <c r="F4750" s="118"/>
      <c r="G4750" s="119">
        <f>ROUND(SUM(I4750:I4752),0)</f>
        <v>51455</v>
      </c>
      <c r="H4750" s="120"/>
      <c r="I4750" s="119"/>
    </row>
    <row r="4751" spans="2:9" ht="25.5" customHeight="1" thickTop="1" thickBot="1" x14ac:dyDescent="0.25">
      <c r="B4751" s="156" t="s">
        <v>1034</v>
      </c>
      <c r="C4751" s="108" t="str">
        <f>+'LISTA DE INSUMOS'!A21</f>
        <v>MOB018</v>
      </c>
      <c r="D4751" s="139" t="str">
        <f>+'LISTA DE INSUMOS'!B21</f>
        <v>Cuadrilla H 4 Ay (jornal + prestaciones)</v>
      </c>
      <c r="E4751" s="108" t="str">
        <f>+'LISTA DE INSUMOS'!C21</f>
        <v>Día</v>
      </c>
      <c r="F4751" s="140">
        <v>1</v>
      </c>
      <c r="G4751" s="141">
        <f>+'LISTA DE INSUMOS'!E21</f>
        <v>327444</v>
      </c>
      <c r="H4751" s="108">
        <f>1/7</f>
        <v>0.14285714285714285</v>
      </c>
      <c r="I4751" s="141">
        <f>+F4751*G4751*H4751</f>
        <v>46777.714285714283</v>
      </c>
    </row>
    <row r="4752" spans="2:9" ht="19.5" customHeight="1" thickTop="1" thickBot="1" x14ac:dyDescent="0.25">
      <c r="B4752" s="150" t="s">
        <v>1033</v>
      </c>
      <c r="C4752" s="151" t="str">
        <f>+'LISTA DE INSUMOS'!A758</f>
        <v>EQU002</v>
      </c>
      <c r="D4752" s="146" t="str">
        <f>+'LISTA DE INSUMOS'!B758</f>
        <v>Herramienta menor (% mano obra)</v>
      </c>
      <c r="E4752" s="145" t="str">
        <f>+'LISTA DE INSUMOS'!C758</f>
        <v>%MO</v>
      </c>
      <c r="F4752" s="147">
        <v>0.1</v>
      </c>
      <c r="G4752" s="148">
        <f>+I4751</f>
        <v>46777.714285714283</v>
      </c>
      <c r="H4752" s="145">
        <v>0</v>
      </c>
      <c r="I4752" s="148">
        <f>+F4752*G4752</f>
        <v>4677.7714285714283</v>
      </c>
    </row>
    <row r="4753" spans="2:9" s="317" customFormat="1" ht="1.5" customHeight="1" x14ac:dyDescent="0.2">
      <c r="B4753" s="319" t="s">
        <v>2504</v>
      </c>
      <c r="C4753" s="319"/>
      <c r="D4753" s="320" t="s">
        <v>2503</v>
      </c>
      <c r="E4753" s="319" t="s">
        <v>1412</v>
      </c>
      <c r="F4753" s="321"/>
      <c r="G4753" s="312">
        <f>ROUND(SUM(I4754:I4759),0)</f>
        <v>7842</v>
      </c>
      <c r="H4753" s="322"/>
      <c r="I4753" s="312"/>
    </row>
    <row r="4754" spans="2:9" s="317" customFormat="1" ht="31.5" hidden="1" customHeight="1" x14ac:dyDescent="0.2">
      <c r="B4754" s="691" t="s">
        <v>1035</v>
      </c>
      <c r="C4754" s="322" t="str">
        <f>+'LISTA DE INSUMOS'!A118</f>
        <v>MAT076</v>
      </c>
      <c r="D4754" s="324" t="str">
        <f>+'LISTA DE INSUMOS'!B118</f>
        <v xml:space="preserve">Manguera de polietileno de alta densidad PN 10 ø: 32 mm </v>
      </c>
      <c r="E4754" s="322" t="str">
        <f>+'LISTA DE INSUMOS'!C118</f>
        <v>M</v>
      </c>
      <c r="F4754" s="325">
        <v>1</v>
      </c>
      <c r="G4754" s="312">
        <f>+'LISTA DE INSUMOS'!E118</f>
        <v>6156.6362578921198</v>
      </c>
      <c r="H4754" s="322">
        <v>1.05</v>
      </c>
      <c r="I4754" s="312">
        <f>ROUND((F4754*G4754*H4754),0)</f>
        <v>6464</v>
      </c>
    </row>
    <row r="4755" spans="2:9" s="317" customFormat="1" ht="30" hidden="1" customHeight="1" x14ac:dyDescent="0.2">
      <c r="B4755" s="691"/>
      <c r="C4755" s="322" t="str">
        <f>+'LISTA DE INSUMOS'!A121</f>
        <v>MAT079</v>
      </c>
      <c r="D4755" s="324" t="str">
        <f>+'LISTA DE INSUMOS'!B121</f>
        <v xml:space="preserve">Accesorio unión Manguera de polietileno de alta densidad PN 10 ø: 32 mm </v>
      </c>
      <c r="E4755" s="322" t="str">
        <f>+'LISTA DE INSUMOS'!C121</f>
        <v>Un</v>
      </c>
      <c r="F4755" s="325">
        <v>0.02</v>
      </c>
      <c r="G4755" s="312">
        <f>+'LISTA DE INSUMOS'!E121</f>
        <v>0</v>
      </c>
      <c r="H4755" s="322">
        <v>0</v>
      </c>
      <c r="I4755" s="312">
        <f>ROUND((F4755*G4755),0)</f>
        <v>0</v>
      </c>
    </row>
    <row r="4756" spans="2:9" s="317" customFormat="1" ht="23.25" hidden="1" customHeight="1" x14ac:dyDescent="0.2">
      <c r="B4756" s="691"/>
      <c r="C4756" s="322" t="str">
        <f>+'LISTA DE INSUMOS'!A651</f>
        <v>MAT667</v>
      </c>
      <c r="D4756" s="324" t="str">
        <f>+'LISTA DE INSUMOS'!B651</f>
        <v>Limpiador removedor PVC 1/4</v>
      </c>
      <c r="E4756" s="322" t="str">
        <f>+'LISTA DE INSUMOS'!C651</f>
        <v>Un</v>
      </c>
      <c r="F4756" s="351">
        <v>1E-3</v>
      </c>
      <c r="G4756" s="312">
        <f>+'LISTA DE INSUMOS'!E651</f>
        <v>55927.469152499994</v>
      </c>
      <c r="H4756" s="322">
        <v>1.03</v>
      </c>
      <c r="I4756" s="312">
        <f>ROUND((F4756*G4756*H4756),0)</f>
        <v>58</v>
      </c>
    </row>
    <row r="4757" spans="2:9" s="317" customFormat="1" ht="25.5" hidden="1" customHeight="1" thickBot="1" x14ac:dyDescent="0.25">
      <c r="B4757" s="692"/>
      <c r="C4757" s="322" t="str">
        <f>+'LISTA DE INSUMOS'!A650</f>
        <v>MAT666</v>
      </c>
      <c r="D4757" s="324" t="str">
        <f>+'LISTA DE INSUMOS'!B650</f>
        <v>Soldadura liquida para PVC 1/4 GL</v>
      </c>
      <c r="E4757" s="322" t="str">
        <f>+'LISTA DE INSUMOS'!C650</f>
        <v>Un</v>
      </c>
      <c r="F4757" s="351">
        <v>1E-3</v>
      </c>
      <c r="G4757" s="312">
        <f>+'LISTA DE INSUMOS'!E650</f>
        <v>116100.56750324999</v>
      </c>
      <c r="H4757" s="322">
        <v>1.03</v>
      </c>
      <c r="I4757" s="312">
        <f>ROUND((F4757*G4757*H4757),0)</f>
        <v>120</v>
      </c>
    </row>
    <row r="4758" spans="2:9" s="317" customFormat="1" ht="29.25" hidden="1" customHeight="1" thickTop="1" thickBot="1" x14ac:dyDescent="0.25">
      <c r="B4758" s="372" t="s">
        <v>1034</v>
      </c>
      <c r="C4758" s="322" t="str">
        <f>+'LISTA DE INSUMOS'!A5</f>
        <v>MOB002</v>
      </c>
      <c r="D4758" s="324" t="str">
        <f>+'LISTA DE INSUMOS'!B5</f>
        <v>Oficial (jornal + prestaciones)</v>
      </c>
      <c r="E4758" s="322" t="str">
        <f>+'LISTA DE INSUMOS'!C5</f>
        <v>Día</v>
      </c>
      <c r="F4758" s="325">
        <v>1</v>
      </c>
      <c r="G4758" s="312">
        <f>+'LISTA DE INSUMOS'!E5</f>
        <v>163723</v>
      </c>
      <c r="H4758" s="322">
        <f>1/150</f>
        <v>6.6666666666666671E-3</v>
      </c>
      <c r="I4758" s="312">
        <f>ROUND((F4758*G4758*H4758),0)</f>
        <v>1091</v>
      </c>
    </row>
    <row r="4759" spans="2:9" s="317" customFormat="1" ht="43.5" hidden="1" customHeight="1" thickTop="1" thickBot="1" x14ac:dyDescent="0.25">
      <c r="B4759" s="255" t="s">
        <v>1033</v>
      </c>
      <c r="C4759" s="327" t="str">
        <f>+'LISTA DE INSUMOS'!A758</f>
        <v>EQU002</v>
      </c>
      <c r="D4759" s="328" t="str">
        <f>+'LISTA DE INSUMOS'!B758</f>
        <v>Herramienta menor (% mano obra)</v>
      </c>
      <c r="E4759" s="329" t="str">
        <f>+'LISTA DE INSUMOS'!C758</f>
        <v>%MO</v>
      </c>
      <c r="F4759" s="330">
        <v>0.1</v>
      </c>
      <c r="G4759" s="331">
        <f>I4758</f>
        <v>1091</v>
      </c>
      <c r="H4759" s="329">
        <v>0</v>
      </c>
      <c r="I4759" s="331">
        <f>ROUND((F4759*G4759),0)</f>
        <v>109</v>
      </c>
    </row>
    <row r="4760" spans="2:9" ht="34.5" customHeight="1" x14ac:dyDescent="0.2">
      <c r="B4760" s="117" t="s">
        <v>1896</v>
      </c>
      <c r="C4760" s="117"/>
      <c r="D4760" s="112" t="s">
        <v>2505</v>
      </c>
      <c r="E4760" s="117" t="s">
        <v>1412</v>
      </c>
      <c r="F4760" s="118"/>
      <c r="G4760" s="119">
        <f>ROUND(SUM(I4761:I4766),0)-2</f>
        <v>13331</v>
      </c>
      <c r="H4760" s="120"/>
      <c r="I4760" s="119"/>
    </row>
    <row r="4761" spans="2:9" ht="31.5" customHeight="1" x14ac:dyDescent="0.2">
      <c r="B4761" s="672" t="s">
        <v>1035</v>
      </c>
      <c r="C4761" s="108" t="str">
        <f>+'LISTA DE INSUMOS'!A117</f>
        <v>MAT075</v>
      </c>
      <c r="D4761" s="139" t="str">
        <f>+'LISTA DE INSUMOS'!B117</f>
        <v xml:space="preserve">Manguera de polietileno de alta densidad PN 10 ø: 63 mm </v>
      </c>
      <c r="E4761" s="108" t="str">
        <f>+'LISTA DE INSUMOS'!C117</f>
        <v>M</v>
      </c>
      <c r="F4761" s="140">
        <v>1</v>
      </c>
      <c r="G4761" s="141">
        <f>+'LISTA DE INSUMOS'!E117</f>
        <v>10212.146953580881</v>
      </c>
      <c r="H4761" s="108">
        <v>1.05</v>
      </c>
      <c r="I4761" s="141">
        <f>ROUND((F4761*G4761*H4761),0)</f>
        <v>10723</v>
      </c>
    </row>
    <row r="4762" spans="2:9" ht="31.5" customHeight="1" x14ac:dyDescent="0.2">
      <c r="B4762" s="672"/>
      <c r="C4762" s="108" t="str">
        <f>+'LISTA DE INSUMOS'!A126</f>
        <v>MAT084</v>
      </c>
      <c r="D4762" s="139" t="str">
        <f>+'LISTA DE INSUMOS'!B126</f>
        <v xml:space="preserve">Accesorio unión Manguera de polietileno de alta densidad PN 10 ø: 63 mm </v>
      </c>
      <c r="E4762" s="108" t="str">
        <f>+'LISTA DE INSUMOS'!C126</f>
        <v>Un</v>
      </c>
      <c r="F4762" s="140">
        <v>0.02</v>
      </c>
      <c r="G4762" s="141">
        <f>+'LISTA DE INSUMOS'!E126</f>
        <v>31548.369770037116</v>
      </c>
      <c r="H4762" s="108">
        <v>0</v>
      </c>
      <c r="I4762" s="141">
        <f>ROUND((F4762*G4762),0)</f>
        <v>631</v>
      </c>
    </row>
    <row r="4763" spans="2:9" ht="19.5" customHeight="1" x14ac:dyDescent="0.2">
      <c r="B4763" s="672"/>
      <c r="C4763" s="108" t="str">
        <f>+'LISTA DE INSUMOS'!A651</f>
        <v>MAT667</v>
      </c>
      <c r="D4763" s="139" t="str">
        <f>+'LISTA DE INSUMOS'!B651</f>
        <v>Limpiador removedor PVC 1/4</v>
      </c>
      <c r="E4763" s="108" t="str">
        <f>+'LISTA DE INSUMOS'!C651</f>
        <v>Un</v>
      </c>
      <c r="F4763" s="152">
        <v>1E-3</v>
      </c>
      <c r="G4763" s="141">
        <f>+'LISTA DE INSUMOS'!E651</f>
        <v>55927.469152499994</v>
      </c>
      <c r="H4763" s="108">
        <v>1.03</v>
      </c>
      <c r="I4763" s="141">
        <f>ROUND((F4763*G4763*H4763),0)</f>
        <v>58</v>
      </c>
    </row>
    <row r="4764" spans="2:9" ht="19.5" customHeight="1" thickBot="1" x14ac:dyDescent="0.25">
      <c r="B4764" s="673"/>
      <c r="C4764" s="108" t="str">
        <f>+'LISTA DE INSUMOS'!A650</f>
        <v>MAT666</v>
      </c>
      <c r="D4764" s="139" t="str">
        <f>+'LISTA DE INSUMOS'!B650</f>
        <v>Soldadura liquida para PVC 1/4 GL</v>
      </c>
      <c r="E4764" s="108" t="str">
        <f>+'LISTA DE INSUMOS'!C650</f>
        <v>Un</v>
      </c>
      <c r="F4764" s="152">
        <v>1E-3</v>
      </c>
      <c r="G4764" s="141">
        <f>+'LISTA DE INSUMOS'!E650</f>
        <v>116100.56750324999</v>
      </c>
      <c r="H4764" s="108">
        <v>1.03</v>
      </c>
      <c r="I4764" s="141">
        <f>ROUND((F4764*G4764*H4764),0)</f>
        <v>120</v>
      </c>
    </row>
    <row r="4765" spans="2:9" ht="19.5" customHeight="1" thickTop="1" thickBot="1" x14ac:dyDescent="0.25">
      <c r="B4765" s="250" t="s">
        <v>1034</v>
      </c>
      <c r="C4765" s="108" t="str">
        <f>+'LISTA DE INSUMOS'!A5</f>
        <v>MOB002</v>
      </c>
      <c r="D4765" s="139" t="str">
        <f>+'LISTA DE INSUMOS'!B5</f>
        <v>Oficial (jornal + prestaciones)</v>
      </c>
      <c r="E4765" s="108" t="str">
        <f>+'LISTA DE INSUMOS'!C5</f>
        <v>Día</v>
      </c>
      <c r="F4765" s="140">
        <v>1</v>
      </c>
      <c r="G4765" s="141">
        <f>+'LISTA DE INSUMOS'!E5</f>
        <v>163723</v>
      </c>
      <c r="H4765" s="108">
        <f>1/100</f>
        <v>0.01</v>
      </c>
      <c r="I4765" s="141">
        <f>ROUND((F4765*G4765*H4765),0)</f>
        <v>1637</v>
      </c>
    </row>
    <row r="4766" spans="2:9" ht="19.5" customHeight="1" thickTop="1" thickBot="1" x14ac:dyDescent="0.25">
      <c r="B4766" s="150" t="s">
        <v>1033</v>
      </c>
      <c r="C4766" s="151" t="str">
        <f>+'LISTA DE INSUMOS'!A758</f>
        <v>EQU002</v>
      </c>
      <c r="D4766" s="146" t="str">
        <f>+'LISTA DE INSUMOS'!B758</f>
        <v>Herramienta menor (% mano obra)</v>
      </c>
      <c r="E4766" s="145" t="str">
        <f>+'LISTA DE INSUMOS'!C758</f>
        <v>%MO</v>
      </c>
      <c r="F4766" s="147">
        <v>0.1</v>
      </c>
      <c r="G4766" s="148">
        <f>I4765</f>
        <v>1637</v>
      </c>
      <c r="H4766" s="145">
        <v>0</v>
      </c>
      <c r="I4766" s="148">
        <f>ROUND((F4766*G4766),0)</f>
        <v>164</v>
      </c>
    </row>
    <row r="4767" spans="2:9" ht="34.5" customHeight="1" x14ac:dyDescent="0.2">
      <c r="B4767" s="113" t="s">
        <v>1614</v>
      </c>
      <c r="C4767" s="113"/>
      <c r="D4767" s="121" t="s">
        <v>2508</v>
      </c>
      <c r="E4767" s="113" t="s">
        <v>1412</v>
      </c>
      <c r="F4767" s="122"/>
      <c r="G4767" s="123">
        <f>+SUM(I4768:I4774)</f>
        <v>226095.395266076</v>
      </c>
      <c r="H4767" s="124"/>
      <c r="I4767" s="123"/>
    </row>
    <row r="4768" spans="2:9" s="47" customFormat="1" ht="19.5" customHeight="1" thickBot="1" x14ac:dyDescent="0.25">
      <c r="B4768" s="262" t="s">
        <v>1310</v>
      </c>
      <c r="C4768" s="155" t="str">
        <f>+B544</f>
        <v>ITE092</v>
      </c>
      <c r="D4768" s="155" t="str">
        <f>+D544</f>
        <v>Concreto de 20,7 Mpa (3000 psi) (producción)</v>
      </c>
      <c r="E4768" s="108" t="str">
        <f>+E544</f>
        <v>M3</v>
      </c>
      <c r="F4768" s="176">
        <f>3.1416*(0.3^2)/4</f>
        <v>7.0685999999999999E-2</v>
      </c>
      <c r="G4768" s="141">
        <f>+G544</f>
        <v>596118</v>
      </c>
      <c r="H4768" s="47">
        <v>1.05</v>
      </c>
      <c r="I4768" s="141">
        <f>+F4768*G4768*H4768</f>
        <v>44244.0567954</v>
      </c>
    </row>
    <row r="4769" spans="2:9" s="47" customFormat="1" ht="19.5" customHeight="1" thickTop="1" thickBot="1" x14ac:dyDescent="0.25">
      <c r="B4769" s="158" t="s">
        <v>1034</v>
      </c>
      <c r="C4769" s="47" t="str">
        <f>+'LISTA DE INSUMOS'!A9</f>
        <v>MOB006</v>
      </c>
      <c r="D4769" s="155" t="str">
        <f>+'LISTA DE INSUMOS'!B9</f>
        <v>Cuadrilla A 1 Of + 4 Ay (jornal + prestaciones)</v>
      </c>
      <c r="E4769" s="125" t="str">
        <f>+'LISTA DE INSUMOS'!C9</f>
        <v>Día</v>
      </c>
      <c r="F4769" s="176">
        <v>1</v>
      </c>
      <c r="G4769" s="141">
        <f>+'LISTA DE INSUMOS'!E9</f>
        <v>491167</v>
      </c>
      <c r="H4769" s="267">
        <f>1/15</f>
        <v>6.6666666666666666E-2</v>
      </c>
      <c r="I4769" s="141">
        <f>+F4769*G4769*H4769</f>
        <v>32744.466666666667</v>
      </c>
    </row>
    <row r="4770" spans="2:9" s="47" customFormat="1" ht="19.5" customHeight="1" thickTop="1" x14ac:dyDescent="0.2">
      <c r="B4770" s="676" t="s">
        <v>1033</v>
      </c>
      <c r="C4770" s="47" t="str">
        <f>+'LISTA DE INSUMOS'!A758</f>
        <v>EQU002</v>
      </c>
      <c r="D4770" s="155" t="str">
        <f>+'LISTA DE INSUMOS'!B758</f>
        <v>Herramienta menor (% mano obra)</v>
      </c>
      <c r="E4770" s="125" t="str">
        <f>+'LISTA DE INSUMOS'!C758</f>
        <v>%MO</v>
      </c>
      <c r="F4770" s="176">
        <v>0.1</v>
      </c>
      <c r="G4770" s="141">
        <f>+I4769</f>
        <v>32744.466666666667</v>
      </c>
      <c r="H4770" s="47">
        <v>0</v>
      </c>
      <c r="I4770" s="141">
        <f>+F4770*G4770</f>
        <v>3274.4466666666667</v>
      </c>
    </row>
    <row r="4771" spans="2:9" s="47" customFormat="1" ht="19.5" customHeight="1" x14ac:dyDescent="0.2">
      <c r="B4771" s="695"/>
      <c r="C4771" s="47" t="str">
        <f>+'LISTA DE INSUMOS'!A812</f>
        <v>EQU057</v>
      </c>
      <c r="D4771" s="155" t="str">
        <f>+'LISTA DE INSUMOS'!B812</f>
        <v>Camisa metálica recuperable para pilotes</v>
      </c>
      <c r="E4771" s="125" t="str">
        <f>+'LISTA DE INSUMOS'!C812</f>
        <v>Día</v>
      </c>
      <c r="F4771" s="176">
        <v>2</v>
      </c>
      <c r="G4771" s="141">
        <f>+'LISTA DE INSUMOS'!E812</f>
        <v>8752.7838749999992</v>
      </c>
      <c r="H4771" s="267">
        <f>1/12</f>
        <v>8.3333333333333329E-2</v>
      </c>
      <c r="I4771" s="141">
        <f>+F4771*G4771*H4771</f>
        <v>1458.7973124999999</v>
      </c>
    </row>
    <row r="4772" spans="2:9" s="47" customFormat="1" ht="19.5" customHeight="1" x14ac:dyDescent="0.2">
      <c r="B4772" s="695"/>
      <c r="C4772" s="47" t="str">
        <f>+'LISTA DE INSUMOS'!A775</f>
        <v>EQU018</v>
      </c>
      <c r="D4772" s="155" t="str">
        <f>+'LISTA DE INSUMOS'!B775</f>
        <v>Vibrador eléctrico o a gasolina</v>
      </c>
      <c r="E4772" s="125" t="str">
        <f>+'LISTA DE INSUMOS'!C775</f>
        <v>Día</v>
      </c>
      <c r="F4772" s="176">
        <v>1</v>
      </c>
      <c r="G4772" s="141">
        <f>+'LISTA DE INSUMOS'!E775</f>
        <v>42234.2781968536</v>
      </c>
      <c r="H4772" s="47">
        <v>0.05</v>
      </c>
      <c r="I4772" s="141">
        <f>+F4772*G4772*H4772</f>
        <v>2111.7139098426801</v>
      </c>
    </row>
    <row r="4773" spans="2:9" s="47" customFormat="1" ht="19.5" customHeight="1" thickBot="1" x14ac:dyDescent="0.25">
      <c r="B4773" s="696"/>
      <c r="C4773" s="47" t="str">
        <f>+'LISTA DE INSUMOS'!A814</f>
        <v>EQU059</v>
      </c>
      <c r="D4773" s="155" t="str">
        <f>+'LISTA DE INSUMOS'!B814</f>
        <v>Equipo de perforación (Tipo piloteadora)</v>
      </c>
      <c r="E4773" s="108" t="str">
        <f>+'LISTA DE INSUMOS'!C814</f>
        <v>Hr</v>
      </c>
      <c r="F4773" s="176">
        <v>1</v>
      </c>
      <c r="G4773" s="141">
        <f>+'LISTA DE INSUMOS'!E814</f>
        <v>667545.65019999992</v>
      </c>
      <c r="H4773" s="47">
        <f>1/5</f>
        <v>0.2</v>
      </c>
      <c r="I4773" s="141">
        <f>+F4773*G4773*H4773</f>
        <v>133509.13003999999</v>
      </c>
    </row>
    <row r="4774" spans="2:9" s="47" customFormat="1" ht="19.5" customHeight="1" thickTop="1" thickBot="1" x14ac:dyDescent="0.25">
      <c r="B4774" s="171" t="s">
        <v>421</v>
      </c>
      <c r="C4774" s="173" t="str">
        <f>+'LISTA DE INSUMOS'!A823</f>
        <v>ESY001</v>
      </c>
      <c r="D4774" s="198" t="str">
        <f>+'LISTA DE INSUMOS'!B823</f>
        <v>Ensayo resistencia concretos (un testigo)</v>
      </c>
      <c r="E4774" s="194" t="str">
        <f>+'LISTA DE INSUMOS'!C823</f>
        <v>Un</v>
      </c>
      <c r="F4774" s="172">
        <f>1/10*3</f>
        <v>0.30000000000000004</v>
      </c>
      <c r="G4774" s="148">
        <f>+'LISTA DE INSUMOS'!E823</f>
        <v>29175.946249999997</v>
      </c>
      <c r="H4774" s="173">
        <v>0</v>
      </c>
      <c r="I4774" s="148">
        <f>+F4774*G4774</f>
        <v>8752.783875000001</v>
      </c>
    </row>
    <row r="4775" spans="2:9" ht="31.5" customHeight="1" x14ac:dyDescent="0.2">
      <c r="B4775" s="230" t="s">
        <v>1696</v>
      </c>
      <c r="C4775" s="120"/>
      <c r="D4775" s="231" t="s">
        <v>2506</v>
      </c>
      <c r="E4775" s="120" t="s">
        <v>1432</v>
      </c>
      <c r="F4775" s="149"/>
      <c r="G4775" s="119">
        <f>ROUND(SUM(I4775:I4788),0)</f>
        <v>1228224</v>
      </c>
      <c r="H4775" s="232"/>
      <c r="I4775" s="119"/>
    </row>
    <row r="4776" spans="2:9" ht="19.5" customHeight="1" x14ac:dyDescent="0.2">
      <c r="B4776" s="680" t="s">
        <v>1035</v>
      </c>
      <c r="C4776" s="108" t="str">
        <f>+'LISTA DE INSUMOS'!A49</f>
        <v>MAT018</v>
      </c>
      <c r="D4776" s="139" t="str">
        <f>+'LISTA DE INSUMOS'!B49</f>
        <v>Cuartón de sajo 2" x 4" x 2,9 m</v>
      </c>
      <c r="E4776" s="108" t="str">
        <f>+'LISTA DE INSUMOS'!C49</f>
        <v>M</v>
      </c>
      <c r="F4776" s="140">
        <v>15</v>
      </c>
      <c r="G4776" s="141">
        <f>+'LISTA DE INSUMOS'!E49</f>
        <v>11944.810644542158</v>
      </c>
      <c r="H4776" s="205">
        <f>1/3</f>
        <v>0.33333333333333331</v>
      </c>
      <c r="I4776" s="141">
        <f>ROUND((F4776*G4776*H4776),0)</f>
        <v>59724</v>
      </c>
    </row>
    <row r="4777" spans="2:9" ht="19.5" customHeight="1" x14ac:dyDescent="0.2">
      <c r="B4777" s="680"/>
      <c r="C4777" s="108" t="str">
        <f>+'LISTA DE INSUMOS'!A51</f>
        <v>MAT020</v>
      </c>
      <c r="D4777" s="139" t="str">
        <f>+'LISTA DE INSUMOS'!B51</f>
        <v>Guadua basa longitud promedio = 5 m</v>
      </c>
      <c r="E4777" s="108" t="str">
        <f>+'LISTA DE INSUMOS'!C51</f>
        <v>Un</v>
      </c>
      <c r="F4777" s="140">
        <v>14</v>
      </c>
      <c r="G4777" s="141">
        <f>+'LISTA DE INSUMOS'!E51</f>
        <v>8662.3499999999985</v>
      </c>
      <c r="H4777" s="205">
        <f>1/3</f>
        <v>0.33333333333333331</v>
      </c>
      <c r="I4777" s="141">
        <f>ROUND((F4777*G4777*H4777),0)</f>
        <v>40424</v>
      </c>
    </row>
    <row r="4778" spans="2:9" ht="19.5" customHeight="1" x14ac:dyDescent="0.2">
      <c r="B4778" s="680"/>
      <c r="C4778" s="108" t="str">
        <f>+'LISTA DE INSUMOS'!A52</f>
        <v>MAT021</v>
      </c>
      <c r="D4778" s="139" t="str">
        <f>+'LISTA DE INSUMOS'!B52</f>
        <v>Puntilla (promedio)</v>
      </c>
      <c r="E4778" s="108" t="str">
        <f>+'LISTA DE INSUMOS'!C52</f>
        <v>Lb</v>
      </c>
      <c r="F4778" s="176">
        <v>3</v>
      </c>
      <c r="G4778" s="141">
        <f>+'LISTA DE INSUMOS'!E52</f>
        <v>6690.6972299999998</v>
      </c>
      <c r="H4778" s="205">
        <v>0</v>
      </c>
      <c r="I4778" s="141">
        <f>ROUND((F4778*G4778),0)</f>
        <v>20072</v>
      </c>
    </row>
    <row r="4779" spans="2:9" ht="19.5" customHeight="1" x14ac:dyDescent="0.2">
      <c r="B4779" s="680"/>
      <c r="C4779" s="108" t="str">
        <f>+'LISTA DE INSUMOS'!A53</f>
        <v>MAT022</v>
      </c>
      <c r="D4779" s="139" t="str">
        <f>+'LISTA DE INSUMOS'!B53</f>
        <v>Alambre negro calibre 17</v>
      </c>
      <c r="E4779" s="108" t="str">
        <f>+'LISTA DE INSUMOS'!C53</f>
        <v>Kg</v>
      </c>
      <c r="F4779" s="140">
        <v>3</v>
      </c>
      <c r="G4779" s="141">
        <f>+'LISTA DE INSUMOS'!E53</f>
        <v>7948.98</v>
      </c>
      <c r="H4779" s="108">
        <v>0</v>
      </c>
      <c r="I4779" s="141">
        <f>ROUND((F4779*G4779),0)</f>
        <v>23847</v>
      </c>
    </row>
    <row r="4780" spans="2:9" ht="19.5" customHeight="1" x14ac:dyDescent="0.2">
      <c r="B4780" s="680"/>
      <c r="C4780" s="108" t="str">
        <f>+'LISTA DE INSUMOS'!A93</f>
        <v>MAT051</v>
      </c>
      <c r="D4780" s="139" t="str">
        <f>+'LISTA DE INSUMOS'!B93</f>
        <v>Antisol blanco</v>
      </c>
      <c r="E4780" s="108" t="str">
        <f>+'LISTA DE INSUMOS'!C93</f>
        <v>Kg</v>
      </c>
      <c r="F4780" s="140">
        <v>1.1000000000000001</v>
      </c>
      <c r="G4780" s="141">
        <f>+'LISTA DE INSUMOS'!E93</f>
        <v>11510.734499999999</v>
      </c>
      <c r="H4780" s="108">
        <v>1.03</v>
      </c>
      <c r="I4780" s="141">
        <f>ROUND((F4780*G4780*H4780),0)</f>
        <v>13042</v>
      </c>
    </row>
    <row r="4781" spans="2:9" ht="19.5" customHeight="1" thickBot="1" x14ac:dyDescent="0.25">
      <c r="B4781" s="681"/>
      <c r="C4781" s="108" t="str">
        <f>+'LISTA DE INSUMOS'!A132</f>
        <v>MAT091</v>
      </c>
      <c r="D4781" s="139" t="str">
        <f>+'LISTA DE INSUMOS'!B132</f>
        <v>Varillón de sajo</v>
      </c>
      <c r="E4781" s="108" t="str">
        <f>+'LISTA DE INSUMOS'!C132</f>
        <v>M</v>
      </c>
      <c r="F4781" s="176">
        <v>6</v>
      </c>
      <c r="G4781" s="141">
        <f>+'LISTA DE INSUMOS'!E132</f>
        <v>2979.6450687603597</v>
      </c>
      <c r="H4781" s="205">
        <v>0</v>
      </c>
      <c r="I4781" s="141">
        <f>ROUND((F4781*G4781),0)</f>
        <v>17878</v>
      </c>
    </row>
    <row r="4782" spans="2:9" ht="19.5" customHeight="1" thickTop="1" thickBot="1" x14ac:dyDescent="0.25">
      <c r="B4782" s="191" t="s">
        <v>1310</v>
      </c>
      <c r="C4782" s="108" t="str">
        <f>+B544</f>
        <v>ITE092</v>
      </c>
      <c r="D4782" s="139" t="str">
        <f>+D544</f>
        <v>Concreto de 20,7 Mpa (3000 psi) (producción)</v>
      </c>
      <c r="E4782" s="108" t="str">
        <f>+E544</f>
        <v>M3</v>
      </c>
      <c r="F4782" s="176">
        <v>1</v>
      </c>
      <c r="G4782" s="141">
        <f>+G544</f>
        <v>596118</v>
      </c>
      <c r="H4782" s="205">
        <v>1.05</v>
      </c>
      <c r="I4782" s="141">
        <f>ROUND((F4782*G4782*H4782),0)</f>
        <v>625924</v>
      </c>
    </row>
    <row r="4783" spans="2:9" ht="19.5" customHeight="1" thickTop="1" thickBot="1" x14ac:dyDescent="0.25">
      <c r="B4783" s="158" t="s">
        <v>1034</v>
      </c>
      <c r="C4783" s="108" t="str">
        <f>+'LISTA DE INSUMOS'!A16</f>
        <v>MOB013</v>
      </c>
      <c r="D4783" s="139" t="str">
        <f>+'LISTA DE INSUMOS'!B16</f>
        <v>Cuadrilla C 1 Of + 7 Ay (jornal + prestaciones)</v>
      </c>
      <c r="E4783" s="108" t="str">
        <f>+'LISTA DE INSUMOS'!C16</f>
        <v>Día</v>
      </c>
      <c r="F4783" s="140">
        <v>1</v>
      </c>
      <c r="G4783" s="141">
        <f>+'LISTA DE INSUMOS'!E16</f>
        <v>736750</v>
      </c>
      <c r="H4783" s="108">
        <v>0.42499999999999999</v>
      </c>
      <c r="I4783" s="141">
        <f>ROUND((F4783*G4783*H4783),0)</f>
        <v>313119</v>
      </c>
    </row>
    <row r="4784" spans="2:9" ht="19.5" customHeight="1" thickTop="1" x14ac:dyDescent="0.2">
      <c r="B4784" s="674" t="s">
        <v>1033</v>
      </c>
      <c r="C4784" s="108" t="str">
        <f>+'LISTA DE INSUMOS'!A758</f>
        <v>EQU002</v>
      </c>
      <c r="D4784" s="139" t="str">
        <f>+'LISTA DE INSUMOS'!B758</f>
        <v>Herramienta menor (% mano obra)</v>
      </c>
      <c r="E4784" s="108" t="str">
        <f>+'LISTA DE INSUMOS'!C758</f>
        <v>%MO</v>
      </c>
      <c r="F4784" s="140">
        <v>0.1</v>
      </c>
      <c r="G4784" s="141">
        <f>+I4783</f>
        <v>313119</v>
      </c>
      <c r="H4784" s="108">
        <v>0</v>
      </c>
      <c r="I4784" s="141">
        <f>ROUND((F4784*G4784),0)</f>
        <v>31312</v>
      </c>
    </row>
    <row r="4785" spans="2:9" ht="19.5" customHeight="1" x14ac:dyDescent="0.2">
      <c r="B4785" s="679"/>
      <c r="C4785" s="125" t="str">
        <f>+'LISTA DE INSUMOS'!A799</f>
        <v>EQU043</v>
      </c>
      <c r="D4785" s="155" t="str">
        <f>+'LISTA DE INSUMOS'!B799</f>
        <v>Tablero formaleta 70*140</v>
      </c>
      <c r="E4785" s="108" t="str">
        <f>+'LISTA DE INSUMOS'!C799</f>
        <v>Dia</v>
      </c>
      <c r="F4785" s="160">
        <v>4</v>
      </c>
      <c r="G4785" s="141">
        <f>+'LISTA DE INSUMOS'!E799</f>
        <v>910.28952299999992</v>
      </c>
      <c r="H4785" s="108">
        <f>6/3</f>
        <v>2</v>
      </c>
      <c r="I4785" s="141">
        <f>ROUND((F4785*G4785*H4785),0)</f>
        <v>7282</v>
      </c>
    </row>
    <row r="4786" spans="2:9" ht="19.5" customHeight="1" x14ac:dyDescent="0.2">
      <c r="B4786" s="679"/>
      <c r="C4786" s="125" t="str">
        <f>+'LISTA DE INSUMOS'!A762</f>
        <v>EQU006</v>
      </c>
      <c r="D4786" s="155" t="str">
        <f>+'LISTA DE INSUMOS'!B762</f>
        <v>Andamio (% mano obra)</v>
      </c>
      <c r="E4786" s="108" t="str">
        <f>+'LISTA DE INSUMOS'!C762</f>
        <v>%MO</v>
      </c>
      <c r="F4786" s="160">
        <v>0.2</v>
      </c>
      <c r="G4786" s="141">
        <f>+I4783</f>
        <v>313119</v>
      </c>
      <c r="H4786" s="108">
        <v>0</v>
      </c>
      <c r="I4786" s="141">
        <f>+F4786*G4786</f>
        <v>62623.8</v>
      </c>
    </row>
    <row r="4787" spans="2:9" ht="19.5" customHeight="1" thickBot="1" x14ac:dyDescent="0.25">
      <c r="B4787" s="675"/>
      <c r="C4787" s="108" t="str">
        <f>+'LISTA DE INSUMOS'!A775</f>
        <v>EQU018</v>
      </c>
      <c r="D4787" s="139" t="str">
        <f>+'LISTA DE INSUMOS'!B775</f>
        <v>Vibrador eléctrico o a gasolina</v>
      </c>
      <c r="E4787" s="108" t="str">
        <f>+'LISTA DE INSUMOS'!C775</f>
        <v>Día</v>
      </c>
      <c r="F4787" s="160">
        <v>1</v>
      </c>
      <c r="G4787" s="141">
        <f>+'LISTA DE INSUMOS'!E775</f>
        <v>42234.2781968536</v>
      </c>
      <c r="H4787" s="108">
        <f>1/10</f>
        <v>0.1</v>
      </c>
      <c r="I4787" s="141">
        <f>ROUND((F4787*G4787*H4787),0)</f>
        <v>4223</v>
      </c>
    </row>
    <row r="4788" spans="2:9" ht="19.5" customHeight="1" thickTop="1" thickBot="1" x14ac:dyDescent="0.25">
      <c r="B4788" s="268" t="s">
        <v>421</v>
      </c>
      <c r="C4788" s="108" t="str">
        <f>+'LISTA DE INSUMOS'!A823</f>
        <v>ESY001</v>
      </c>
      <c r="D4788" s="139" t="str">
        <f>+'LISTA DE INSUMOS'!B823</f>
        <v>Ensayo resistencia concretos (un testigo)</v>
      </c>
      <c r="E4788" s="108" t="str">
        <f>+'LISTA DE INSUMOS'!C823</f>
        <v>Un</v>
      </c>
      <c r="F4788" s="172">
        <f>1/10*3</f>
        <v>0.30000000000000004</v>
      </c>
      <c r="G4788" s="47">
        <f>+'LISTA DE INSUMOS'!E823</f>
        <v>29175.946249999997</v>
      </c>
      <c r="H4788" s="205">
        <v>0</v>
      </c>
      <c r="I4788" s="141">
        <f>ROUND((F4788*G4788),0)</f>
        <v>8753</v>
      </c>
    </row>
    <row r="4789" spans="2:9" ht="31.5" customHeight="1" x14ac:dyDescent="0.2">
      <c r="B4789" s="269" t="s">
        <v>1698</v>
      </c>
      <c r="C4789" s="224"/>
      <c r="D4789" s="270" t="s">
        <v>2507</v>
      </c>
      <c r="E4789" s="224" t="s">
        <v>1432</v>
      </c>
      <c r="F4789" s="222"/>
      <c r="G4789" s="223">
        <f>ROUND(SUM(I4789:I4802),0)</f>
        <v>1278484</v>
      </c>
      <c r="H4789" s="271"/>
      <c r="I4789" s="223"/>
    </row>
    <row r="4790" spans="2:9" s="47" customFormat="1" ht="19.5" customHeight="1" x14ac:dyDescent="0.2">
      <c r="B4790" s="680" t="s">
        <v>1035</v>
      </c>
      <c r="C4790" s="47" t="str">
        <f>+'LISTA DE INSUMOS'!A49</f>
        <v>MAT018</v>
      </c>
      <c r="D4790" s="155" t="str">
        <f>+'LISTA DE INSUMOS'!B49</f>
        <v>Cuartón de sajo 2" x 4" x 2,9 m</v>
      </c>
      <c r="E4790" s="125" t="str">
        <f>+'LISTA DE INSUMOS'!C49</f>
        <v>M</v>
      </c>
      <c r="F4790" s="176">
        <v>15</v>
      </c>
      <c r="G4790" s="141">
        <f>+'LISTA DE INSUMOS'!E49</f>
        <v>11944.810644542158</v>
      </c>
      <c r="H4790" s="267">
        <f>1/3</f>
        <v>0.33333333333333331</v>
      </c>
      <c r="I4790" s="141">
        <f>ROUND((F4790*G4790*H4790),0)</f>
        <v>59724</v>
      </c>
    </row>
    <row r="4791" spans="2:9" s="47" customFormat="1" ht="19.5" customHeight="1" x14ac:dyDescent="0.2">
      <c r="B4791" s="680"/>
      <c r="C4791" s="47" t="str">
        <f>+'LISTA DE INSUMOS'!A51</f>
        <v>MAT020</v>
      </c>
      <c r="D4791" s="155" t="str">
        <f>+'LISTA DE INSUMOS'!B51</f>
        <v>Guadua basa longitud promedio = 5 m</v>
      </c>
      <c r="E4791" s="125" t="str">
        <f>+'LISTA DE INSUMOS'!C51</f>
        <v>Un</v>
      </c>
      <c r="F4791" s="176">
        <v>14</v>
      </c>
      <c r="G4791" s="141">
        <f>+'LISTA DE INSUMOS'!E51</f>
        <v>8662.3499999999985</v>
      </c>
      <c r="H4791" s="267">
        <f>1/3</f>
        <v>0.33333333333333331</v>
      </c>
      <c r="I4791" s="141">
        <f>ROUND((F4791*G4791*H4791),0)</f>
        <v>40424</v>
      </c>
    </row>
    <row r="4792" spans="2:9" s="47" customFormat="1" ht="19.5" customHeight="1" x14ac:dyDescent="0.2">
      <c r="B4792" s="680"/>
      <c r="C4792" s="47" t="str">
        <f>+'LISTA DE INSUMOS'!A52</f>
        <v>MAT021</v>
      </c>
      <c r="D4792" s="155" t="str">
        <f>+'LISTA DE INSUMOS'!B52</f>
        <v>Puntilla (promedio)</v>
      </c>
      <c r="E4792" s="125" t="str">
        <f>+'LISTA DE INSUMOS'!C52</f>
        <v>Lb</v>
      </c>
      <c r="F4792" s="176">
        <v>3</v>
      </c>
      <c r="G4792" s="141">
        <f>+'LISTA DE INSUMOS'!E52</f>
        <v>6690.6972299999998</v>
      </c>
      <c r="H4792" s="267">
        <v>0</v>
      </c>
      <c r="I4792" s="141">
        <f>ROUND((F4792*G4792),0)</f>
        <v>20072</v>
      </c>
    </row>
    <row r="4793" spans="2:9" s="47" customFormat="1" ht="19.5" customHeight="1" x14ac:dyDescent="0.2">
      <c r="B4793" s="680"/>
      <c r="C4793" s="47" t="str">
        <f>+'LISTA DE INSUMOS'!A53</f>
        <v>MAT022</v>
      </c>
      <c r="D4793" s="155" t="str">
        <f>+'LISTA DE INSUMOS'!B53</f>
        <v>Alambre negro calibre 17</v>
      </c>
      <c r="E4793" s="125" t="str">
        <f>+'LISTA DE INSUMOS'!C53</f>
        <v>Kg</v>
      </c>
      <c r="F4793" s="176">
        <v>3</v>
      </c>
      <c r="G4793" s="141">
        <f>+'LISTA DE INSUMOS'!E53</f>
        <v>7948.98</v>
      </c>
      <c r="H4793" s="267">
        <v>0</v>
      </c>
      <c r="I4793" s="141">
        <f>ROUND((F4793*G4793),0)</f>
        <v>23847</v>
      </c>
    </row>
    <row r="4794" spans="2:9" s="47" customFormat="1" ht="19.5" customHeight="1" x14ac:dyDescent="0.2">
      <c r="B4794" s="680"/>
      <c r="C4794" s="47" t="str">
        <f>+'LISTA DE INSUMOS'!A93</f>
        <v>MAT051</v>
      </c>
      <c r="D4794" s="155" t="str">
        <f>+'LISTA DE INSUMOS'!B93</f>
        <v>Antisol blanco</v>
      </c>
      <c r="E4794" s="125" t="str">
        <f>+'LISTA DE INSUMOS'!C93</f>
        <v>Kg</v>
      </c>
      <c r="F4794" s="176">
        <v>1.1000000000000001</v>
      </c>
      <c r="G4794" s="141">
        <f>+'LISTA DE INSUMOS'!E93</f>
        <v>11510.734499999999</v>
      </c>
      <c r="H4794" s="47">
        <v>1.03</v>
      </c>
      <c r="I4794" s="141">
        <f t="shared" ref="I4794:I4801" si="42">ROUND((F4794*G4794*H4794),0)</f>
        <v>13042</v>
      </c>
    </row>
    <row r="4795" spans="2:9" s="47" customFormat="1" ht="19.5" customHeight="1" thickBot="1" x14ac:dyDescent="0.25">
      <c r="B4795" s="681"/>
      <c r="C4795" s="47" t="str">
        <f>+'LISTA DE INSUMOS'!A132</f>
        <v>MAT091</v>
      </c>
      <c r="D4795" s="155" t="str">
        <f>+'LISTA DE INSUMOS'!B132</f>
        <v>Varillón de sajo</v>
      </c>
      <c r="E4795" s="125" t="str">
        <f>+'LISTA DE INSUMOS'!C132</f>
        <v>M</v>
      </c>
      <c r="F4795" s="176">
        <v>6</v>
      </c>
      <c r="G4795" s="141">
        <f>+'LISTA DE INSUMOS'!E132</f>
        <v>2979.6450687603597</v>
      </c>
      <c r="H4795" s="267">
        <v>0</v>
      </c>
      <c r="I4795" s="141">
        <f>ROUND((F4795*G4795),0)</f>
        <v>17878</v>
      </c>
    </row>
    <row r="4796" spans="2:9" s="47" customFormat="1" ht="19.5" customHeight="1" thickTop="1" thickBot="1" x14ac:dyDescent="0.25">
      <c r="B4796" s="191" t="s">
        <v>1310</v>
      </c>
      <c r="C4796" s="155" t="str">
        <f>+B535</f>
        <v>ITE091</v>
      </c>
      <c r="D4796" s="155" t="str">
        <f>+D535</f>
        <v>Concreto de 27,6 Mpa (4000 psi) (producción)</v>
      </c>
      <c r="E4796" s="108" t="str">
        <f>+E535</f>
        <v>M3</v>
      </c>
      <c r="F4796" s="176">
        <v>1</v>
      </c>
      <c r="G4796" s="141">
        <f>+G535</f>
        <v>643985</v>
      </c>
      <c r="H4796" s="47">
        <v>1.05</v>
      </c>
      <c r="I4796" s="141">
        <f t="shared" si="42"/>
        <v>676184</v>
      </c>
    </row>
    <row r="4797" spans="2:9" s="47" customFormat="1" ht="19.5" customHeight="1" thickTop="1" thickBot="1" x14ac:dyDescent="0.25">
      <c r="B4797" s="158" t="s">
        <v>1034</v>
      </c>
      <c r="C4797" s="47" t="str">
        <f>+'LISTA DE INSUMOS'!A16</f>
        <v>MOB013</v>
      </c>
      <c r="D4797" s="155" t="str">
        <f>+'LISTA DE INSUMOS'!B16</f>
        <v>Cuadrilla C 1 Of + 7 Ay (jornal + prestaciones)</v>
      </c>
      <c r="E4797" s="125" t="str">
        <f>+'LISTA DE INSUMOS'!C16</f>
        <v>Día</v>
      </c>
      <c r="F4797" s="176">
        <v>1</v>
      </c>
      <c r="G4797" s="141">
        <f>+'LISTA DE INSUMOS'!E16</f>
        <v>736750</v>
      </c>
      <c r="H4797" s="267">
        <v>0.42499999999999999</v>
      </c>
      <c r="I4797" s="141">
        <f t="shared" si="42"/>
        <v>313119</v>
      </c>
    </row>
    <row r="4798" spans="2:9" s="47" customFormat="1" ht="19.5" customHeight="1" thickTop="1" x14ac:dyDescent="0.2">
      <c r="B4798" s="674" t="s">
        <v>1033</v>
      </c>
      <c r="C4798" s="47" t="str">
        <f>+'LISTA DE INSUMOS'!A758</f>
        <v>EQU002</v>
      </c>
      <c r="D4798" s="155" t="str">
        <f>+'LISTA DE INSUMOS'!B758</f>
        <v>Herramienta menor (% mano obra)</v>
      </c>
      <c r="E4798" s="125" t="str">
        <f>+'LISTA DE INSUMOS'!C758</f>
        <v>%MO</v>
      </c>
      <c r="F4798" s="176">
        <v>0.1</v>
      </c>
      <c r="G4798" s="141">
        <f>+I4797</f>
        <v>313119</v>
      </c>
      <c r="H4798" s="267">
        <v>0</v>
      </c>
      <c r="I4798" s="141">
        <f>ROUND((F4798*G4798),0)</f>
        <v>31312</v>
      </c>
    </row>
    <row r="4799" spans="2:9" s="47" customFormat="1" ht="19.5" customHeight="1" x14ac:dyDescent="0.2">
      <c r="B4799" s="679"/>
      <c r="C4799" s="47" t="str">
        <f>+'LISTA DE INSUMOS'!A799</f>
        <v>EQU043</v>
      </c>
      <c r="D4799" s="155" t="str">
        <f>+'LISTA DE INSUMOS'!B799</f>
        <v>Tablero formaleta 70*140</v>
      </c>
      <c r="E4799" s="125" t="str">
        <f>+'LISTA DE INSUMOS'!C799</f>
        <v>Dia</v>
      </c>
      <c r="F4799" s="176">
        <v>4</v>
      </c>
      <c r="G4799" s="141">
        <f>+'LISTA DE INSUMOS'!E799</f>
        <v>910.28952299999992</v>
      </c>
      <c r="H4799" s="267">
        <v>2</v>
      </c>
      <c r="I4799" s="141">
        <f t="shared" si="42"/>
        <v>7282</v>
      </c>
    </row>
    <row r="4800" spans="2:9" s="47" customFormat="1" ht="19.5" customHeight="1" x14ac:dyDescent="0.2">
      <c r="B4800" s="679"/>
      <c r="C4800" s="47" t="str">
        <f>+'LISTA DE INSUMOS'!A762</f>
        <v>EQU006</v>
      </c>
      <c r="D4800" s="155" t="str">
        <f>+'LISTA DE INSUMOS'!B762</f>
        <v>Andamio (% mano obra)</v>
      </c>
      <c r="E4800" s="125" t="str">
        <f>+'LISTA DE INSUMOS'!C762</f>
        <v>%MO</v>
      </c>
      <c r="F4800" s="176">
        <v>0.2</v>
      </c>
      <c r="G4800" s="141">
        <f>+I4797</f>
        <v>313119</v>
      </c>
      <c r="H4800" s="267">
        <v>0</v>
      </c>
      <c r="I4800" s="141">
        <f>ROUND((F4800*G4800),0)</f>
        <v>62624</v>
      </c>
    </row>
    <row r="4801" spans="2:9" s="47" customFormat="1" ht="19.5" customHeight="1" thickBot="1" x14ac:dyDescent="0.25">
      <c r="B4801" s="675"/>
      <c r="C4801" s="47" t="str">
        <f>+'LISTA DE INSUMOS'!A775</f>
        <v>EQU018</v>
      </c>
      <c r="D4801" s="155" t="str">
        <f>+'LISTA DE INSUMOS'!B775</f>
        <v>Vibrador eléctrico o a gasolina</v>
      </c>
      <c r="E4801" s="125" t="str">
        <f>+'LISTA DE INSUMOS'!C775</f>
        <v>Día</v>
      </c>
      <c r="F4801" s="176">
        <v>1</v>
      </c>
      <c r="G4801" s="141">
        <f>+'LISTA DE INSUMOS'!E775</f>
        <v>42234.2781968536</v>
      </c>
      <c r="H4801" s="267">
        <v>0.1</v>
      </c>
      <c r="I4801" s="141">
        <f t="shared" si="42"/>
        <v>4223</v>
      </c>
    </row>
    <row r="4802" spans="2:9" s="47" customFormat="1" ht="19.5" customHeight="1" thickTop="1" thickBot="1" x14ac:dyDescent="0.25">
      <c r="B4802" s="272" t="s">
        <v>421</v>
      </c>
      <c r="C4802" s="273" t="str">
        <f>+'LISTA DE INSUMOS'!A823</f>
        <v>ESY001</v>
      </c>
      <c r="D4802" s="274" t="str">
        <f>+'LISTA DE INSUMOS'!B823</f>
        <v>Ensayo resistencia concretos (un testigo)</v>
      </c>
      <c r="E4802" s="275" t="str">
        <f>+'LISTA DE INSUMOS'!C823</f>
        <v>Un</v>
      </c>
      <c r="F4802" s="172">
        <f>1/10*3</f>
        <v>0.30000000000000004</v>
      </c>
      <c r="G4802" s="276">
        <f>+'LISTA DE INSUMOS'!E823</f>
        <v>29175.946249999997</v>
      </c>
      <c r="H4802" s="277">
        <v>0</v>
      </c>
      <c r="I4802" s="276">
        <f>ROUND((F4802*G4802),0)</f>
        <v>8753</v>
      </c>
    </row>
    <row r="4803" spans="2:9" ht="19.5" customHeight="1" x14ac:dyDescent="0.2">
      <c r="B4803" s="262" t="s">
        <v>1526</v>
      </c>
      <c r="C4803" s="251"/>
      <c r="D4803" s="251" t="s">
        <v>2510</v>
      </c>
      <c r="E4803" s="262" t="s">
        <v>1432</v>
      </c>
      <c r="F4803" s="251"/>
      <c r="G4803" s="119">
        <f>ROUND(SUM(I4804:I4807),0)</f>
        <v>703381</v>
      </c>
      <c r="H4803" s="251"/>
      <c r="I4803" s="251"/>
    </row>
    <row r="4804" spans="2:9" ht="19.5" customHeight="1" thickBot="1" x14ac:dyDescent="0.25">
      <c r="B4804" s="175" t="s">
        <v>1325</v>
      </c>
      <c r="C4804" s="125" t="str">
        <f>+'LISTA DE INSUMOS'!A498</f>
        <v>MAT515</v>
      </c>
      <c r="D4804" s="155" t="str">
        <f>+'LISTA DE INSUMOS'!B498</f>
        <v>Fluidificante para concretos</v>
      </c>
      <c r="E4804" s="125" t="str">
        <f>+'LISTA DE INSUMOS'!C498</f>
        <v>Kg</v>
      </c>
      <c r="F4804" s="140">
        <v>3.5</v>
      </c>
      <c r="G4804" s="141">
        <f>+'LISTA DE INSUMOS'!E498</f>
        <v>13992.624354353698</v>
      </c>
      <c r="H4804" s="108">
        <v>1.03</v>
      </c>
      <c r="I4804" s="141">
        <f>ROUND((F4804*G4804*H4804),0)</f>
        <v>50443</v>
      </c>
    </row>
    <row r="4805" spans="2:9" ht="19.5" customHeight="1" thickTop="1" thickBot="1" x14ac:dyDescent="0.25">
      <c r="B4805" s="191" t="s">
        <v>1310</v>
      </c>
      <c r="C4805" s="108" t="str">
        <f>+B544</f>
        <v>ITE092</v>
      </c>
      <c r="D4805" s="139" t="str">
        <f>+D544</f>
        <v>Concreto de 20,7 Mpa (3000 psi) (producción)</v>
      </c>
      <c r="E4805" s="108" t="str">
        <f>+E544</f>
        <v>M3</v>
      </c>
      <c r="F4805" s="140">
        <v>1</v>
      </c>
      <c r="G4805" s="141">
        <f>+G544</f>
        <v>596118</v>
      </c>
      <c r="H4805" s="108">
        <v>1.05</v>
      </c>
      <c r="I4805" s="141">
        <f>ROUND((F4805*G4805*H4805),0)</f>
        <v>625924</v>
      </c>
    </row>
    <row r="4806" spans="2:9" ht="19.5" customHeight="1" thickTop="1" thickBot="1" x14ac:dyDescent="0.25">
      <c r="B4806" s="250" t="s">
        <v>1034</v>
      </c>
      <c r="C4806" s="108" t="str">
        <f>+'LISTA DE INSUMOS'!A18</f>
        <v>MOB015</v>
      </c>
      <c r="D4806" s="139" t="str">
        <f>+'LISTA DE INSUMOS'!B18</f>
        <v>Cuadrilla E 1 Of + 1 Ay (jornal + prestaciones)</v>
      </c>
      <c r="E4806" s="108" t="str">
        <f>+'LISTA DE INSUMOS'!C18</f>
        <v>Día</v>
      </c>
      <c r="F4806" s="176">
        <v>1</v>
      </c>
      <c r="G4806" s="141">
        <f>+'LISTA DE INSUMOS'!E18</f>
        <v>245584</v>
      </c>
      <c r="H4806" s="205">
        <f>1/10</f>
        <v>0.1</v>
      </c>
      <c r="I4806" s="141">
        <f>ROUND((F4806*G4806*H4806),0)</f>
        <v>24558</v>
      </c>
    </row>
    <row r="4807" spans="2:9" ht="19.5" customHeight="1" thickTop="1" thickBot="1" x14ac:dyDescent="0.25">
      <c r="B4807" s="150" t="s">
        <v>1033</v>
      </c>
      <c r="C4807" s="151" t="str">
        <f>+'LISTA DE INSUMOS'!A758</f>
        <v>EQU002</v>
      </c>
      <c r="D4807" s="146" t="str">
        <f>+'LISTA DE INSUMOS'!B758</f>
        <v>Herramienta menor (% mano obra)</v>
      </c>
      <c r="E4807" s="145" t="str">
        <f>+'LISTA DE INSUMOS'!C758</f>
        <v>%MO</v>
      </c>
      <c r="F4807" s="229">
        <v>0.1</v>
      </c>
      <c r="G4807" s="148">
        <f>+I4806</f>
        <v>24558</v>
      </c>
      <c r="H4807" s="206">
        <v>0</v>
      </c>
      <c r="I4807" s="148">
        <f>ROUND((F4807*G4807),0)</f>
        <v>2456</v>
      </c>
    </row>
    <row r="4808" spans="2:9" ht="35.25" customHeight="1" x14ac:dyDescent="0.2">
      <c r="B4808" s="117" t="s">
        <v>1525</v>
      </c>
      <c r="C4808" s="117"/>
      <c r="D4808" s="112" t="s">
        <v>2511</v>
      </c>
      <c r="E4808" s="117" t="s">
        <v>2586</v>
      </c>
      <c r="F4808" s="118"/>
      <c r="G4808" s="119">
        <f>ROUND(SUM(I4808:I4819),0)</f>
        <v>791648</v>
      </c>
      <c r="H4808" s="120"/>
      <c r="I4808" s="119"/>
    </row>
    <row r="4809" spans="2:9" ht="19.5" customHeight="1" x14ac:dyDescent="0.2">
      <c r="B4809" s="672" t="s">
        <v>1035</v>
      </c>
      <c r="C4809" s="108" t="str">
        <f>+'LISTA DE INSUMOS'!A46</f>
        <v>MAT017</v>
      </c>
      <c r="D4809" s="139" t="str">
        <f>+'LISTA DE INSUMOS'!B46</f>
        <v>Tabla para formaleta de 1" x 10" x 2,9 m</v>
      </c>
      <c r="E4809" s="108" t="str">
        <f>+'LISTA DE INSUMOS'!C46</f>
        <v>M</v>
      </c>
      <c r="F4809" s="140">
        <v>8</v>
      </c>
      <c r="G4809" s="141">
        <f>+'LISTA DE INSUMOS'!E46</f>
        <v>8112.0359999999991</v>
      </c>
      <c r="H4809" s="108">
        <f>1/3</f>
        <v>0.33333333333333331</v>
      </c>
      <c r="I4809" s="141">
        <f>ROUND((F4809*G4809*H4809),0)</f>
        <v>21632</v>
      </c>
    </row>
    <row r="4810" spans="2:9" ht="19.5" customHeight="1" x14ac:dyDescent="0.2">
      <c r="B4810" s="672"/>
      <c r="C4810" s="108" t="str">
        <f>+'LISTA DE INSUMOS'!A49</f>
        <v>MAT018</v>
      </c>
      <c r="D4810" s="139" t="str">
        <f>+'LISTA DE INSUMOS'!B49</f>
        <v>Cuartón de sajo 2" x 4" x 2,9 m</v>
      </c>
      <c r="E4810" s="108" t="str">
        <f>+'LISTA DE INSUMOS'!C49</f>
        <v>M</v>
      </c>
      <c r="F4810" s="140">
        <v>3</v>
      </c>
      <c r="G4810" s="141">
        <f>+'LISTA DE INSUMOS'!E49</f>
        <v>11944.810644542158</v>
      </c>
      <c r="H4810" s="108">
        <f>1/3</f>
        <v>0.33333333333333331</v>
      </c>
      <c r="I4810" s="141">
        <f>ROUND((F4810*G4810*H4810),0)</f>
        <v>11945</v>
      </c>
    </row>
    <row r="4811" spans="2:9" ht="19.5" customHeight="1" x14ac:dyDescent="0.2">
      <c r="B4811" s="672"/>
      <c r="C4811" s="108" t="str">
        <f>+'LISTA DE INSUMOS'!A51</f>
        <v>MAT020</v>
      </c>
      <c r="D4811" s="139" t="str">
        <f>+'LISTA DE INSUMOS'!B51</f>
        <v>Guadua basa longitud promedio = 5 m</v>
      </c>
      <c r="E4811" s="108" t="str">
        <f>+'LISTA DE INSUMOS'!C51</f>
        <v>Un</v>
      </c>
      <c r="F4811" s="140">
        <v>2</v>
      </c>
      <c r="G4811" s="141">
        <f>+'LISTA DE INSUMOS'!E51</f>
        <v>8662.3499999999985</v>
      </c>
      <c r="H4811" s="108">
        <f>1/3</f>
        <v>0.33333333333333331</v>
      </c>
      <c r="I4811" s="141">
        <f>ROUND((F4811*G4811*H4811),0)</f>
        <v>5775</v>
      </c>
    </row>
    <row r="4812" spans="2:9" ht="19.5" customHeight="1" x14ac:dyDescent="0.2">
      <c r="B4812" s="672"/>
      <c r="C4812" s="108" t="str">
        <f>+'LISTA DE INSUMOS'!A52</f>
        <v>MAT021</v>
      </c>
      <c r="D4812" s="139" t="str">
        <f>+'LISTA DE INSUMOS'!B52</f>
        <v>Puntilla (promedio)</v>
      </c>
      <c r="E4812" s="108" t="str">
        <f>+'LISTA DE INSUMOS'!C52</f>
        <v>Lb</v>
      </c>
      <c r="F4812" s="140">
        <v>0.6</v>
      </c>
      <c r="G4812" s="141">
        <f>+'LISTA DE INSUMOS'!E52</f>
        <v>6690.6972299999998</v>
      </c>
      <c r="H4812" s="108">
        <v>0</v>
      </c>
      <c r="I4812" s="141">
        <f>ROUND((F4812*G4812),0)</f>
        <v>4014</v>
      </c>
    </row>
    <row r="4813" spans="2:9" ht="19.5" customHeight="1" x14ac:dyDescent="0.2">
      <c r="B4813" s="672"/>
      <c r="C4813" s="108" t="str">
        <f>+'LISTA DE INSUMOS'!A53</f>
        <v>MAT022</v>
      </c>
      <c r="D4813" s="139" t="str">
        <f>+'LISTA DE INSUMOS'!B53</f>
        <v>Alambre negro calibre 17</v>
      </c>
      <c r="E4813" s="108" t="str">
        <f>+'LISTA DE INSUMOS'!C53</f>
        <v>Kg</v>
      </c>
      <c r="F4813" s="140">
        <v>0.2</v>
      </c>
      <c r="G4813" s="141">
        <f>+'LISTA DE INSUMOS'!E53</f>
        <v>7948.98</v>
      </c>
      <c r="H4813" s="108">
        <v>0</v>
      </c>
      <c r="I4813" s="141">
        <f>ROUND((F4813*G4813),0)</f>
        <v>1590</v>
      </c>
    </row>
    <row r="4814" spans="2:9" ht="19.5" customHeight="1" thickBot="1" x14ac:dyDescent="0.25">
      <c r="B4814" s="673"/>
      <c r="C4814" s="108" t="str">
        <f>+'LISTA DE INSUMOS'!A67</f>
        <v>MAT034</v>
      </c>
      <c r="D4814" s="139" t="str">
        <f>+'LISTA DE INSUMOS'!B67</f>
        <v>ACPM</v>
      </c>
      <c r="E4814" s="108" t="str">
        <f>+'LISTA DE INSUMOS'!C67</f>
        <v>Gl</v>
      </c>
      <c r="F4814" s="140">
        <v>0.8</v>
      </c>
      <c r="G4814" s="141">
        <f>+'LISTA DE INSUMOS'!E67</f>
        <v>9681.4499999999989</v>
      </c>
      <c r="H4814" s="108">
        <v>1.05</v>
      </c>
      <c r="I4814" s="141">
        <f>ROUND((F4814*G4814*H4814),0)</f>
        <v>8132</v>
      </c>
    </row>
    <row r="4815" spans="2:9" ht="31.5" customHeight="1" thickTop="1" thickBot="1" x14ac:dyDescent="0.25">
      <c r="B4815" s="191" t="s">
        <v>1310</v>
      </c>
      <c r="C4815" s="108" t="str">
        <f>+B571</f>
        <v>ITE095</v>
      </c>
      <c r="D4815" s="139" t="str">
        <f>+D571</f>
        <v>Concreto de 20,7 Mpa (3000 psi) impermeabilizado (producción)</v>
      </c>
      <c r="E4815" s="108" t="str">
        <f>+E571</f>
        <v>M3</v>
      </c>
      <c r="F4815" s="140">
        <v>1</v>
      </c>
      <c r="G4815" s="141">
        <f>+G571</f>
        <v>639576</v>
      </c>
      <c r="H4815" s="108">
        <v>1.05</v>
      </c>
      <c r="I4815" s="141">
        <f>ROUND((F4815*G4815*H4815),0)</f>
        <v>671555</v>
      </c>
    </row>
    <row r="4816" spans="2:9" ht="19.5" customHeight="1" thickTop="1" thickBot="1" x14ac:dyDescent="0.25">
      <c r="B4816" s="156" t="s">
        <v>1034</v>
      </c>
      <c r="C4816" s="108" t="str">
        <f>+'LISTA DE INSUMOS'!A9</f>
        <v>MOB006</v>
      </c>
      <c r="D4816" s="139" t="str">
        <f>+'LISTA DE INSUMOS'!B9</f>
        <v>Cuadrilla A 1 Of + 4 Ay (jornal + prestaciones)</v>
      </c>
      <c r="E4816" s="108" t="str">
        <f>+'LISTA DE INSUMOS'!C9</f>
        <v>Día</v>
      </c>
      <c r="F4816" s="140">
        <v>1</v>
      </c>
      <c r="G4816" s="141">
        <f>+'LISTA DE INSUMOS'!E9</f>
        <v>491167</v>
      </c>
      <c r="H4816" s="108">
        <f>1/10</f>
        <v>0.1</v>
      </c>
      <c r="I4816" s="141">
        <f>ROUND((F4816*G4816*H4816),0)</f>
        <v>49117</v>
      </c>
    </row>
    <row r="4817" spans="2:9" ht="19.5" customHeight="1" thickTop="1" x14ac:dyDescent="0.2">
      <c r="B4817" s="674" t="s">
        <v>1033</v>
      </c>
      <c r="C4817" s="108" t="str">
        <f>+'LISTA DE INSUMOS'!A758</f>
        <v>EQU002</v>
      </c>
      <c r="D4817" s="139" t="str">
        <f>+'LISTA DE INSUMOS'!B758</f>
        <v>Herramienta menor (% mano obra)</v>
      </c>
      <c r="E4817" s="108" t="str">
        <f>+'LISTA DE INSUMOS'!C758</f>
        <v>%MO</v>
      </c>
      <c r="F4817" s="140">
        <v>0.1</v>
      </c>
      <c r="G4817" s="141">
        <f>+I4816</f>
        <v>49117</v>
      </c>
      <c r="H4817" s="108">
        <v>0</v>
      </c>
      <c r="I4817" s="141">
        <f>ROUND((F4817*G4817),0)</f>
        <v>4912</v>
      </c>
    </row>
    <row r="4818" spans="2:9" ht="19.5" customHeight="1" thickBot="1" x14ac:dyDescent="0.25">
      <c r="B4818" s="675"/>
      <c r="C4818" s="108" t="str">
        <f>+'LISTA DE INSUMOS'!A775</f>
        <v>EQU018</v>
      </c>
      <c r="D4818" s="139" t="str">
        <f>+'LISTA DE INSUMOS'!B775</f>
        <v>Vibrador eléctrico o a gasolina</v>
      </c>
      <c r="E4818" s="108" t="str">
        <f>+'LISTA DE INSUMOS'!C775</f>
        <v>Día</v>
      </c>
      <c r="F4818" s="160">
        <v>1</v>
      </c>
      <c r="G4818" s="141">
        <f>+'LISTA DE INSUMOS'!E775</f>
        <v>42234.2781968536</v>
      </c>
      <c r="H4818" s="108">
        <f>1/10</f>
        <v>0.1</v>
      </c>
      <c r="I4818" s="141">
        <f>ROUND((F4818*G4818*H4818),0)</f>
        <v>4223</v>
      </c>
    </row>
    <row r="4819" spans="2:9" ht="19.5" customHeight="1" thickTop="1" thickBot="1" x14ac:dyDescent="0.25">
      <c r="B4819" s="268" t="s">
        <v>421</v>
      </c>
      <c r="C4819" s="108" t="str">
        <f>+'LISTA DE INSUMOS'!A823</f>
        <v>ESY001</v>
      </c>
      <c r="D4819" s="139" t="str">
        <f>+'LISTA DE INSUMOS'!B823</f>
        <v>Ensayo resistencia concretos (un testigo)</v>
      </c>
      <c r="E4819" s="108" t="str">
        <f>+'LISTA DE INSUMOS'!C823</f>
        <v>Un</v>
      </c>
      <c r="F4819" s="172">
        <f>1/10*3</f>
        <v>0.30000000000000004</v>
      </c>
      <c r="G4819" s="47">
        <f>+'LISTA DE INSUMOS'!E823</f>
        <v>29175.946249999997</v>
      </c>
      <c r="H4819" s="278">
        <v>0</v>
      </c>
      <c r="I4819" s="141">
        <f>ROUND((F4819*G4819),0)</f>
        <v>8753</v>
      </c>
    </row>
    <row r="4820" spans="2:9" s="317" customFormat="1" ht="35.25" hidden="1" customHeight="1" x14ac:dyDescent="0.2">
      <c r="B4820" s="353" t="s">
        <v>2513</v>
      </c>
      <c r="C4820" s="353"/>
      <c r="D4820" s="354" t="s">
        <v>2512</v>
      </c>
      <c r="E4820" s="353" t="s">
        <v>1412</v>
      </c>
      <c r="F4820" s="391"/>
      <c r="G4820" s="356">
        <f>ROUND(SUM(I4820:I4827),0)</f>
        <v>134414</v>
      </c>
      <c r="H4820" s="357"/>
      <c r="I4820" s="356"/>
    </row>
    <row r="4821" spans="2:9" s="317" customFormat="1" ht="19.5" hidden="1" customHeight="1" x14ac:dyDescent="0.2">
      <c r="B4821" s="691" t="s">
        <v>1035</v>
      </c>
      <c r="C4821" s="317" t="str">
        <f>+'LISTA DE INSUMOS'!A51</f>
        <v>MAT020</v>
      </c>
      <c r="D4821" s="324" t="str">
        <f>+'LISTA DE INSUMOS'!B51</f>
        <v>Guadua basa longitud promedio = 5 m</v>
      </c>
      <c r="E4821" s="322" t="str">
        <f>+'LISTA DE INSUMOS'!C51</f>
        <v>Un</v>
      </c>
      <c r="F4821" s="332">
        <v>1</v>
      </c>
      <c r="G4821" s="312">
        <f>+'LISTA DE INSUMOS'!E51</f>
        <v>8662.3499999999985</v>
      </c>
      <c r="H4821" s="322">
        <v>1.03</v>
      </c>
      <c r="I4821" s="312">
        <f>ROUND((F4821*G4821*H4821),0)</f>
        <v>8922</v>
      </c>
    </row>
    <row r="4822" spans="2:9" s="317" customFormat="1" ht="19.5" hidden="1" customHeight="1" x14ac:dyDescent="0.2">
      <c r="B4822" s="691"/>
      <c r="C4822" s="317" t="str">
        <f>+'LISTA DE INSUMOS'!A220</f>
        <v>MAT188</v>
      </c>
      <c r="D4822" s="324" t="str">
        <f>+'LISTA DE INSUMOS'!B220</f>
        <v>Guadua sobrebasa longitud promedio = 5 m</v>
      </c>
      <c r="E4822" s="322" t="str">
        <f>+'LISTA DE INSUMOS'!C220</f>
        <v>Un</v>
      </c>
      <c r="F4822" s="332">
        <v>2.5</v>
      </c>
      <c r="G4822" s="312">
        <f>+'LISTA DE INSUMOS'!E220</f>
        <v>8743.4565002399995</v>
      </c>
      <c r="H4822" s="322">
        <v>1.03</v>
      </c>
      <c r="I4822" s="312">
        <f>ROUND((F4822*G4822*H4822),0)</f>
        <v>22514</v>
      </c>
    </row>
    <row r="4823" spans="2:9" s="317" customFormat="1" ht="19.5" hidden="1" customHeight="1" x14ac:dyDescent="0.2">
      <c r="B4823" s="691"/>
      <c r="C4823" s="317" t="str">
        <f>+'LISTA DE INSUMOS'!A190</f>
        <v>MAT148</v>
      </c>
      <c r="D4823" s="324" t="str">
        <f>+'LISTA DE INSUMOS'!B190</f>
        <v xml:space="preserve">Alambre galvanizado C 12 </v>
      </c>
      <c r="E4823" s="322" t="str">
        <f>+'LISTA DE INSUMOS'!C190</f>
        <v>Kg</v>
      </c>
      <c r="F4823" s="332">
        <v>0.5</v>
      </c>
      <c r="G4823" s="312">
        <f>+'LISTA DE INSUMOS'!E190</f>
        <v>10174.934703779998</v>
      </c>
      <c r="H4823" s="322">
        <v>0</v>
      </c>
      <c r="I4823" s="312">
        <f>ROUND((F4823*G4823),0)</f>
        <v>5087</v>
      </c>
    </row>
    <row r="4824" spans="2:9" s="317" customFormat="1" ht="19.5" hidden="1" customHeight="1" x14ac:dyDescent="0.2">
      <c r="B4824" s="691"/>
      <c r="C4824" s="317" t="str">
        <f>+'LISTA DE INSUMOS'!A165</f>
        <v>MAT120</v>
      </c>
      <c r="D4824" s="324" t="str">
        <f>+'LISTA DE INSUMOS'!B165</f>
        <v>Geotextil no tejido 1,600 a = 3,50 m</v>
      </c>
      <c r="E4824" s="322" t="str">
        <f>'LISTA DE INSUMOS'!C165</f>
        <v>M2</v>
      </c>
      <c r="F4824" s="332">
        <v>1</v>
      </c>
      <c r="G4824" s="312">
        <f>'LISTA DE INSUMOS'!E165</f>
        <v>3843.0260999999996</v>
      </c>
      <c r="H4824" s="322">
        <v>1.03</v>
      </c>
      <c r="I4824" s="312">
        <f>ROUND((F4824*G4824*H4824),0)</f>
        <v>3958</v>
      </c>
    </row>
    <row r="4825" spans="2:9" s="317" customFormat="1" ht="19.5" hidden="1" customHeight="1" thickBot="1" x14ac:dyDescent="0.25">
      <c r="B4825" s="691"/>
      <c r="C4825" s="317" t="str">
        <f>+'LISTA DE INSUMOS'!A690</f>
        <v>MAT703</v>
      </c>
      <c r="D4825" s="324" t="str">
        <f>+'LISTA DE INSUMOS'!B690</f>
        <v xml:space="preserve">Emulsión asfáltica para impermeabilizarEmulsión Asfáltica Sika, </v>
      </c>
      <c r="E4825" s="322" t="str">
        <f>+'LISTA DE INSUMOS'!C690</f>
        <v>m2</v>
      </c>
      <c r="F4825" s="332">
        <v>1</v>
      </c>
      <c r="G4825" s="312">
        <f>+'LISTA DE INSUMOS'!E690</f>
        <v>7771.1323285909493</v>
      </c>
      <c r="H4825" s="322">
        <f>+F4825/2</f>
        <v>0.5</v>
      </c>
      <c r="I4825" s="312">
        <f>ROUND((F4825*G4825*H4825),0)</f>
        <v>3886</v>
      </c>
    </row>
    <row r="4826" spans="2:9" s="317" customFormat="1" ht="19.5" hidden="1" customHeight="1" thickTop="1" thickBot="1" x14ac:dyDescent="0.25">
      <c r="B4826" s="348" t="s">
        <v>1034</v>
      </c>
      <c r="C4826" s="317" t="str">
        <f>+'LISTA DE INSUMOS'!A18</f>
        <v>MOB015</v>
      </c>
      <c r="D4826" s="324" t="str">
        <f>+'LISTA DE INSUMOS'!B18</f>
        <v>Cuadrilla E 1 Of + 1 Ay (jornal + prestaciones)</v>
      </c>
      <c r="E4826" s="322" t="str">
        <f>+'LISTA DE INSUMOS'!C18</f>
        <v>Día</v>
      </c>
      <c r="F4826" s="332">
        <v>1</v>
      </c>
      <c r="G4826" s="312">
        <f>+'LISTA DE INSUMOS'!E18</f>
        <v>245584</v>
      </c>
      <c r="H4826" s="322">
        <f>1/3</f>
        <v>0.33333333333333331</v>
      </c>
      <c r="I4826" s="312">
        <f>ROUND((F4826*G4826*H4826),0)</f>
        <v>81861</v>
      </c>
    </row>
    <row r="4827" spans="2:9" s="317" customFormat="1" ht="19.5" hidden="1" customHeight="1" thickTop="1" x14ac:dyDescent="0.2">
      <c r="B4827" s="373" t="s">
        <v>1033</v>
      </c>
      <c r="C4827" s="392" t="str">
        <f>+'LISTA DE INSUMOS'!A758</f>
        <v>EQU002</v>
      </c>
      <c r="D4827" s="393" t="str">
        <f>+'LISTA DE INSUMOS'!B758</f>
        <v>Herramienta menor (% mano obra)</v>
      </c>
      <c r="E4827" s="394" t="str">
        <f>+'LISTA DE INSUMOS'!C758</f>
        <v>%MO</v>
      </c>
      <c r="F4827" s="395">
        <v>0.1</v>
      </c>
      <c r="G4827" s="396">
        <f>+I4826</f>
        <v>81861</v>
      </c>
      <c r="H4827" s="394">
        <v>0</v>
      </c>
      <c r="I4827" s="396">
        <f>ROUND((F4827*G4827),0)</f>
        <v>8186</v>
      </c>
    </row>
    <row r="4828" spans="2:9" ht="19.5" customHeight="1" x14ac:dyDescent="0.2">
      <c r="B4828" s="117" t="s">
        <v>1794</v>
      </c>
      <c r="C4828" s="117"/>
      <c r="D4828" s="112" t="s">
        <v>2515</v>
      </c>
      <c r="E4828" s="117" t="s">
        <v>2585</v>
      </c>
      <c r="F4828" s="149"/>
      <c r="G4828" s="119">
        <f>ROUND(SUM(I4828:I4833),0)</f>
        <v>29232</v>
      </c>
      <c r="H4828" s="120"/>
      <c r="I4828" s="119"/>
    </row>
    <row r="4829" spans="2:9" ht="19.5" customHeight="1" x14ac:dyDescent="0.2">
      <c r="B4829" s="702" t="s">
        <v>1310</v>
      </c>
      <c r="C4829" s="108" t="str">
        <f>+B574</f>
        <v>ITE96</v>
      </c>
      <c r="D4829" s="139" t="str">
        <f>+D574</f>
        <v>Mortero 1:3 (producción)</v>
      </c>
      <c r="E4829" s="108" t="str">
        <f>+E574</f>
        <v>M3</v>
      </c>
      <c r="F4829" s="140">
        <v>0.03</v>
      </c>
      <c r="G4829" s="141">
        <f>+G574</f>
        <v>580906</v>
      </c>
      <c r="H4829" s="108">
        <v>1.05</v>
      </c>
      <c r="I4829" s="141">
        <f>ROUND((F4829*G4829*H4829),0)</f>
        <v>18299</v>
      </c>
    </row>
    <row r="4830" spans="2:9" ht="19.5" customHeight="1" thickBot="1" x14ac:dyDescent="0.25">
      <c r="B4830" s="703"/>
      <c r="C4830" s="108" t="str">
        <f>+B581</f>
        <v>ITE97</v>
      </c>
      <c r="D4830" s="139" t="str">
        <f>+D581</f>
        <v>Acero Fy = 37.000 psi d=1/4"</v>
      </c>
      <c r="E4830" s="108" t="str">
        <f>+E581</f>
        <v>Kg</v>
      </c>
      <c r="F4830" s="140">
        <f>0.15*0.25*2</f>
        <v>7.4999999999999997E-2</v>
      </c>
      <c r="G4830" s="141">
        <f>+G581</f>
        <v>7388</v>
      </c>
      <c r="H4830" s="108">
        <v>0</v>
      </c>
      <c r="I4830" s="141">
        <f>ROUND((F4830*G4830),0)</f>
        <v>554</v>
      </c>
    </row>
    <row r="4831" spans="2:9" ht="19.5" customHeight="1" thickTop="1" thickBot="1" x14ac:dyDescent="0.25">
      <c r="B4831" s="175" t="s">
        <v>1325</v>
      </c>
      <c r="C4831" s="108" t="str">
        <f>+'LISTA DE INSUMOS'!A69</f>
        <v>MAT036</v>
      </c>
      <c r="D4831" s="139" t="str">
        <f>+'LISTA DE INSUMOS'!B69</f>
        <v>Malla de gallinero 3/4 hexagonal</v>
      </c>
      <c r="E4831" s="108" t="str">
        <f>+'LISTA DE INSUMOS'!C69</f>
        <v>M2</v>
      </c>
      <c r="F4831" s="140">
        <v>1</v>
      </c>
      <c r="G4831" s="141">
        <f>+'LISTA DE INSUMOS'!E69</f>
        <v>2533.4825999999998</v>
      </c>
      <c r="H4831" s="108">
        <v>1.05</v>
      </c>
      <c r="I4831" s="141">
        <f>ROUND((F4831*G4831*H4831),0)</f>
        <v>2660</v>
      </c>
    </row>
    <row r="4832" spans="2:9" ht="19.5" customHeight="1" thickTop="1" thickBot="1" x14ac:dyDescent="0.25">
      <c r="B4832" s="158" t="s">
        <v>1034</v>
      </c>
      <c r="C4832" s="108" t="str">
        <f>+'LISTA DE INSUMOS'!A18</f>
        <v>MOB015</v>
      </c>
      <c r="D4832" s="139" t="str">
        <f>+'LISTA DE INSUMOS'!B18</f>
        <v>Cuadrilla E 1 Of + 1 Ay (jornal + prestaciones)</v>
      </c>
      <c r="E4832" s="108" t="str">
        <f>+'LISTA DE INSUMOS'!C18</f>
        <v>Día</v>
      </c>
      <c r="F4832" s="140">
        <v>1</v>
      </c>
      <c r="G4832" s="141">
        <f>+'LISTA DE INSUMOS'!E18</f>
        <v>245584</v>
      </c>
      <c r="H4832" s="108">
        <f>1/35</f>
        <v>2.8571428571428571E-2</v>
      </c>
      <c r="I4832" s="141">
        <f>ROUND((F4832*G4832*H4832),0)</f>
        <v>7017</v>
      </c>
    </row>
    <row r="4833" spans="2:9" ht="19.5" customHeight="1" thickTop="1" thickBot="1" x14ac:dyDescent="0.25">
      <c r="B4833" s="254" t="s">
        <v>2514</v>
      </c>
      <c r="C4833" s="145" t="str">
        <f>+'LISTA DE INSUMOS'!A758</f>
        <v>EQU002</v>
      </c>
      <c r="D4833" s="146" t="str">
        <f>+'LISTA DE INSUMOS'!B758</f>
        <v>Herramienta menor (% mano obra)</v>
      </c>
      <c r="E4833" s="145" t="str">
        <f>+'LISTA DE INSUMOS'!C758</f>
        <v>%MO</v>
      </c>
      <c r="F4833" s="147">
        <v>0.1</v>
      </c>
      <c r="G4833" s="148">
        <f>I4832</f>
        <v>7017</v>
      </c>
      <c r="H4833" s="145">
        <v>0</v>
      </c>
      <c r="I4833" s="148">
        <f>ROUND((F4833*G4833),0)</f>
        <v>702</v>
      </c>
    </row>
    <row r="4834" spans="2:9" s="317" customFormat="1" ht="19.5" hidden="1" customHeight="1" x14ac:dyDescent="0.2">
      <c r="B4834" s="319" t="s">
        <v>2518</v>
      </c>
      <c r="C4834" s="319"/>
      <c r="D4834" s="320" t="s">
        <v>2517</v>
      </c>
      <c r="E4834" s="319" t="s">
        <v>1412</v>
      </c>
      <c r="F4834" s="332"/>
      <c r="G4834" s="312">
        <f>ROUND(SUM(I4835:I4841),0)</f>
        <v>383620</v>
      </c>
    </row>
    <row r="4835" spans="2:9" s="317" customFormat="1" ht="19.5" hidden="1" customHeight="1" thickBot="1" x14ac:dyDescent="0.25">
      <c r="B4835" s="338" t="s">
        <v>1310</v>
      </c>
      <c r="C4835" s="322" t="str">
        <f>+B535</f>
        <v>ITE091</v>
      </c>
      <c r="D4835" s="320" t="str">
        <f>+D535</f>
        <v>Concreto de 27,6 Mpa (4000 psi) (producción)</v>
      </c>
      <c r="E4835" s="322" t="str">
        <f>+E535</f>
        <v>M3</v>
      </c>
      <c r="F4835" s="332">
        <f>3.1416*(0.5^2)/4</f>
        <v>0.19635</v>
      </c>
      <c r="G4835" s="312">
        <f>+G535</f>
        <v>643985</v>
      </c>
      <c r="H4835" s="322">
        <v>1.05</v>
      </c>
      <c r="I4835" s="312">
        <f>ROUND((F4835*G4835*H4835),0)</f>
        <v>132769</v>
      </c>
    </row>
    <row r="4836" spans="2:9" s="317" customFormat="1" ht="19.5" hidden="1" customHeight="1" thickTop="1" thickBot="1" x14ac:dyDescent="0.25">
      <c r="B4836" s="342" t="s">
        <v>1034</v>
      </c>
      <c r="C4836" s="338" t="str">
        <f>+'LISTA DE INSUMOS'!A9</f>
        <v>MOB006</v>
      </c>
      <c r="D4836" s="339" t="str">
        <f>+'LISTA DE INSUMOS'!B9</f>
        <v>Cuadrilla A 1 Of + 4 Ay (jornal + prestaciones)</v>
      </c>
      <c r="E4836" s="322" t="str">
        <f>+'LISTA DE INSUMOS'!C9</f>
        <v>Día</v>
      </c>
      <c r="F4836" s="332">
        <v>1</v>
      </c>
      <c r="G4836" s="312">
        <f>+'LISTA DE INSUMOS'!E9</f>
        <v>491167</v>
      </c>
      <c r="H4836" s="322">
        <f>1/7</f>
        <v>0.14285714285714285</v>
      </c>
      <c r="I4836" s="312">
        <f>ROUND((F4836*G4836*H4836),0)</f>
        <v>70167</v>
      </c>
    </row>
    <row r="4837" spans="2:9" s="317" customFormat="1" ht="19.5" hidden="1" customHeight="1" thickTop="1" x14ac:dyDescent="0.2">
      <c r="B4837" s="665" t="s">
        <v>1033</v>
      </c>
      <c r="C4837" s="322" t="str">
        <f>+'LISTA DE INSUMOS'!A758</f>
        <v>EQU002</v>
      </c>
      <c r="D4837" s="324" t="str">
        <f>+'LISTA DE INSUMOS'!B758</f>
        <v>Herramienta menor (% mano obra)</v>
      </c>
      <c r="E4837" s="322" t="str">
        <f>+'LISTA DE INSUMOS'!C758</f>
        <v>%MO</v>
      </c>
      <c r="F4837" s="321">
        <v>0.1</v>
      </c>
      <c r="G4837" s="312">
        <f>+I4836</f>
        <v>70167</v>
      </c>
      <c r="H4837" s="349">
        <v>0</v>
      </c>
      <c r="I4837" s="312">
        <f>ROUND((F4837*G4837),0)</f>
        <v>7017</v>
      </c>
    </row>
    <row r="4838" spans="2:9" s="317" customFormat="1" ht="19.5" hidden="1" customHeight="1" x14ac:dyDescent="0.2">
      <c r="B4838" s="666"/>
      <c r="C4838" s="338" t="str">
        <f>+'LISTA DE INSUMOS'!A812</f>
        <v>EQU057</v>
      </c>
      <c r="D4838" s="339" t="str">
        <f>+'LISTA DE INSUMOS'!B812</f>
        <v>Camisa metálica recuperable para pilotes</v>
      </c>
      <c r="E4838" s="322" t="str">
        <f>+'LISTA DE INSUMOS'!C812</f>
        <v>Día</v>
      </c>
      <c r="F4838" s="321">
        <v>2</v>
      </c>
      <c r="G4838" s="312">
        <f>+'LISTA DE INSUMOS'!E812</f>
        <v>8752.7838749999992</v>
      </c>
      <c r="H4838" s="349">
        <f>1/10</f>
        <v>0.1</v>
      </c>
      <c r="I4838" s="312">
        <f>ROUND((F4838*G4838*H4838),0)</f>
        <v>1751</v>
      </c>
    </row>
    <row r="4839" spans="2:9" s="317" customFormat="1" ht="19.5" hidden="1" customHeight="1" x14ac:dyDescent="0.2">
      <c r="B4839" s="666"/>
      <c r="C4839" s="338" t="str">
        <f>+'LISTA DE INSUMOS'!A775</f>
        <v>EQU018</v>
      </c>
      <c r="D4839" s="339" t="str">
        <f>+'LISTA DE INSUMOS'!B775</f>
        <v>Vibrador eléctrico o a gasolina</v>
      </c>
      <c r="E4839" s="322" t="str">
        <f>+'LISTA DE INSUMOS'!C775</f>
        <v>Día</v>
      </c>
      <c r="F4839" s="321">
        <v>1</v>
      </c>
      <c r="G4839" s="312">
        <f>+'LISTA DE INSUMOS'!E775</f>
        <v>42234.2781968536</v>
      </c>
      <c r="H4839" s="349">
        <v>0.05</v>
      </c>
      <c r="I4839" s="312">
        <f>ROUND((F4839*G4839*H4839),0)</f>
        <v>2112</v>
      </c>
    </row>
    <row r="4840" spans="2:9" s="317" customFormat="1" ht="19.5" hidden="1" customHeight="1" thickBot="1" x14ac:dyDescent="0.25">
      <c r="B4840" s="667"/>
      <c r="C4840" s="338" t="str">
        <f>+'LISTA DE INSUMOS'!A814</f>
        <v>EQU059</v>
      </c>
      <c r="D4840" s="339" t="str">
        <f>+'LISTA DE INSUMOS'!B814</f>
        <v>Equipo de perforación (Tipo piloteadora)</v>
      </c>
      <c r="E4840" s="322" t="str">
        <f>+'LISTA DE INSUMOS'!C814</f>
        <v>Hr</v>
      </c>
      <c r="F4840" s="321">
        <v>1</v>
      </c>
      <c r="G4840" s="312">
        <f>+'LISTA DE INSUMOS'!E814</f>
        <v>667545.65019999992</v>
      </c>
      <c r="H4840" s="349">
        <f>1/4</f>
        <v>0.25</v>
      </c>
      <c r="I4840" s="312">
        <f>ROUND((F4840*G4840*H4840),0)</f>
        <v>166886</v>
      </c>
    </row>
    <row r="4841" spans="2:9" s="317" customFormat="1" ht="19.5" hidden="1" customHeight="1" thickTop="1" thickBot="1" x14ac:dyDescent="0.25">
      <c r="B4841" s="343" t="s">
        <v>421</v>
      </c>
      <c r="C4841" s="329" t="str">
        <f>+'LISTA DE INSUMOS'!A823</f>
        <v>ESY001</v>
      </c>
      <c r="D4841" s="328" t="str">
        <f>+'LISTA DE INSUMOS'!B823</f>
        <v>Ensayo resistencia concretos (un testigo)</v>
      </c>
      <c r="E4841" s="329" t="str">
        <f>+'LISTA DE INSUMOS'!C823</f>
        <v>Un</v>
      </c>
      <c r="F4841" s="330">
        <f>5/50</f>
        <v>0.1</v>
      </c>
      <c r="G4841" s="345">
        <f>+'LISTA DE INSUMOS'!E823</f>
        <v>29175.946249999997</v>
      </c>
      <c r="H4841" s="346">
        <v>0</v>
      </c>
      <c r="I4841" s="331">
        <f>ROUND((F4841*G4841),0)</f>
        <v>2918</v>
      </c>
    </row>
    <row r="4842" spans="2:9" s="317" customFormat="1" ht="32.25" hidden="1" customHeight="1" x14ac:dyDescent="0.2">
      <c r="B4842" s="319" t="s">
        <v>2519</v>
      </c>
      <c r="C4842" s="319"/>
      <c r="D4842" s="320" t="s">
        <v>2523</v>
      </c>
      <c r="E4842" s="322" t="s">
        <v>1424</v>
      </c>
      <c r="F4842" s="321"/>
      <c r="G4842" s="312">
        <f>ROUND(SUM(I4842:I4846),0)</f>
        <v>11366</v>
      </c>
      <c r="H4842" s="322"/>
      <c r="I4842" s="312"/>
    </row>
    <row r="4843" spans="2:9" s="317" customFormat="1" ht="19.5" hidden="1" customHeight="1" x14ac:dyDescent="0.2">
      <c r="B4843" s="658" t="s">
        <v>1325</v>
      </c>
      <c r="C4843" s="322" t="str">
        <f>+'LISTA DE INSUMOS'!A691</f>
        <v>MAT704</v>
      </c>
      <c r="D4843" s="339" t="str">
        <f>+'LISTA DE INSUMOS'!B691</f>
        <v>Malla electrosoldada Φ: 7.5 mm c/.15m</v>
      </c>
      <c r="E4843" s="322" t="str">
        <f>+'LISTA DE INSUMOS'!C691</f>
        <v>Kg</v>
      </c>
      <c r="F4843" s="325">
        <v>1</v>
      </c>
      <c r="G4843" s="312">
        <f>+'LISTA DE INSUMOS'!E691</f>
        <v>9732.6326728507775</v>
      </c>
      <c r="H4843" s="322">
        <v>1.05</v>
      </c>
      <c r="I4843" s="312">
        <f>ROUND((F4843*G4843*H4843),0)</f>
        <v>10219</v>
      </c>
    </row>
    <row r="4844" spans="2:9" s="317" customFormat="1" ht="19.5" hidden="1" customHeight="1" thickBot="1" x14ac:dyDescent="0.25">
      <c r="B4844" s="668"/>
      <c r="C4844" s="322" t="str">
        <f>+'LISTA DE INSUMOS'!A53</f>
        <v>MAT022</v>
      </c>
      <c r="D4844" s="324" t="str">
        <f>+'LISTA DE INSUMOS'!B53</f>
        <v>Alambre negro calibre 17</v>
      </c>
      <c r="E4844" s="322" t="str">
        <f>+'LISTA DE INSUMOS'!C53</f>
        <v>Kg</v>
      </c>
      <c r="F4844" s="325">
        <v>0.03</v>
      </c>
      <c r="G4844" s="312">
        <f>+'LISTA DE INSUMOS'!E53</f>
        <v>7948.98</v>
      </c>
      <c r="H4844" s="322">
        <v>1.03</v>
      </c>
      <c r="I4844" s="312">
        <f>ROUND((F4844*G4844*H4844),0)</f>
        <v>246</v>
      </c>
    </row>
    <row r="4845" spans="2:9" s="317" customFormat="1" ht="19.5" hidden="1" customHeight="1" thickTop="1" thickBot="1" x14ac:dyDescent="0.25">
      <c r="B4845" s="363" t="s">
        <v>1034</v>
      </c>
      <c r="C4845" s="322" t="str">
        <f>+'LISTA DE INSUMOS'!A18</f>
        <v>MOB015</v>
      </c>
      <c r="D4845" s="324" t="str">
        <f>+'LISTA DE INSUMOS'!B18</f>
        <v>Cuadrilla E 1 Of + 1 Ay (jornal + prestaciones)</v>
      </c>
      <c r="E4845" s="322" t="str">
        <f>+'LISTA DE INSUMOS'!C18</f>
        <v>Día</v>
      </c>
      <c r="F4845" s="325">
        <v>1</v>
      </c>
      <c r="G4845" s="312">
        <f>+'LISTA DE INSUMOS'!E18</f>
        <v>245584</v>
      </c>
      <c r="H4845" s="326">
        <f>1/300</f>
        <v>3.3333333333333335E-3</v>
      </c>
      <c r="I4845" s="312">
        <f>ROUND((F4845*G4845*H4845),0)</f>
        <v>819</v>
      </c>
    </row>
    <row r="4846" spans="2:9" s="317" customFormat="1" ht="19.5" hidden="1" customHeight="1" thickTop="1" thickBot="1" x14ac:dyDescent="0.25">
      <c r="B4846" s="255" t="s">
        <v>1033</v>
      </c>
      <c r="C4846" s="327" t="str">
        <f>+'LISTA DE INSUMOS'!A758</f>
        <v>EQU002</v>
      </c>
      <c r="D4846" s="328" t="str">
        <f>+'LISTA DE INSUMOS'!B758</f>
        <v>Herramienta menor (% mano obra)</v>
      </c>
      <c r="E4846" s="329" t="str">
        <f>+'LISTA DE INSUMOS'!C758</f>
        <v>%MO</v>
      </c>
      <c r="F4846" s="330">
        <v>0.1</v>
      </c>
      <c r="G4846" s="331">
        <f>I4845</f>
        <v>819</v>
      </c>
      <c r="H4846" s="329">
        <v>0</v>
      </c>
      <c r="I4846" s="331">
        <f>ROUND((F4846*G4846),0)</f>
        <v>82</v>
      </c>
    </row>
    <row r="4847" spans="2:9" ht="19.5" customHeight="1" x14ac:dyDescent="0.2">
      <c r="B4847" s="193" t="s">
        <v>1449</v>
      </c>
      <c r="C4847" s="117"/>
      <c r="D4847" s="112" t="str">
        <f>+'LISTA DE INSUMOS'!B56</f>
        <v>Cinta PVC Sika Waterbar O-22</v>
      </c>
      <c r="E4847" s="117" t="s">
        <v>1412</v>
      </c>
      <c r="F4847" s="118"/>
      <c r="G4847" s="119">
        <f>ROUND(SUM(I4848:I4850),0)</f>
        <v>96186</v>
      </c>
      <c r="H4847" s="120"/>
      <c r="I4847" s="119"/>
    </row>
    <row r="4848" spans="2:9" ht="19.5" customHeight="1" x14ac:dyDescent="0.2">
      <c r="B4848" s="657" t="s">
        <v>1325</v>
      </c>
      <c r="C4848" s="108" t="str">
        <f>+'LISTA DE INSUMOS'!A56</f>
        <v>MAT025</v>
      </c>
      <c r="D4848" s="139" t="str">
        <f>+'LISTA DE INSUMOS'!B56</f>
        <v>Cinta PVC Sika Waterbar O-22</v>
      </c>
      <c r="E4848" s="108" t="str">
        <f>+'LISTA DE INSUMOS'!C56</f>
        <v>M</v>
      </c>
      <c r="F4848" s="140">
        <v>1</v>
      </c>
      <c r="G4848" s="141">
        <f>+'LISTA DE INSUMOS'!E56</f>
        <v>81385.325999999986</v>
      </c>
      <c r="H4848" s="108">
        <v>1.03</v>
      </c>
      <c r="I4848" s="141">
        <f>IF(H4848&gt;=0,(F4848*G4848*(1+H4848/100)),ABS(F4848*G4848/H4848))</f>
        <v>82223.594857799981</v>
      </c>
    </row>
    <row r="4849" spans="2:12" ht="19.5" customHeight="1" thickBot="1" x14ac:dyDescent="0.25">
      <c r="B4849" s="659"/>
      <c r="C4849" s="108" t="str">
        <f>+'LISTA DE INSUMOS'!A53</f>
        <v>MAT022</v>
      </c>
      <c r="D4849" s="139" t="str">
        <f>+'LISTA DE INSUMOS'!B53</f>
        <v>Alambre negro calibre 17</v>
      </c>
      <c r="E4849" s="108" t="str">
        <f>+'LISTA DE INSUMOS'!C53</f>
        <v>Kg</v>
      </c>
      <c r="F4849" s="140">
        <v>0.04</v>
      </c>
      <c r="G4849" s="141">
        <f>+'LISTA DE INSUMOS'!E53</f>
        <v>7948.98</v>
      </c>
      <c r="H4849" s="108">
        <v>0</v>
      </c>
      <c r="I4849" s="141">
        <f>ROUND((F4849*G4849),0)</f>
        <v>318</v>
      </c>
    </row>
    <row r="4850" spans="2:12" ht="18" customHeight="1" thickTop="1" thickBot="1" x14ac:dyDescent="0.25">
      <c r="B4850" s="153" t="s">
        <v>1034</v>
      </c>
      <c r="C4850" s="145" t="str">
        <f>+'LISTA DE INSUMOS'!A5</f>
        <v>MOB002</v>
      </c>
      <c r="D4850" s="146" t="str">
        <f>+'LISTA DE INSUMOS'!B5</f>
        <v>Oficial (jornal + prestaciones)</v>
      </c>
      <c r="E4850" s="145" t="str">
        <f>+'LISTA DE INSUMOS'!C5</f>
        <v>Día</v>
      </c>
      <c r="F4850" s="147">
        <v>1</v>
      </c>
      <c r="G4850" s="148">
        <f>+'LISTA DE INSUMOS'!E5</f>
        <v>163723</v>
      </c>
      <c r="H4850" s="145">
        <f>1/12</f>
        <v>8.3333333333333329E-2</v>
      </c>
      <c r="I4850" s="148">
        <f>ROUND((F4850*G4850*H4850),0)</f>
        <v>13644</v>
      </c>
    </row>
    <row r="4851" spans="2:12" s="317" customFormat="1" ht="19.5" hidden="1" customHeight="1" x14ac:dyDescent="0.2">
      <c r="B4851" s="319" t="s">
        <v>2521</v>
      </c>
      <c r="C4851" s="319"/>
      <c r="D4851" s="320" t="s">
        <v>2520</v>
      </c>
      <c r="E4851" s="319" t="s">
        <v>2586</v>
      </c>
      <c r="F4851" s="321"/>
      <c r="G4851" s="312">
        <f>ROUND(SUM(I4851:I4855),0)</f>
        <v>52407</v>
      </c>
      <c r="H4851" s="322"/>
      <c r="I4851" s="312"/>
    </row>
    <row r="4852" spans="2:12" s="317" customFormat="1" ht="19.5" hidden="1" customHeight="1" thickBot="1" x14ac:dyDescent="0.25">
      <c r="B4852" s="347" t="s">
        <v>1325</v>
      </c>
      <c r="C4852" s="322" t="str">
        <f>+'LISTA DE INSUMOS'!A421</f>
        <v>MAT437</v>
      </c>
      <c r="D4852" s="324" t="str">
        <f>+'LISTA DE INSUMOS'!B421</f>
        <v>Costal de fibra</v>
      </c>
      <c r="E4852" s="322" t="str">
        <f>+'LISTA DE INSUMOS'!C421</f>
        <v>Un</v>
      </c>
      <c r="F4852" s="325">
        <f>5*1.5*2</f>
        <v>15</v>
      </c>
      <c r="G4852" s="312">
        <f>+'LISTA DE INSUMOS'!E421</f>
        <v>874.34565002399995</v>
      </c>
      <c r="H4852" s="322">
        <v>0</v>
      </c>
      <c r="I4852" s="312">
        <f>ROUND((F4852*G4852),0)</f>
        <v>13115</v>
      </c>
    </row>
    <row r="4853" spans="2:12" s="317" customFormat="1" ht="19.5" hidden="1" customHeight="1" thickTop="1" x14ac:dyDescent="0.2">
      <c r="B4853" s="714" t="s">
        <v>1034</v>
      </c>
      <c r="C4853" s="322" t="str">
        <f>+'LISTA DE INSUMOS'!A21</f>
        <v>MOB018</v>
      </c>
      <c r="D4853" s="324" t="str">
        <f>+'LISTA DE INSUMOS'!B21</f>
        <v>Cuadrilla H 4 Ay (jornal + prestaciones)</v>
      </c>
      <c r="E4853" s="322" t="str">
        <f>+'LISTA DE INSUMOS'!C21</f>
        <v>Día</v>
      </c>
      <c r="F4853" s="325">
        <v>1</v>
      </c>
      <c r="G4853" s="312">
        <f>+'LISTA DE INSUMOS'!E21</f>
        <v>327444</v>
      </c>
      <c r="H4853" s="326">
        <f>1/10</f>
        <v>0.1</v>
      </c>
      <c r="I4853" s="312">
        <f>ROUND((F4853*G4853*H4853),0)</f>
        <v>32744</v>
      </c>
    </row>
    <row r="4854" spans="2:12" s="317" customFormat="1" ht="22.5" hidden="1" customHeight="1" x14ac:dyDescent="0.2">
      <c r="B4854" s="714"/>
      <c r="C4854" s="322" t="str">
        <f>+'LISTA DE INSUMOS'!A14</f>
        <v>MOB011</v>
      </c>
      <c r="D4854" s="324" t="str">
        <f>+'LISTA DE INSUMOS'!B14</f>
        <v>Acarreo Horizontal (% mano obra)</v>
      </c>
      <c r="E4854" s="322" t="str">
        <f>+'LISTA DE INSUMOS'!C14</f>
        <v>% MO</v>
      </c>
      <c r="F4854" s="325">
        <v>0.1</v>
      </c>
      <c r="G4854" s="312">
        <f>I4853</f>
        <v>32744</v>
      </c>
      <c r="H4854" s="322">
        <v>0</v>
      </c>
      <c r="I4854" s="312">
        <f>ROUND((F4854*G4854),0)</f>
        <v>3274</v>
      </c>
    </row>
    <row r="4855" spans="2:12" s="317" customFormat="1" ht="18" hidden="1" customHeight="1" x14ac:dyDescent="0.2">
      <c r="B4855" s="322" t="s">
        <v>1033</v>
      </c>
      <c r="C4855" s="322" t="str">
        <f>+'LISTA DE INSUMOS'!A758</f>
        <v>EQU002</v>
      </c>
      <c r="D4855" s="324" t="str">
        <f>+'LISTA DE INSUMOS'!B758</f>
        <v>Herramienta menor (% mano obra)</v>
      </c>
      <c r="E4855" s="322" t="str">
        <f>+'LISTA DE INSUMOS'!C758</f>
        <v>%MO</v>
      </c>
      <c r="F4855" s="332">
        <v>0.1</v>
      </c>
      <c r="G4855" s="312">
        <f>I4853</f>
        <v>32744</v>
      </c>
      <c r="H4855" s="322">
        <v>0</v>
      </c>
      <c r="I4855" s="312">
        <f>ROUND((F4855*G4855),0)</f>
        <v>3274</v>
      </c>
    </row>
    <row r="4856" spans="2:12" s="317" customFormat="1" ht="34.5" customHeight="1" x14ac:dyDescent="0.2">
      <c r="B4856" s="193" t="s">
        <v>1798</v>
      </c>
      <c r="C4856" s="193"/>
      <c r="D4856" s="489" t="s">
        <v>2522</v>
      </c>
      <c r="E4856" s="193" t="s">
        <v>2586</v>
      </c>
      <c r="F4856" s="193"/>
      <c r="G4856" s="193">
        <f>ROUND(SUM(I4856:I4861),0)</f>
        <v>186697</v>
      </c>
      <c r="H4856" s="193"/>
      <c r="I4856" s="193"/>
      <c r="J4856" s="193"/>
      <c r="K4856" s="193"/>
      <c r="L4856" s="193"/>
    </row>
    <row r="4857" spans="2:12" s="317" customFormat="1" ht="19.5" customHeight="1" x14ac:dyDescent="0.2">
      <c r="B4857" s="657" t="s">
        <v>1325</v>
      </c>
      <c r="C4857" s="108" t="str">
        <f>+'LISTA DE INSUMOS'!A336</f>
        <v>MAT321</v>
      </c>
      <c r="D4857" s="436" t="str">
        <f>+'LISTA DE INSUMOS'!B336</f>
        <v>Malla gavión 2x1x1 7,5 C13 triple torsión</v>
      </c>
      <c r="E4857" s="108" t="str">
        <f>+'LISTA DE INSUMOS'!C336</f>
        <v>Un</v>
      </c>
      <c r="F4857" s="108">
        <v>0.5</v>
      </c>
      <c r="G4857" s="108">
        <f>+'LISTA DE INSUMOS'!E336</f>
        <v>189471.81980538898</v>
      </c>
      <c r="H4857" s="108">
        <v>1.03</v>
      </c>
      <c r="I4857" s="108">
        <f>ROUND((F4857*G4857*H4857),0)</f>
        <v>97578</v>
      </c>
    </row>
    <row r="4858" spans="2:12" s="317" customFormat="1" ht="22.5" customHeight="1" thickBot="1" x14ac:dyDescent="0.25">
      <c r="B4858" s="659"/>
      <c r="C4858" s="108" t="str">
        <f>+'LISTA DE INSUMOS'!A190</f>
        <v>MAT148</v>
      </c>
      <c r="D4858" s="436" t="str">
        <f>+'LISTA DE INSUMOS'!B190</f>
        <v xml:space="preserve">Alambre galvanizado C 12 </v>
      </c>
      <c r="E4858" s="108" t="str">
        <f>+'LISTA DE INSUMOS'!C190</f>
        <v>Kg</v>
      </c>
      <c r="F4858" s="108">
        <v>1.75</v>
      </c>
      <c r="G4858" s="108">
        <f>+'LISTA DE INSUMOS'!E190</f>
        <v>10174.934703779998</v>
      </c>
      <c r="H4858" s="108">
        <f>1/3</f>
        <v>0.33333333333333331</v>
      </c>
      <c r="I4858" s="108">
        <f>ROUND((F4858*G4858*H4858),0)</f>
        <v>5935</v>
      </c>
    </row>
    <row r="4859" spans="2:12" s="317" customFormat="1" ht="21" customHeight="1" thickTop="1" thickBot="1" x14ac:dyDescent="0.25">
      <c r="B4859" s="193" t="s">
        <v>1310</v>
      </c>
      <c r="C4859" s="108" t="str">
        <f>+B4851</f>
        <v>ITE676</v>
      </c>
      <c r="D4859" s="436" t="str">
        <f>+D4851</f>
        <v>Lleno en costales con material del sitio</v>
      </c>
      <c r="E4859" s="108" t="str">
        <f>+E4851</f>
        <v>M3</v>
      </c>
      <c r="F4859" s="108">
        <v>0.9</v>
      </c>
      <c r="G4859" s="108">
        <f>+G4851</f>
        <v>52407</v>
      </c>
      <c r="H4859" s="108">
        <v>0</v>
      </c>
      <c r="I4859" s="108">
        <f>ROUND((F4859*G4859),0)</f>
        <v>47166</v>
      </c>
    </row>
    <row r="4860" spans="2:12" s="317" customFormat="1" ht="24.75" customHeight="1" thickTop="1" thickBot="1" x14ac:dyDescent="0.25">
      <c r="B4860" s="153" t="s">
        <v>1034</v>
      </c>
      <c r="C4860" s="108" t="str">
        <f>+'LISTA DE INSUMOS'!A9</f>
        <v>MOB006</v>
      </c>
      <c r="D4860" s="436" t="str">
        <f>+'LISTA DE INSUMOS'!B9</f>
        <v>Cuadrilla A 1 Of + 4 Ay (jornal + prestaciones)</v>
      </c>
      <c r="E4860" s="108" t="str">
        <f>+'LISTA DE INSUMOS'!C9</f>
        <v>Día</v>
      </c>
      <c r="F4860" s="108">
        <v>1</v>
      </c>
      <c r="G4860" s="108">
        <f>+'LISTA DE INSUMOS'!E9</f>
        <v>491167</v>
      </c>
      <c r="H4860" s="108">
        <f>1/15</f>
        <v>6.6666666666666666E-2</v>
      </c>
      <c r="I4860" s="108">
        <f>ROUND((F4860*G4860*H4860),0)</f>
        <v>32744</v>
      </c>
    </row>
    <row r="4861" spans="2:12" s="317" customFormat="1" ht="22.5" customHeight="1" thickTop="1" thickBot="1" x14ac:dyDescent="0.25">
      <c r="B4861" s="255" t="s">
        <v>1033</v>
      </c>
      <c r="C4861" s="108" t="str">
        <f>+'LISTA DE INSUMOS'!A758</f>
        <v>EQU002</v>
      </c>
      <c r="D4861" s="436" t="str">
        <f>+'LISTA DE INSUMOS'!B758</f>
        <v>Herramienta menor (% mano obra)</v>
      </c>
      <c r="E4861" s="108" t="str">
        <f>+'LISTA DE INSUMOS'!C758</f>
        <v>%MO</v>
      </c>
      <c r="F4861" s="108">
        <v>0.1</v>
      </c>
      <c r="G4861" s="108">
        <f>I4860</f>
        <v>32744</v>
      </c>
      <c r="H4861" s="108">
        <v>0</v>
      </c>
      <c r="I4861" s="108">
        <f>ROUND((F4861*G4861),0)</f>
        <v>3274</v>
      </c>
    </row>
    <row r="4862" spans="2:12" ht="33" customHeight="1" thickBot="1" x14ac:dyDescent="0.25">
      <c r="B4862" s="113" t="s">
        <v>2346</v>
      </c>
      <c r="C4862" s="113"/>
      <c r="D4862" s="121" t="s">
        <v>2531</v>
      </c>
      <c r="E4862" s="117" t="s">
        <v>2586</v>
      </c>
      <c r="F4862" s="122"/>
      <c r="G4862" s="123">
        <f>+SUM(I4863:I4868)</f>
        <v>341485</v>
      </c>
      <c r="H4862" s="124"/>
      <c r="I4862" s="123"/>
    </row>
    <row r="4863" spans="2:12" ht="19.5" customHeight="1" thickTop="1" x14ac:dyDescent="0.2">
      <c r="B4863" s="647" t="s">
        <v>1033</v>
      </c>
      <c r="C4863" s="104" t="str">
        <f>+'LISTA DE INSUMOS'!A804</f>
        <v>EQU049</v>
      </c>
      <c r="D4863" s="280" t="str">
        <f>+'LISTA DE INSUMOS'!B804</f>
        <v>Cuña hidráulica  con compresor (5 tiros dia)</v>
      </c>
      <c r="E4863" s="126" t="str">
        <f>+'LISTA DE INSUMOS'!C804</f>
        <v>Perforacion</v>
      </c>
      <c r="F4863" s="102">
        <v>1</v>
      </c>
      <c r="G4863" s="103">
        <f>+'LISTA DE INSUMOS'!E804</f>
        <v>70022.270999999993</v>
      </c>
      <c r="H4863" s="104">
        <v>4</v>
      </c>
      <c r="I4863" s="103">
        <f>ROUND((F4863*G4863*H4863),0)</f>
        <v>280089</v>
      </c>
    </row>
    <row r="4864" spans="2:12" ht="19.5" customHeight="1" x14ac:dyDescent="0.2">
      <c r="B4864" s="648"/>
      <c r="C4864" s="104" t="str">
        <f>+'LISTA DE INSUMOS'!A774</f>
        <v>EQU017</v>
      </c>
      <c r="D4864" s="280" t="str">
        <f>+'LISTA DE INSUMOS'!B774</f>
        <v>Entibado (% mano obra)</v>
      </c>
      <c r="E4864" s="126" t="str">
        <f>+'LISTA DE INSUMOS'!C774</f>
        <v>%MO</v>
      </c>
      <c r="F4864" s="102">
        <v>0.1</v>
      </c>
      <c r="G4864" s="103">
        <f>+I4866</f>
        <v>20465</v>
      </c>
      <c r="H4864" s="104">
        <v>0</v>
      </c>
      <c r="I4864" s="103">
        <f>ROUND((F4864*G4864),0)</f>
        <v>2047</v>
      </c>
    </row>
    <row r="4865" spans="2:9" ht="19.5" customHeight="1" thickBot="1" x14ac:dyDescent="0.25">
      <c r="B4865" s="648"/>
      <c r="C4865" s="104" t="str">
        <f>+'LISTA DE INSUMOS'!A758</f>
        <v>EQU002</v>
      </c>
      <c r="D4865" s="280" t="str">
        <f>+'LISTA DE INSUMOS'!B758</f>
        <v>Herramienta menor (% mano obra)</v>
      </c>
      <c r="E4865" s="126" t="str">
        <f>+'LISTA DE INSUMOS'!C758</f>
        <v>%MO</v>
      </c>
      <c r="F4865" s="102">
        <v>0.05</v>
      </c>
      <c r="G4865" s="103">
        <f>+I4866</f>
        <v>20465</v>
      </c>
      <c r="H4865" s="104">
        <v>0</v>
      </c>
      <c r="I4865" s="103">
        <f>ROUND((F4865*G4865),0)</f>
        <v>1023</v>
      </c>
    </row>
    <row r="4866" spans="2:9" ht="19.5" customHeight="1" thickTop="1" x14ac:dyDescent="0.2">
      <c r="B4866" s="649" t="s">
        <v>1034</v>
      </c>
      <c r="C4866" s="104" t="str">
        <f>+'LISTA DE INSUMOS'!A7</f>
        <v>MOB004</v>
      </c>
      <c r="D4866" s="280" t="str">
        <f>+'LISTA DE INSUMOS'!B7</f>
        <v>Ayudante (jornal + prestaciones)</v>
      </c>
      <c r="E4866" s="126" t="str">
        <f>+'LISTA DE INSUMOS'!C7</f>
        <v>Dia</v>
      </c>
      <c r="F4866" s="107">
        <v>1</v>
      </c>
      <c r="G4866" s="103">
        <f>+'LISTA DE INSUMOS'!E7</f>
        <v>81861</v>
      </c>
      <c r="H4866" s="104">
        <v>0.25</v>
      </c>
      <c r="I4866" s="103">
        <f>ROUND((F4866*G4866*H4866),0)</f>
        <v>20465</v>
      </c>
    </row>
    <row r="4867" spans="2:9" ht="19.5" customHeight="1" x14ac:dyDescent="0.2">
      <c r="B4867" s="650"/>
      <c r="C4867" s="104" t="str">
        <f>+'LISTA DE INSUMOS'!A6</f>
        <v>MOB003</v>
      </c>
      <c r="D4867" s="280" t="str">
        <f>+'LISTA DE INSUMOS'!B6</f>
        <v>Operario maquinaria equipo (jornal + prestaciones)</v>
      </c>
      <c r="E4867" s="126" t="str">
        <f>+'LISTA DE INSUMOS'!C6</f>
        <v>Dia</v>
      </c>
      <c r="F4867" s="107">
        <v>1</v>
      </c>
      <c r="G4867" s="103">
        <f>+'LISTA DE INSUMOS'!E6</f>
        <v>147351</v>
      </c>
      <c r="H4867" s="104">
        <v>0.25</v>
      </c>
      <c r="I4867" s="103">
        <f>ROUND((F4867*G4867*H4867),0)</f>
        <v>36838</v>
      </c>
    </row>
    <row r="4868" spans="2:9" ht="19.5" customHeight="1" thickBot="1" x14ac:dyDescent="0.25">
      <c r="B4868" s="651"/>
      <c r="C4868" s="116" t="str">
        <f>+'LISTA DE INSUMOS'!A14</f>
        <v>MOB011</v>
      </c>
      <c r="D4868" s="281" t="str">
        <f>+'LISTA DE INSUMOS'!B14</f>
        <v>Acarreo Horizontal (% mano obra)</v>
      </c>
      <c r="E4868" s="279" t="str">
        <f>+'LISTA DE INSUMOS'!C14</f>
        <v>% MO</v>
      </c>
      <c r="F4868" s="114">
        <v>0.05</v>
      </c>
      <c r="G4868" s="115">
        <f>+I4866</f>
        <v>20465</v>
      </c>
      <c r="H4868" s="116">
        <v>0</v>
      </c>
      <c r="I4868" s="115">
        <f>ROUND((F4868*G4868),0)</f>
        <v>1023</v>
      </c>
    </row>
    <row r="4869" spans="2:9" ht="33" customHeight="1" thickBot="1" x14ac:dyDescent="0.25">
      <c r="B4869" s="113" t="s">
        <v>2347</v>
      </c>
      <c r="C4869" s="117"/>
      <c r="D4869" s="112" t="s">
        <v>2532</v>
      </c>
      <c r="E4869" s="117" t="s">
        <v>2586</v>
      </c>
      <c r="F4869" s="118"/>
      <c r="G4869" s="119">
        <f>+SUM(I4870:I4875)</f>
        <v>423786</v>
      </c>
      <c r="H4869" s="120"/>
      <c r="I4869" s="119"/>
    </row>
    <row r="4870" spans="2:9" ht="19.5" customHeight="1" thickTop="1" x14ac:dyDescent="0.2">
      <c r="B4870" s="647" t="s">
        <v>1033</v>
      </c>
      <c r="C4870" s="104" t="str">
        <f>+'LISTA DE INSUMOS'!A804</f>
        <v>EQU049</v>
      </c>
      <c r="D4870" s="280" t="str">
        <f>+'LISTA DE INSUMOS'!B804</f>
        <v>Cuña hidráulica  con compresor (5 tiros dia)</v>
      </c>
      <c r="E4870" s="126" t="str">
        <f>+'LISTA DE INSUMOS'!C804</f>
        <v>Perforacion</v>
      </c>
      <c r="F4870" s="102">
        <v>1</v>
      </c>
      <c r="G4870" s="103">
        <f>+'LISTA DE INSUMOS'!E804</f>
        <v>70022.270999999993</v>
      </c>
      <c r="H4870" s="104">
        <v>5</v>
      </c>
      <c r="I4870" s="103">
        <f>ROUND((F4870*G4870*H4870),0)</f>
        <v>350111</v>
      </c>
    </row>
    <row r="4871" spans="2:9" ht="19.5" customHeight="1" x14ac:dyDescent="0.2">
      <c r="B4871" s="648"/>
      <c r="C4871" s="104" t="str">
        <f>+'LISTA DE INSUMOS'!A774</f>
        <v>EQU017</v>
      </c>
      <c r="D4871" s="280" t="str">
        <f>+'LISTA DE INSUMOS'!B774</f>
        <v>Entibado (% mano obra)</v>
      </c>
      <c r="E4871" s="126" t="str">
        <f>+'LISTA DE INSUMOS'!C774</f>
        <v>%MO</v>
      </c>
      <c r="F4871" s="102">
        <v>0.1</v>
      </c>
      <c r="G4871" s="103">
        <f>+I4873</f>
        <v>24558</v>
      </c>
      <c r="H4871" s="104">
        <v>0</v>
      </c>
      <c r="I4871" s="103">
        <f>ROUND((F4871*G4871),0)</f>
        <v>2456</v>
      </c>
    </row>
    <row r="4872" spans="2:9" ht="18.75" customHeight="1" thickBot="1" x14ac:dyDescent="0.25">
      <c r="B4872" s="648"/>
      <c r="C4872" s="104" t="str">
        <f>+'LISTA DE INSUMOS'!A758</f>
        <v>EQU002</v>
      </c>
      <c r="D4872" s="280" t="str">
        <f>+'LISTA DE INSUMOS'!B758</f>
        <v>Herramienta menor (% mano obra)</v>
      </c>
      <c r="E4872" s="126" t="str">
        <f>+'LISTA DE INSUMOS'!C758</f>
        <v>%MO</v>
      </c>
      <c r="F4872" s="102">
        <v>0.05</v>
      </c>
      <c r="G4872" s="103">
        <f>+I4873</f>
        <v>24558</v>
      </c>
      <c r="H4872" s="104">
        <v>0</v>
      </c>
      <c r="I4872" s="103">
        <f>ROUND((F4872*G4872),0)</f>
        <v>1228</v>
      </c>
    </row>
    <row r="4873" spans="2:9" ht="19.5" customHeight="1" thickTop="1" x14ac:dyDescent="0.2">
      <c r="B4873" s="649" t="s">
        <v>1034</v>
      </c>
      <c r="C4873" s="104" t="str">
        <f>+'LISTA DE INSUMOS'!A7</f>
        <v>MOB004</v>
      </c>
      <c r="D4873" s="280" t="str">
        <f>+'LISTA DE INSUMOS'!B7</f>
        <v>Ayudante (jornal + prestaciones)</v>
      </c>
      <c r="E4873" s="126" t="str">
        <f>+'LISTA DE INSUMOS'!C7</f>
        <v>Dia</v>
      </c>
      <c r="F4873" s="102">
        <v>1</v>
      </c>
      <c r="G4873" s="103">
        <f>+'LISTA DE INSUMOS'!E7</f>
        <v>81861</v>
      </c>
      <c r="H4873" s="104">
        <v>0.3</v>
      </c>
      <c r="I4873" s="103">
        <f>ROUND((F4873*G4873*H4873),0)</f>
        <v>24558</v>
      </c>
    </row>
    <row r="4874" spans="2:9" ht="19.5" customHeight="1" x14ac:dyDescent="0.2">
      <c r="B4874" s="650"/>
      <c r="C4874" s="104" t="str">
        <f>+'LISTA DE INSUMOS'!A6</f>
        <v>MOB003</v>
      </c>
      <c r="D4874" s="280" t="str">
        <f>+'LISTA DE INSUMOS'!B6</f>
        <v>Operario maquinaria equipo (jornal + prestaciones)</v>
      </c>
      <c r="E4874" s="126" t="str">
        <f>+'LISTA DE INSUMOS'!C6</f>
        <v>Dia</v>
      </c>
      <c r="F4874" s="102">
        <v>1</v>
      </c>
      <c r="G4874" s="103">
        <f>+'LISTA DE INSUMOS'!E6</f>
        <v>147351</v>
      </c>
      <c r="H4874" s="104">
        <v>0.3</v>
      </c>
      <c r="I4874" s="103">
        <f>ROUND((F4874*G4874*H4874),0)</f>
        <v>44205</v>
      </c>
    </row>
    <row r="4875" spans="2:9" ht="19.5" customHeight="1" thickBot="1" x14ac:dyDescent="0.25">
      <c r="B4875" s="651"/>
      <c r="C4875" s="116" t="str">
        <f>+'LISTA DE INSUMOS'!A14</f>
        <v>MOB011</v>
      </c>
      <c r="D4875" s="281" t="str">
        <f>+'LISTA DE INSUMOS'!B14</f>
        <v>Acarreo Horizontal (% mano obra)</v>
      </c>
      <c r="E4875" s="279" t="str">
        <f>+'LISTA DE INSUMOS'!C14</f>
        <v>% MO</v>
      </c>
      <c r="F4875" s="114">
        <v>0.05</v>
      </c>
      <c r="G4875" s="115">
        <f>+I4873</f>
        <v>24558</v>
      </c>
      <c r="H4875" s="116">
        <v>0</v>
      </c>
      <c r="I4875" s="115">
        <f>ROUND((F4875*G4875),0)</f>
        <v>1228</v>
      </c>
    </row>
    <row r="4876" spans="2:9" ht="33" customHeight="1" thickBot="1" x14ac:dyDescent="0.25">
      <c r="B4876" s="113" t="s">
        <v>2348</v>
      </c>
      <c r="C4876" s="117"/>
      <c r="D4876" s="112" t="s">
        <v>2533</v>
      </c>
      <c r="E4876" s="117" t="s">
        <v>2586</v>
      </c>
      <c r="F4876" s="118"/>
      <c r="G4876" s="119">
        <f>+SUM(I4877:I4882)</f>
        <v>576111</v>
      </c>
      <c r="H4876" s="120"/>
      <c r="I4876" s="119"/>
    </row>
    <row r="4877" spans="2:9" ht="19.5" customHeight="1" thickTop="1" x14ac:dyDescent="0.2">
      <c r="B4877" s="647" t="s">
        <v>1033</v>
      </c>
      <c r="C4877" s="104" t="str">
        <f>+'LISTA DE INSUMOS'!A804</f>
        <v>EQU049</v>
      </c>
      <c r="D4877" s="280" t="str">
        <f>+'LISTA DE INSUMOS'!B804</f>
        <v>Cuña hidráulica  con compresor (5 tiros dia)</v>
      </c>
      <c r="E4877" s="126" t="str">
        <f>+'LISTA DE INSUMOS'!C804</f>
        <v>Perforacion</v>
      </c>
      <c r="F4877" s="102">
        <v>1</v>
      </c>
      <c r="G4877" s="103">
        <f>+'LISTA DE INSUMOS'!E804</f>
        <v>70022.270999999993</v>
      </c>
      <c r="H4877" s="104">
        <v>7</v>
      </c>
      <c r="I4877" s="103">
        <f>ROUND((F4877*G4877*H4877),0)</f>
        <v>490156</v>
      </c>
    </row>
    <row r="4878" spans="2:9" ht="19.5" customHeight="1" x14ac:dyDescent="0.2">
      <c r="B4878" s="648"/>
      <c r="C4878" s="104" t="str">
        <f>+'LISTA DE INSUMOS'!A774</f>
        <v>EQU017</v>
      </c>
      <c r="D4878" s="280" t="str">
        <f>+'LISTA DE INSUMOS'!B774</f>
        <v>Entibado (% mano obra)</v>
      </c>
      <c r="E4878" s="126" t="str">
        <f>+'LISTA DE INSUMOS'!C774</f>
        <v>%MO</v>
      </c>
      <c r="F4878" s="102">
        <v>0.1</v>
      </c>
      <c r="G4878" s="103">
        <f>+I4880</f>
        <v>28651</v>
      </c>
      <c r="H4878" s="104">
        <v>0</v>
      </c>
      <c r="I4878" s="103">
        <f>ROUND((F4878*G4878),0)</f>
        <v>2865</v>
      </c>
    </row>
    <row r="4879" spans="2:9" ht="19.5" customHeight="1" thickBot="1" x14ac:dyDescent="0.25">
      <c r="B4879" s="648"/>
      <c r="C4879" s="104" t="str">
        <f>+'LISTA DE INSUMOS'!A758</f>
        <v>EQU002</v>
      </c>
      <c r="D4879" s="280" t="str">
        <f>+'LISTA DE INSUMOS'!B758</f>
        <v>Herramienta menor (% mano obra)</v>
      </c>
      <c r="E4879" s="126" t="str">
        <f>+'LISTA DE INSUMOS'!C758</f>
        <v>%MO</v>
      </c>
      <c r="F4879" s="102">
        <v>0.05</v>
      </c>
      <c r="G4879" s="103">
        <f>+I4880</f>
        <v>28651</v>
      </c>
      <c r="H4879" s="104">
        <v>0</v>
      </c>
      <c r="I4879" s="103">
        <f>ROUND((F4879*G4879),0)</f>
        <v>1433</v>
      </c>
    </row>
    <row r="4880" spans="2:9" ht="19.5" customHeight="1" thickTop="1" x14ac:dyDescent="0.2">
      <c r="B4880" s="649" t="s">
        <v>1034</v>
      </c>
      <c r="C4880" s="104" t="str">
        <f>+'LISTA DE INSUMOS'!A7</f>
        <v>MOB004</v>
      </c>
      <c r="D4880" s="280" t="str">
        <f>+'LISTA DE INSUMOS'!B7</f>
        <v>Ayudante (jornal + prestaciones)</v>
      </c>
      <c r="E4880" s="126" t="str">
        <f>+'LISTA DE INSUMOS'!C8</f>
        <v>Dia</v>
      </c>
      <c r="F4880" s="102">
        <v>1</v>
      </c>
      <c r="G4880" s="103">
        <f>+'LISTA DE INSUMOS'!E7</f>
        <v>81861</v>
      </c>
      <c r="H4880" s="104">
        <v>0.35</v>
      </c>
      <c r="I4880" s="103">
        <f>ROUND((F4880*G4880*H4880),0)</f>
        <v>28651</v>
      </c>
    </row>
    <row r="4881" spans="2:9" ht="19.5" customHeight="1" x14ac:dyDescent="0.2">
      <c r="B4881" s="650"/>
      <c r="C4881" s="104" t="str">
        <f>+'LISTA DE INSUMOS'!A6</f>
        <v>MOB003</v>
      </c>
      <c r="D4881" s="280" t="str">
        <f>+'LISTA DE INSUMOS'!B6</f>
        <v>Operario maquinaria equipo (jornal + prestaciones)</v>
      </c>
      <c r="E4881" s="126" t="str">
        <f>+'LISTA DE INSUMOS'!C6</f>
        <v>Dia</v>
      </c>
      <c r="F4881" s="107">
        <v>1</v>
      </c>
      <c r="G4881" s="103">
        <f>+'LISTA DE INSUMOS'!E6</f>
        <v>147351</v>
      </c>
      <c r="H4881" s="104">
        <v>0.35</v>
      </c>
      <c r="I4881" s="103">
        <f>ROUND((F4881*G4881*H4881),0)</f>
        <v>51573</v>
      </c>
    </row>
    <row r="4882" spans="2:9" ht="19.5" customHeight="1" thickBot="1" x14ac:dyDescent="0.25">
      <c r="B4882" s="651"/>
      <c r="C4882" s="116" t="str">
        <f>+'LISTA DE INSUMOS'!A14</f>
        <v>MOB011</v>
      </c>
      <c r="D4882" s="281" t="str">
        <f>+'LISTA DE INSUMOS'!B14</f>
        <v>Acarreo Horizontal (% mano obra)</v>
      </c>
      <c r="E4882" s="279" t="str">
        <f>+'LISTA DE INSUMOS'!C14</f>
        <v>% MO</v>
      </c>
      <c r="F4882" s="114">
        <v>0.05</v>
      </c>
      <c r="G4882" s="115">
        <f>+I4880</f>
        <v>28651</v>
      </c>
      <c r="H4882" s="116">
        <v>0</v>
      </c>
      <c r="I4882" s="115">
        <f>ROUND((F4882*G4882),0)</f>
        <v>1433</v>
      </c>
    </row>
    <row r="4883" spans="2:9" ht="33" customHeight="1" x14ac:dyDescent="0.2">
      <c r="B4883" s="113" t="s">
        <v>2349</v>
      </c>
      <c r="C4883" s="117"/>
      <c r="D4883" s="112" t="s">
        <v>2558</v>
      </c>
      <c r="E4883" s="117" t="s">
        <v>1412</v>
      </c>
      <c r="F4883" s="118"/>
      <c r="G4883" s="119">
        <f>+SUM(I4884:I4889)</f>
        <v>16694</v>
      </c>
      <c r="H4883" s="120"/>
      <c r="I4883" s="119"/>
    </row>
    <row r="4884" spans="2:9" ht="19.5" customHeight="1" x14ac:dyDescent="0.2">
      <c r="B4884" s="657" t="s">
        <v>1325</v>
      </c>
      <c r="C4884" s="104" t="str">
        <f>+'LISTA DE INSUMOS'!A46</f>
        <v>MAT017</v>
      </c>
      <c r="D4884" s="280" t="str">
        <f>+'LISTA DE INSUMOS'!B46</f>
        <v>Tabla para formaleta de 1" x 10" x 2,9 m</v>
      </c>
      <c r="E4884" s="126" t="str">
        <f>+'LISTA DE INSUMOS'!C46</f>
        <v>M</v>
      </c>
      <c r="F4884" s="102">
        <v>6</v>
      </c>
      <c r="G4884" s="103">
        <f>+'LISTA DE INSUMOS'!E46</f>
        <v>8112.0359999999991</v>
      </c>
      <c r="H4884" s="104">
        <f>1/8</f>
        <v>0.125</v>
      </c>
      <c r="I4884" s="103">
        <f>ROUND((F4884*G4884*H4884),0)</f>
        <v>6084</v>
      </c>
    </row>
    <row r="4885" spans="2:9" ht="19.5" customHeight="1" x14ac:dyDescent="0.2">
      <c r="B4885" s="657"/>
      <c r="C4885" s="104" t="str">
        <f>+'LISTA DE INSUMOS'!A52</f>
        <v>MAT021</v>
      </c>
      <c r="D4885" s="280" t="str">
        <f>+'LISTA DE INSUMOS'!B52</f>
        <v>Puntilla (promedio)</v>
      </c>
      <c r="E4885" s="126" t="str">
        <f>+'LISTA DE INSUMOS'!C52</f>
        <v>Lb</v>
      </c>
      <c r="F4885" s="102">
        <v>0.13008618217535381</v>
      </c>
      <c r="G4885" s="103">
        <f>+'LISTA DE INSUMOS'!E52</f>
        <v>6690.6972299999998</v>
      </c>
      <c r="H4885" s="104">
        <v>0</v>
      </c>
      <c r="I4885" s="103">
        <f>ROUND((F4885*G4885),0)</f>
        <v>870</v>
      </c>
    </row>
    <row r="4886" spans="2:9" ht="19.5" customHeight="1" x14ac:dyDescent="0.2">
      <c r="B4886" s="657"/>
      <c r="C4886" s="104" t="str">
        <f>+'LISTA DE INSUMOS'!A328</f>
        <v>MAT305</v>
      </c>
      <c r="D4886" s="280" t="str">
        <f>+'LISTA DE INSUMOS'!B328</f>
        <v>Telera de 3,5 x 24 cm x 2,9 m de sajo</v>
      </c>
      <c r="E4886" s="126" t="str">
        <f>+'LISTA DE INSUMOS'!C328</f>
        <v>M</v>
      </c>
      <c r="F4886" s="107"/>
      <c r="G4886" s="103">
        <f>+'LISTA DE INSUMOS'!E328</f>
        <v>16237.847786159999</v>
      </c>
      <c r="H4886" s="104">
        <v>0.125</v>
      </c>
      <c r="I4886" s="103">
        <f>ROUND((F4886*G4886*H4886),0)</f>
        <v>0</v>
      </c>
    </row>
    <row r="4887" spans="2:9" ht="19.5" customHeight="1" thickBot="1" x14ac:dyDescent="0.25">
      <c r="B4887" s="657"/>
      <c r="C4887" s="104" t="str">
        <f>+'LISTA DE INSUMOS'!A49</f>
        <v>MAT018</v>
      </c>
      <c r="D4887" s="280" t="str">
        <f>+'LISTA DE INSUMOS'!B49</f>
        <v>Cuartón de sajo 2" x 4" x 2,9 m</v>
      </c>
      <c r="E4887" s="126" t="str">
        <f>+'LISTA DE INSUMOS'!C49</f>
        <v>M</v>
      </c>
      <c r="F4887" s="107">
        <v>2</v>
      </c>
      <c r="G4887" s="103">
        <f>+'LISTA DE INSUMOS'!E49</f>
        <v>11944.810644542158</v>
      </c>
      <c r="H4887" s="104">
        <v>0.125</v>
      </c>
      <c r="I4887" s="103">
        <f>ROUND((F4887*G4887*H4887),0)</f>
        <v>2986</v>
      </c>
    </row>
    <row r="4888" spans="2:9" ht="19.5" customHeight="1" thickTop="1" thickBot="1" x14ac:dyDescent="0.25">
      <c r="B4888" s="158" t="s">
        <v>1034</v>
      </c>
      <c r="C4888" s="104" t="str">
        <f>+'LISTA DE INSUMOS'!A18</f>
        <v>MOB015</v>
      </c>
      <c r="D4888" s="280" t="str">
        <f>+'LISTA DE INSUMOS'!B18</f>
        <v>Cuadrilla E 1 Of + 1 Ay (jornal + prestaciones)</v>
      </c>
      <c r="E4888" s="126" t="str">
        <f>+'LISTA DE INSUMOS'!C18</f>
        <v>Día</v>
      </c>
      <c r="F4888" s="107">
        <v>1</v>
      </c>
      <c r="G4888" s="103">
        <f>+'LISTA DE INSUMOS'!E18</f>
        <v>245584</v>
      </c>
      <c r="H4888" s="104">
        <v>2.5000000000000001E-2</v>
      </c>
      <c r="I4888" s="103">
        <f>ROUND((F4888*G4888*H4888),0)</f>
        <v>6140</v>
      </c>
    </row>
    <row r="4889" spans="2:9" ht="18" customHeight="1" thickTop="1" thickBot="1" x14ac:dyDescent="0.25">
      <c r="B4889" s="150" t="s">
        <v>1033</v>
      </c>
      <c r="C4889" s="116" t="str">
        <f>+'LISTA DE INSUMOS'!A758</f>
        <v>EQU002</v>
      </c>
      <c r="D4889" s="281" t="str">
        <f>+'LISTA DE INSUMOS'!B758</f>
        <v>Herramienta menor (% mano obra)</v>
      </c>
      <c r="E4889" s="279" t="str">
        <f>+'LISTA DE INSUMOS'!C758</f>
        <v>%MO</v>
      </c>
      <c r="F4889" s="114">
        <v>0.1</v>
      </c>
      <c r="G4889" s="115">
        <f>+I4888</f>
        <v>6140</v>
      </c>
      <c r="H4889" s="116">
        <v>0</v>
      </c>
      <c r="I4889" s="115">
        <f>ROUND((F4889*G4889),0)</f>
        <v>614</v>
      </c>
    </row>
    <row r="4890" spans="2:9" s="317" customFormat="1" ht="50.25" hidden="1" customHeight="1" x14ac:dyDescent="0.2">
      <c r="B4890" s="319" t="s">
        <v>2576</v>
      </c>
      <c r="C4890" s="319"/>
      <c r="D4890" s="320" t="s">
        <v>2722</v>
      </c>
      <c r="E4890" s="319" t="s">
        <v>1412</v>
      </c>
      <c r="F4890" s="321"/>
      <c r="G4890" s="312">
        <f>+SUM(I4891:I4894)</f>
        <v>35547</v>
      </c>
      <c r="H4890" s="322"/>
      <c r="I4890" s="312"/>
    </row>
    <row r="4891" spans="2:9" s="317" customFormat="1" ht="30.75" hidden="1" customHeight="1" x14ac:dyDescent="0.2">
      <c r="B4891" s="658" t="s">
        <v>1325</v>
      </c>
      <c r="C4891" s="317" t="str">
        <f>+'LISTA DE INSUMOS'!A169</f>
        <v>MAT124</v>
      </c>
      <c r="D4891" s="404" t="str">
        <f>+'LISTA DE INSUMOS'!B169</f>
        <v>Tubería PVC de alcantarillado de pared estructural d =  6", exterior corrugado (Novafort)</v>
      </c>
      <c r="E4891" s="397" t="str">
        <f>+'LISTA DE INSUMOS'!C169</f>
        <v>M</v>
      </c>
      <c r="F4891" s="405">
        <v>1</v>
      </c>
      <c r="G4891" s="399">
        <f>+'LISTA DE INSUMOS'!E169</f>
        <v>47831.067845000005</v>
      </c>
      <c r="H4891" s="352">
        <f>1/3</f>
        <v>0.33333333333333331</v>
      </c>
      <c r="I4891" s="399">
        <f t="shared" ref="I4891:I4898" si="43">ROUND((F4891*G4891*H4891),0)</f>
        <v>15944</v>
      </c>
    </row>
    <row r="4892" spans="2:9" s="317" customFormat="1" ht="21.75" hidden="1" customHeight="1" thickBot="1" x14ac:dyDescent="0.25">
      <c r="B4892" s="658"/>
      <c r="C4892" s="317" t="str">
        <f>+'LISTA DE INSUMOS'!A692</f>
        <v>MAT705</v>
      </c>
      <c r="D4892" s="406" t="str">
        <f>+'LISTA DE INSUMOS'!B692</f>
        <v>Accesorios tubería PVC Novafort (% tubería)</v>
      </c>
      <c r="E4892" s="397" t="str">
        <f>+'LISTA DE INSUMOS'!C692</f>
        <v>%Tub</v>
      </c>
      <c r="F4892" s="405">
        <v>0.1</v>
      </c>
      <c r="G4892" s="399">
        <f>+I4891</f>
        <v>15944</v>
      </c>
      <c r="H4892" s="317">
        <v>0</v>
      </c>
      <c r="I4892" s="399">
        <f>ROUND((F4892*G4892),0)</f>
        <v>1594</v>
      </c>
    </row>
    <row r="4893" spans="2:9" s="317" customFormat="1" ht="29.25" hidden="1" customHeight="1" thickTop="1" thickBot="1" x14ac:dyDescent="0.25">
      <c r="B4893" s="342" t="s">
        <v>1034</v>
      </c>
      <c r="C4893" s="317" t="str">
        <f>+'LISTA DE INSUMOS'!A9</f>
        <v>MOB006</v>
      </c>
      <c r="D4893" s="406" t="str">
        <f>+'LISTA DE INSUMOS'!B9</f>
        <v>Cuadrilla A 1 Of + 4 Ay (jornal + prestaciones)</v>
      </c>
      <c r="E4893" s="397" t="str">
        <f>+'LISTA DE INSUMOS'!C9</f>
        <v>Día</v>
      </c>
      <c r="F4893" s="398">
        <v>1</v>
      </c>
      <c r="G4893" s="399">
        <f>+'LISTA DE INSUMOS'!E9</f>
        <v>491167</v>
      </c>
      <c r="H4893" s="407">
        <v>3.3333333333333333E-2</v>
      </c>
      <c r="I4893" s="399">
        <f t="shared" si="43"/>
        <v>16372</v>
      </c>
    </row>
    <row r="4894" spans="2:9" s="317" customFormat="1" ht="6" hidden="1" customHeight="1" thickTop="1" thickBot="1" x14ac:dyDescent="0.25">
      <c r="B4894" s="255" t="s">
        <v>1033</v>
      </c>
      <c r="C4894" s="400" t="str">
        <f>+'LISTA DE INSUMOS'!A758</f>
        <v>EQU002</v>
      </c>
      <c r="D4894" s="408" t="str">
        <f>+'LISTA DE INSUMOS'!B758</f>
        <v>Herramienta menor (% mano obra)</v>
      </c>
      <c r="E4894" s="401" t="str">
        <f>+'LISTA DE INSUMOS'!C758</f>
        <v>%MO</v>
      </c>
      <c r="F4894" s="402">
        <v>0.1</v>
      </c>
      <c r="G4894" s="403">
        <f>+I4893</f>
        <v>16372</v>
      </c>
      <c r="H4894" s="400">
        <v>0</v>
      </c>
      <c r="I4894" s="403">
        <f>ROUND((F4894*G4894),0)</f>
        <v>1637</v>
      </c>
    </row>
    <row r="4895" spans="2:9" s="317" customFormat="1" ht="27.75" hidden="1" customHeight="1" x14ac:dyDescent="0.2">
      <c r="B4895" s="319" t="s">
        <v>2577</v>
      </c>
      <c r="C4895" s="319"/>
      <c r="D4895" s="320" t="s">
        <v>2584</v>
      </c>
      <c r="E4895" s="319" t="s">
        <v>1412</v>
      </c>
      <c r="F4895" s="321"/>
      <c r="G4895" s="312">
        <f>+SUM(I4896:I4899)</f>
        <v>44510</v>
      </c>
      <c r="H4895" s="322"/>
      <c r="I4895" s="312"/>
    </row>
    <row r="4896" spans="2:9" s="317" customFormat="1" ht="30.75" hidden="1" customHeight="1" x14ac:dyDescent="0.2">
      <c r="B4896" s="658" t="s">
        <v>1325</v>
      </c>
      <c r="C4896" s="317" t="str">
        <f>+'LISTA DE INSUMOS'!A146</f>
        <v>MAT105</v>
      </c>
      <c r="D4896" s="406" t="str">
        <f>+'LISTA DE INSUMOS'!B146</f>
        <v>Tubería PVC sanitaria de 6"</v>
      </c>
      <c r="E4896" s="397" t="str">
        <f>+'LISTA DE INSUMOS'!C146</f>
        <v>M</v>
      </c>
      <c r="F4896" s="405">
        <v>1</v>
      </c>
      <c r="G4896" s="399">
        <f>+'LISTA DE INSUMOS'!E146</f>
        <v>72276.593894399994</v>
      </c>
      <c r="H4896" s="352">
        <v>0.33333333333333331</v>
      </c>
      <c r="I4896" s="399">
        <f t="shared" si="43"/>
        <v>24092</v>
      </c>
    </row>
    <row r="4897" spans="2:11" s="317" customFormat="1" ht="38.25" hidden="1" customHeight="1" thickBot="1" x14ac:dyDescent="0.25">
      <c r="B4897" s="658"/>
      <c r="C4897" s="317" t="str">
        <f>+'LISTA DE INSUMOS'!A657</f>
        <v>MAT673</v>
      </c>
      <c r="D4897" s="406" t="str">
        <f>+'LISTA DE INSUMOS'!B657</f>
        <v>Accesorios tubería PVC santiaria</v>
      </c>
      <c r="E4897" s="397" t="str">
        <f>+'LISTA DE INSUMOS'!C657</f>
        <v>%Tub</v>
      </c>
      <c r="F4897" s="398">
        <v>0.1</v>
      </c>
      <c r="G4897" s="399">
        <f>+I4896</f>
        <v>24092</v>
      </c>
      <c r="H4897" s="317">
        <v>0</v>
      </c>
      <c r="I4897" s="399">
        <f>ROUND((F4897*G4897),0)</f>
        <v>2409</v>
      </c>
    </row>
    <row r="4898" spans="2:11" s="317" customFormat="1" ht="29.25" hidden="1" customHeight="1" thickTop="1" thickBot="1" x14ac:dyDescent="0.25">
      <c r="B4898" s="342" t="s">
        <v>1034</v>
      </c>
      <c r="C4898" s="317" t="str">
        <f>+'LISTA DE INSUMOS'!A9</f>
        <v>MOB006</v>
      </c>
      <c r="D4898" s="406" t="str">
        <f>+'LISTA DE INSUMOS'!B9</f>
        <v>Cuadrilla A 1 Of + 4 Ay (jornal + prestaciones)</v>
      </c>
      <c r="E4898" s="397" t="str">
        <f>+'LISTA DE INSUMOS'!C9</f>
        <v>Día</v>
      </c>
      <c r="F4898" s="398">
        <v>1</v>
      </c>
      <c r="G4898" s="399">
        <f>+'LISTA DE INSUMOS'!E9</f>
        <v>491167</v>
      </c>
      <c r="H4898" s="407">
        <v>3.3333333333333333E-2</v>
      </c>
      <c r="I4898" s="399">
        <f t="shared" si="43"/>
        <v>16372</v>
      </c>
    </row>
    <row r="4899" spans="2:11" s="317" customFormat="1" ht="44.25" hidden="1" customHeight="1" thickTop="1" thickBot="1" x14ac:dyDescent="0.25">
      <c r="B4899" s="255" t="s">
        <v>1033</v>
      </c>
      <c r="C4899" s="400" t="str">
        <f>+'LISTA DE INSUMOS'!A758</f>
        <v>EQU002</v>
      </c>
      <c r="D4899" s="408" t="str">
        <f>+'LISTA DE INSUMOS'!B758</f>
        <v>Herramienta menor (% mano obra)</v>
      </c>
      <c r="E4899" s="401" t="str">
        <f>+'LISTA DE INSUMOS'!C758</f>
        <v>%MO</v>
      </c>
      <c r="F4899" s="402">
        <v>0.1</v>
      </c>
      <c r="G4899" s="403">
        <f>+I4898</f>
        <v>16372</v>
      </c>
      <c r="H4899" s="400">
        <v>0</v>
      </c>
      <c r="I4899" s="403">
        <f>ROUND((F4899*G4899),0)</f>
        <v>1637</v>
      </c>
    </row>
    <row r="4900" spans="2:11" s="317" customFormat="1" ht="35.25" hidden="1" customHeight="1" x14ac:dyDescent="0.2">
      <c r="B4900" s="319" t="s">
        <v>2578</v>
      </c>
      <c r="C4900" s="319"/>
      <c r="D4900" s="320" t="s">
        <v>2560</v>
      </c>
      <c r="E4900" s="319" t="s">
        <v>2561</v>
      </c>
      <c r="F4900" s="321"/>
      <c r="G4900" s="312">
        <f>SUM(I4901:I4905)</f>
        <v>388862</v>
      </c>
      <c r="H4900" s="322"/>
      <c r="I4900" s="312"/>
    </row>
    <row r="4901" spans="2:11" s="317" customFormat="1" ht="25.5" hidden="1" customHeight="1" x14ac:dyDescent="0.2">
      <c r="B4901" s="322" t="s">
        <v>1325</v>
      </c>
      <c r="C4901" s="317" t="str">
        <f>+'LISTA DE INSUMOS'!A693</f>
        <v>MAT706</v>
      </c>
      <c r="D4901" s="406" t="str">
        <f>+'LISTA DE INSUMOS'!B693</f>
        <v>Material banco prestamo  no incluye transporte</v>
      </c>
      <c r="E4901" s="397" t="str">
        <f>+'LISTA DE INSUMOS'!C693</f>
        <v>m3</v>
      </c>
      <c r="F4901" s="405">
        <v>1</v>
      </c>
      <c r="G4901" s="399">
        <f>+'LISTA DE INSUMOS'!E693</f>
        <v>12146.143349999998</v>
      </c>
      <c r="H4901" s="317">
        <v>30</v>
      </c>
      <c r="I4901" s="399">
        <f>ROUND((F4901*G4901*H4901),0)</f>
        <v>364384</v>
      </c>
    </row>
    <row r="4902" spans="2:11" s="317" customFormat="1" ht="20.25" hidden="1" customHeight="1" thickBot="1" x14ac:dyDescent="0.25">
      <c r="B4902" s="339"/>
      <c r="C4902" s="317" t="str">
        <f>+'LISTA DE INSUMOS'!A9</f>
        <v>MOB006</v>
      </c>
      <c r="D4902" s="406" t="str">
        <f>+'LISTA DE INSUMOS'!B9</f>
        <v>Cuadrilla A 1 Of + 4 Ay (jornal + prestaciones)</v>
      </c>
      <c r="E4902" s="397" t="str">
        <f>+'LISTA DE INSUMOS'!C9</f>
        <v>Día</v>
      </c>
      <c r="F4902" s="405">
        <v>1</v>
      </c>
      <c r="G4902" s="399">
        <f>+'LISTA DE INSUMOS'!E9</f>
        <v>491167</v>
      </c>
      <c r="H4902" s="317">
        <v>3.3000000000000002E-2</v>
      </c>
      <c r="I4902" s="399">
        <f>ROUND((F4902*G4902*H4902),0)</f>
        <v>16209</v>
      </c>
      <c r="K4902" s="399"/>
    </row>
    <row r="4903" spans="2:11" s="317" customFormat="1" ht="5.25" hidden="1" customHeight="1" thickTop="1" thickBot="1" x14ac:dyDescent="0.25">
      <c r="B4903" s="342" t="s">
        <v>1034</v>
      </c>
      <c r="C4903" s="317" t="str">
        <f>+'LISTA DE INSUMOS'!A14</f>
        <v>MOB011</v>
      </c>
      <c r="D4903" s="406" t="str">
        <f>+'LISTA DE INSUMOS'!B14</f>
        <v>Acarreo Horizontal (% mano obra)</v>
      </c>
      <c r="E4903" s="397" t="str">
        <f>+'LISTA DE INSUMOS'!C14</f>
        <v>% MO</v>
      </c>
      <c r="F4903" s="405">
        <v>0.1</v>
      </c>
      <c r="G4903" s="399">
        <v>8631.4550144404329</v>
      </c>
      <c r="H4903" s="317">
        <v>0</v>
      </c>
      <c r="I4903" s="399">
        <f>ROUND((F4903*G4903),0)</f>
        <v>863</v>
      </c>
      <c r="K4903" s="399"/>
    </row>
    <row r="4904" spans="2:11" s="317" customFormat="1" ht="27.75" hidden="1" customHeight="1" thickTop="1" x14ac:dyDescent="0.2">
      <c r="B4904" s="652" t="s">
        <v>1033</v>
      </c>
      <c r="C4904" s="317" t="str">
        <f>+'LISTA DE INSUMOS'!A791</f>
        <v>EQU034</v>
      </c>
      <c r="D4904" s="406" t="str">
        <f>+'LISTA DE INSUMOS'!B791</f>
        <v>Compactador  manual (canguro)</v>
      </c>
      <c r="E4904" s="397" t="str">
        <f>+'LISTA DE INSUMOS'!C791</f>
        <v>Día</v>
      </c>
      <c r="F4904" s="398">
        <v>1</v>
      </c>
      <c r="G4904" s="399">
        <f>+'LISTA DE INSUMOS'!E791</f>
        <v>58744.017217600012</v>
      </c>
      <c r="H4904" s="317">
        <v>0.12</v>
      </c>
      <c r="I4904" s="399">
        <f>ROUND((F4904*G4904*H4904),0)</f>
        <v>7049</v>
      </c>
      <c r="K4904" s="399"/>
    </row>
    <row r="4905" spans="2:11" s="317" customFormat="1" ht="23.25" hidden="1" customHeight="1" thickBot="1" x14ac:dyDescent="0.25">
      <c r="B4905" s="653"/>
      <c r="C4905" s="400" t="str">
        <f>+'LISTA DE INSUMOS'!A758</f>
        <v>EQU002</v>
      </c>
      <c r="D4905" s="408" t="str">
        <f>+'LISTA DE INSUMOS'!B758</f>
        <v>Herramienta menor (% mano obra)</v>
      </c>
      <c r="E4905" s="401" t="str">
        <f>+'LISTA DE INSUMOS'!C758</f>
        <v>%MO</v>
      </c>
      <c r="F4905" s="402">
        <v>2.1999999999999999E-2</v>
      </c>
      <c r="G4905" s="403">
        <f>+I4902</f>
        <v>16209</v>
      </c>
      <c r="H4905" s="400">
        <v>0</v>
      </c>
      <c r="I4905" s="403">
        <f>ROUND((F4905*G4905),0)</f>
        <v>357</v>
      </c>
      <c r="K4905" s="399"/>
    </row>
    <row r="4906" spans="2:11" s="317" customFormat="1" ht="29.25" hidden="1" customHeight="1" x14ac:dyDescent="0.2">
      <c r="B4906" s="319" t="s">
        <v>2579</v>
      </c>
      <c r="C4906" s="319"/>
      <c r="D4906" s="320" t="s">
        <v>2563</v>
      </c>
      <c r="E4906" s="319" t="s">
        <v>2561</v>
      </c>
      <c r="F4906" s="321"/>
      <c r="G4906" s="312">
        <f>+SUM(I4907:I4921)</f>
        <v>1424520</v>
      </c>
      <c r="H4906" s="322"/>
      <c r="I4906" s="312"/>
    </row>
    <row r="4907" spans="2:11" s="317" customFormat="1" ht="32.25" hidden="1" customHeight="1" x14ac:dyDescent="0.2">
      <c r="B4907" s="658" t="s">
        <v>1325</v>
      </c>
      <c r="C4907" s="317" t="str">
        <f>+'LISTA DE INSUMOS'!A49</f>
        <v>MAT018</v>
      </c>
      <c r="D4907" s="406" t="str">
        <f>+'LISTA DE INSUMOS'!B49</f>
        <v>Cuartón de sajo 2" x 4" x 2,9 m</v>
      </c>
      <c r="E4907" s="397" t="str">
        <f>+'LISTA DE INSUMOS'!C49</f>
        <v>M</v>
      </c>
      <c r="F4907" s="405">
        <v>9</v>
      </c>
      <c r="G4907" s="399">
        <f>+'LISTA DE INSUMOS'!E49</f>
        <v>11944.810644542158</v>
      </c>
      <c r="H4907" s="352">
        <v>0.33333333333333331</v>
      </c>
      <c r="I4907" s="399">
        <f t="shared" ref="I4907:I4918" si="44">ROUND((F4907*G4907*H4907),0)</f>
        <v>35834</v>
      </c>
    </row>
    <row r="4908" spans="2:11" s="317" customFormat="1" ht="30.75" hidden="1" customHeight="1" x14ac:dyDescent="0.2">
      <c r="B4908" s="658"/>
      <c r="C4908" s="317" t="str">
        <f>+'LISTA DE INSUMOS'!A51</f>
        <v>MAT020</v>
      </c>
      <c r="D4908" s="406" t="str">
        <f>+'LISTA DE INSUMOS'!B51</f>
        <v>Guadua basa longitud promedio = 5 m</v>
      </c>
      <c r="E4908" s="409" t="str">
        <f>+'LISTA DE INSUMOS'!C51</f>
        <v>Un</v>
      </c>
      <c r="F4908" s="405">
        <v>2</v>
      </c>
      <c r="G4908" s="399">
        <f>+'LISTA DE INSUMOS'!E51</f>
        <v>8662.3499999999985</v>
      </c>
      <c r="H4908" s="352">
        <v>0.33333333333333331</v>
      </c>
      <c r="I4908" s="399">
        <f t="shared" si="44"/>
        <v>5775</v>
      </c>
    </row>
    <row r="4909" spans="2:11" s="317" customFormat="1" ht="30" hidden="1" customHeight="1" x14ac:dyDescent="0.2">
      <c r="B4909" s="658"/>
      <c r="C4909" s="317" t="str">
        <f>+'LISTA DE INSUMOS'!A52</f>
        <v>MAT021</v>
      </c>
      <c r="D4909" s="406" t="str">
        <f>+'LISTA DE INSUMOS'!B52</f>
        <v>Puntilla (promedio)</v>
      </c>
      <c r="E4909" s="397" t="str">
        <f>+'LISTA DE INSUMOS'!C52</f>
        <v>Lb</v>
      </c>
      <c r="F4909" s="405">
        <v>2</v>
      </c>
      <c r="G4909" s="399">
        <f>+'LISTA DE INSUMOS'!E52</f>
        <v>6690.6972299999998</v>
      </c>
      <c r="H4909" s="317">
        <v>0</v>
      </c>
      <c r="I4909" s="399">
        <f>ROUND((F4909*G4909),0)</f>
        <v>13381</v>
      </c>
    </row>
    <row r="4910" spans="2:11" s="317" customFormat="1" ht="1.5" hidden="1" customHeight="1" x14ac:dyDescent="0.2">
      <c r="B4910" s="658"/>
      <c r="C4910" s="317" t="str">
        <f>+'LISTA DE INSUMOS'!A53</f>
        <v>MAT022</v>
      </c>
      <c r="D4910" s="406" t="str">
        <f>+'LISTA DE INSUMOS'!B53</f>
        <v>Alambre negro calibre 17</v>
      </c>
      <c r="E4910" s="397" t="str">
        <f>+'LISTA DE INSUMOS'!C53</f>
        <v>Kg</v>
      </c>
      <c r="F4910" s="405">
        <v>2</v>
      </c>
      <c r="G4910" s="399">
        <f>+'LISTA DE INSUMOS'!E53</f>
        <v>7948.98</v>
      </c>
      <c r="H4910" s="317">
        <v>0</v>
      </c>
      <c r="I4910" s="399">
        <f>ROUND((F4910*G4910),0)</f>
        <v>15898</v>
      </c>
    </row>
    <row r="4911" spans="2:11" s="317" customFormat="1" ht="24.75" hidden="1" customHeight="1" x14ac:dyDescent="0.2">
      <c r="B4911" s="658"/>
      <c r="C4911" s="317" t="str">
        <f>+'LISTA DE INSUMOS'!A93</f>
        <v>MAT051</v>
      </c>
      <c r="D4911" s="406" t="str">
        <f>+'LISTA DE INSUMOS'!B93</f>
        <v>Antisol blanco</v>
      </c>
      <c r="E4911" s="397" t="str">
        <f>+'LISTA DE INSUMOS'!C93</f>
        <v>Kg</v>
      </c>
      <c r="F4911" s="405">
        <v>1.1000000000000001</v>
      </c>
      <c r="G4911" s="399">
        <f>+'LISTA DE INSUMOS'!E93</f>
        <v>11510.734499999999</v>
      </c>
      <c r="H4911" s="317">
        <v>1.03</v>
      </c>
      <c r="I4911" s="399">
        <f t="shared" si="44"/>
        <v>13042</v>
      </c>
    </row>
    <row r="4912" spans="2:11" s="317" customFormat="1" ht="27.75" hidden="1" customHeight="1" x14ac:dyDescent="0.2">
      <c r="B4912" s="658"/>
      <c r="C4912" s="317" t="str">
        <f>+'LISTA DE INSUMOS'!A132</f>
        <v>MAT091</v>
      </c>
      <c r="D4912" s="406" t="str">
        <f>+'LISTA DE INSUMOS'!B132</f>
        <v>Varillón de sajo</v>
      </c>
      <c r="E4912" s="397" t="str">
        <f>+'LISTA DE INSUMOS'!C132</f>
        <v>M</v>
      </c>
      <c r="F4912" s="405">
        <v>6</v>
      </c>
      <c r="G4912" s="399">
        <f>+'LISTA DE INSUMOS'!E132</f>
        <v>2979.6450687603597</v>
      </c>
      <c r="H4912" s="352">
        <v>0.33333333333333331</v>
      </c>
      <c r="I4912" s="399">
        <f t="shared" si="44"/>
        <v>5959</v>
      </c>
    </row>
    <row r="4913" spans="2:9" s="317" customFormat="1" ht="27" hidden="1" customHeight="1" x14ac:dyDescent="0.2">
      <c r="B4913" s="658"/>
      <c r="C4913" s="317" t="str">
        <f>+'LISTA DE INSUMOS'!A358</f>
        <v>MAT351</v>
      </c>
      <c r="D4913" s="406" t="str">
        <f>+'LISTA DE INSUMOS'!B358</f>
        <v>Concreto premezclado de 27,6 Mpa (4000 psi) plastico</v>
      </c>
      <c r="E4913" s="397" t="str">
        <f>+'LISTA DE INSUMOS'!C358</f>
        <v>M3</v>
      </c>
      <c r="F4913" s="405">
        <v>1</v>
      </c>
      <c r="G4913" s="399">
        <f>+'LISTA DE INSUMOS'!E358</f>
        <v>694418.42425031983</v>
      </c>
      <c r="H4913" s="317">
        <v>1.05</v>
      </c>
      <c r="I4913" s="399">
        <f t="shared" si="44"/>
        <v>729139</v>
      </c>
    </row>
    <row r="4914" spans="2:9" s="317" customFormat="1" ht="23.25" hidden="1" customHeight="1" x14ac:dyDescent="0.2">
      <c r="B4914" s="658"/>
      <c r="C4914" s="317" t="str">
        <f>+'LISTA DE INSUMOS'!A376</f>
        <v>MAT370</v>
      </c>
      <c r="D4914" s="406" t="str">
        <f>+'LISTA DE INSUMOS'!B376</f>
        <v>Impermeabilizante para concreto</v>
      </c>
      <c r="E4914" s="397" t="str">
        <f>+'LISTA DE INSUMOS'!C376</f>
        <v>Kg</v>
      </c>
      <c r="F4914" s="405">
        <v>2</v>
      </c>
      <c r="G4914" s="399">
        <f>+'LISTA DE INSUMOS'!E376</f>
        <v>24109.941066665848</v>
      </c>
      <c r="H4914" s="317">
        <v>0</v>
      </c>
      <c r="I4914" s="399">
        <f>ROUND((F4914*G4914),0)</f>
        <v>48220</v>
      </c>
    </row>
    <row r="4915" spans="2:9" s="317" customFormat="1" ht="27" hidden="1" customHeight="1" thickBot="1" x14ac:dyDescent="0.25">
      <c r="B4915" s="658"/>
      <c r="C4915" s="317" t="str">
        <f>+'LISTA DE INSUMOS'!A696</f>
        <v>MAT709</v>
      </c>
      <c r="D4915" s="406" t="str">
        <f>+'LISTA DE INSUMOS'!B696</f>
        <v>Fluidificante para concretos</v>
      </c>
      <c r="E4915" s="409" t="str">
        <f>+'LISTA DE INSUMOS'!C696</f>
        <v>kg</v>
      </c>
      <c r="F4915" s="405">
        <v>2</v>
      </c>
      <c r="G4915" s="399">
        <f>+'LISTA DE INSUMOS'!E696</f>
        <v>13898.487326611797</v>
      </c>
      <c r="H4915" s="317">
        <v>0</v>
      </c>
      <c r="I4915" s="399">
        <f>ROUND((F4915*G4915),0)</f>
        <v>27797</v>
      </c>
    </row>
    <row r="4916" spans="2:9" s="317" customFormat="1" ht="20.25" hidden="1" customHeight="1" thickTop="1" x14ac:dyDescent="0.2">
      <c r="B4916" s="688" t="s">
        <v>1033</v>
      </c>
      <c r="C4916" s="317" t="str">
        <f>+'LISTA DE INSUMOS'!A775</f>
        <v>EQU018</v>
      </c>
      <c r="D4916" s="406" t="str">
        <f>+'LISTA DE INSUMOS'!B775</f>
        <v>Vibrador eléctrico o a gasolina</v>
      </c>
      <c r="E4916" s="397" t="str">
        <f>+'LISTA DE INSUMOS'!C775</f>
        <v>Día</v>
      </c>
      <c r="F4916" s="405">
        <v>1</v>
      </c>
      <c r="G4916" s="399">
        <f>+'LISTA DE INSUMOS'!E775</f>
        <v>42234.2781968536</v>
      </c>
      <c r="H4916" s="317">
        <v>0.11</v>
      </c>
      <c r="I4916" s="399">
        <f t="shared" si="44"/>
        <v>4646</v>
      </c>
    </row>
    <row r="4917" spans="2:9" s="317" customFormat="1" ht="22.5" hidden="1" customHeight="1" x14ac:dyDescent="0.2">
      <c r="B4917" s="689"/>
      <c r="C4917" s="317" t="str">
        <f>+'LISTA DE INSUMOS'!A762</f>
        <v>EQU006</v>
      </c>
      <c r="D4917" s="406" t="str">
        <f>+'LISTA DE INSUMOS'!B762</f>
        <v>Andamio (% mano obra)</v>
      </c>
      <c r="E4917" s="397" t="str">
        <f>+'LISTA DE INSUMOS'!C762</f>
        <v>%MO</v>
      </c>
      <c r="F4917" s="405">
        <v>0.2</v>
      </c>
      <c r="G4917" s="399">
        <f>+I4920</f>
        <v>368375</v>
      </c>
      <c r="H4917" s="317">
        <v>0</v>
      </c>
      <c r="I4917" s="399">
        <f>ROUND((F4917*G4917),0)</f>
        <v>73675</v>
      </c>
    </row>
    <row r="4918" spans="2:9" s="317" customFormat="1" ht="34.5" hidden="1" customHeight="1" x14ac:dyDescent="0.2">
      <c r="B4918" s="689"/>
      <c r="C4918" s="317" t="str">
        <f>+'LISTA DE INSUMOS'!A799</f>
        <v>EQU043</v>
      </c>
      <c r="D4918" s="406" t="str">
        <f>+'LISTA DE INSUMOS'!B799</f>
        <v>Tablero formaleta 70*140</v>
      </c>
      <c r="E4918" s="397" t="str">
        <f>+'LISTA DE INSUMOS'!C799</f>
        <v>Dia</v>
      </c>
      <c r="F4918" s="405">
        <v>5</v>
      </c>
      <c r="G4918" s="399">
        <f>+'LISTA DE INSUMOS'!E799</f>
        <v>910.28952299999992</v>
      </c>
      <c r="H4918" s="317">
        <v>2</v>
      </c>
      <c r="I4918" s="399">
        <f t="shared" si="44"/>
        <v>9103</v>
      </c>
    </row>
    <row r="4919" spans="2:9" s="317" customFormat="1" ht="24" hidden="1" customHeight="1" thickBot="1" x14ac:dyDescent="0.25">
      <c r="B4919" s="690"/>
      <c r="C4919" s="317" t="str">
        <f>+'LISTA DE INSUMOS'!A758</f>
        <v>EQU002</v>
      </c>
      <c r="D4919" s="406" t="str">
        <f>+'LISTA DE INSUMOS'!B758</f>
        <v>Herramienta menor (% mano obra)</v>
      </c>
      <c r="E4919" s="397" t="str">
        <f>+'LISTA DE INSUMOS'!C758</f>
        <v>%MO</v>
      </c>
      <c r="F4919" s="398">
        <v>0.1</v>
      </c>
      <c r="G4919" s="399">
        <f>+I4920</f>
        <v>368375</v>
      </c>
      <c r="H4919" s="317">
        <v>0</v>
      </c>
      <c r="I4919" s="399">
        <f>ROUND((F4919*G4919),0)</f>
        <v>36838</v>
      </c>
    </row>
    <row r="4920" spans="2:9" s="317" customFormat="1" ht="24.75" hidden="1" customHeight="1" thickTop="1" x14ac:dyDescent="0.2">
      <c r="B4920" s="655" t="s">
        <v>1034</v>
      </c>
      <c r="C4920" s="317" t="str">
        <f>+'LISTA DE INSUMOS'!A9</f>
        <v>MOB006</v>
      </c>
      <c r="D4920" s="406" t="str">
        <f>+'LISTA DE INSUMOS'!B9</f>
        <v>Cuadrilla A 1 Of + 4 Ay (jornal + prestaciones)</v>
      </c>
      <c r="E4920" s="397" t="str">
        <f>+'LISTA DE INSUMOS'!C9</f>
        <v>Día</v>
      </c>
      <c r="F4920" s="405">
        <v>1</v>
      </c>
      <c r="G4920" s="399">
        <f>+'LISTA DE INSUMOS'!E9</f>
        <v>491167</v>
      </c>
      <c r="H4920" s="317">
        <v>0.75</v>
      </c>
      <c r="I4920" s="399">
        <f>ROUND((F4920*G4920*H4920),0)</f>
        <v>368375</v>
      </c>
    </row>
    <row r="4921" spans="2:9" s="317" customFormat="1" ht="27.75" hidden="1" customHeight="1" thickBot="1" x14ac:dyDescent="0.25">
      <c r="B4921" s="656"/>
      <c r="C4921" s="400" t="str">
        <f>+'LISTA DE INSUMOS'!A14</f>
        <v>MOB011</v>
      </c>
      <c r="D4921" s="408" t="str">
        <f>+'LISTA DE INSUMOS'!B14</f>
        <v>Acarreo Horizontal (% mano obra)</v>
      </c>
      <c r="E4921" s="401" t="str">
        <f>+'LISTA DE INSUMOS'!C14</f>
        <v>% MO</v>
      </c>
      <c r="F4921" s="402">
        <v>0.1</v>
      </c>
      <c r="G4921" s="403">
        <f>+I4920</f>
        <v>368375</v>
      </c>
      <c r="H4921" s="400">
        <v>0</v>
      </c>
      <c r="I4921" s="403">
        <f>ROUND((F4921*G4921),0)</f>
        <v>36838</v>
      </c>
    </row>
    <row r="4922" spans="2:9" ht="33" customHeight="1" thickBot="1" x14ac:dyDescent="0.25">
      <c r="B4922" s="117" t="s">
        <v>2350</v>
      </c>
      <c r="C4922" s="117"/>
      <c r="D4922" s="112" t="s">
        <v>2565</v>
      </c>
      <c r="E4922" s="117" t="s">
        <v>2566</v>
      </c>
      <c r="F4922" s="118"/>
      <c r="G4922" s="119">
        <f>+SUM(I4923)</f>
        <v>186913</v>
      </c>
      <c r="H4922" s="120"/>
      <c r="I4922" s="119"/>
    </row>
    <row r="4923" spans="2:9" ht="19.5" customHeight="1" thickTop="1" thickBot="1" x14ac:dyDescent="0.25">
      <c r="B4923" s="150" t="s">
        <v>1033</v>
      </c>
      <c r="C4923" s="116" t="str">
        <f>+'LISTA DE INSUMOS'!A781</f>
        <v>EQU024</v>
      </c>
      <c r="D4923" s="281" t="str">
        <f>+'LISTA DE INSUMOS'!B781</f>
        <v>Retroexcavadora de orugas  capacidad 0,9 M3</v>
      </c>
      <c r="E4923" s="279" t="str">
        <f>+'LISTA DE INSUMOS'!C781</f>
        <v>Hr</v>
      </c>
      <c r="F4923" s="114">
        <v>1</v>
      </c>
      <c r="G4923" s="115">
        <f>+'LISTA DE INSUMOS'!E781</f>
        <v>186912.78205599997</v>
      </c>
      <c r="H4923" s="116">
        <v>0</v>
      </c>
      <c r="I4923" s="115">
        <f>ROUND((F4923*G4923),0)</f>
        <v>186913</v>
      </c>
    </row>
    <row r="4924" spans="2:9" ht="33" hidden="1" customHeight="1" x14ac:dyDescent="0.2">
      <c r="B4924" s="117" t="s">
        <v>2580</v>
      </c>
      <c r="C4924" s="117"/>
      <c r="D4924" s="112" t="s">
        <v>2594</v>
      </c>
      <c r="E4924" s="117" t="s">
        <v>2564</v>
      </c>
      <c r="F4924" s="118"/>
      <c r="G4924" s="119">
        <f>SUM(I4925:I4928)</f>
        <v>399040</v>
      </c>
      <c r="H4924" s="120"/>
      <c r="I4924" s="119"/>
    </row>
    <row r="4925" spans="2:9" s="317" customFormat="1" ht="19.5" hidden="1" customHeight="1" x14ac:dyDescent="0.2">
      <c r="B4925" s="654" t="s">
        <v>1033</v>
      </c>
      <c r="C4925" s="317" t="str">
        <f>+'LISTA DE INSUMOS'!A816</f>
        <v>EQU061</v>
      </c>
      <c r="D4925" s="406" t="str">
        <f>+'LISTA DE INSUMOS'!B816</f>
        <v>Máquina hidrosembradora</v>
      </c>
      <c r="E4925" s="409" t="str">
        <f>+'LISTA DE INSUMOS'!C816</f>
        <v>hora</v>
      </c>
      <c r="F4925" s="398">
        <v>1</v>
      </c>
      <c r="G4925" s="399">
        <f>+'LISTA DE INSUMOS'!E816</f>
        <v>140044.54199999999</v>
      </c>
      <c r="H4925" s="317">
        <v>0.05</v>
      </c>
      <c r="I4925" s="399">
        <f>ROUND((F4925*G4925*H4925),0)</f>
        <v>7002</v>
      </c>
    </row>
    <row r="4926" spans="2:9" s="317" customFormat="1" ht="19.5" hidden="1" customHeight="1" x14ac:dyDescent="0.2">
      <c r="B4926" s="654"/>
      <c r="C4926" s="317" t="str">
        <f>'LISTA DE INSUMOS'!A758</f>
        <v>EQU002</v>
      </c>
      <c r="D4926" s="406" t="str">
        <f>'LISTA DE INSUMOS'!B758</f>
        <v>Herramienta menor (% mano obra)</v>
      </c>
      <c r="E4926" s="397" t="str">
        <f>'LISTA DE INSUMOS'!C758</f>
        <v>%MO</v>
      </c>
      <c r="F4926" s="398">
        <v>0.1</v>
      </c>
      <c r="G4926" s="399">
        <f>+I4928</f>
        <v>2047</v>
      </c>
      <c r="H4926" s="317">
        <v>0</v>
      </c>
      <c r="I4926" s="399">
        <f>ROUND((F4926*G4926),0)</f>
        <v>205</v>
      </c>
    </row>
    <row r="4927" spans="2:9" s="317" customFormat="1" ht="19.5" hidden="1" customHeight="1" thickBot="1" x14ac:dyDescent="0.25">
      <c r="B4927" s="338" t="s">
        <v>1325</v>
      </c>
      <c r="C4927" s="317" t="str">
        <f>+'LISTA DE INSUMOS'!A424</f>
        <v>MAT439</v>
      </c>
      <c r="D4927" s="406" t="str">
        <f>+'LISTA DE INSUMOS'!B424</f>
        <v>Semilla de grama</v>
      </c>
      <c r="E4927" s="397" t="str">
        <f>+'LISTA DE INSUMOS'!C424</f>
        <v>Lb</v>
      </c>
      <c r="F4927" s="398">
        <v>1</v>
      </c>
      <c r="G4927" s="399">
        <f>+'LISTA DE INSUMOS'!E424</f>
        <v>19489.314426860677</v>
      </c>
      <c r="H4927" s="317">
        <v>20</v>
      </c>
      <c r="I4927" s="399">
        <f>ROUND((F4927*G4927*H4927),0)</f>
        <v>389786</v>
      </c>
    </row>
    <row r="4928" spans="2:9" s="317" customFormat="1" ht="19.5" hidden="1" customHeight="1" thickTop="1" thickBot="1" x14ac:dyDescent="0.25">
      <c r="B4928" s="342" t="s">
        <v>1034</v>
      </c>
      <c r="C4928" s="317" t="str">
        <f>+'LISTA DE INSUMOS'!A20</f>
        <v>MOB017</v>
      </c>
      <c r="D4928" s="406" t="str">
        <f>+'LISTA DE INSUMOS'!B20</f>
        <v>Cuadrilla G 1 Of + 2 Ay (jornal + prestaciones)</v>
      </c>
      <c r="E4928" s="397" t="str">
        <f>+'LISTA DE INSUMOS'!C20</f>
        <v>Día</v>
      </c>
      <c r="F4928" s="398">
        <v>1</v>
      </c>
      <c r="G4928" s="399">
        <f>+'LISTA DE INSUMOS'!E20</f>
        <v>327445</v>
      </c>
      <c r="H4928" s="317">
        <f>1/160</f>
        <v>6.2500000000000003E-3</v>
      </c>
      <c r="I4928" s="399">
        <f>ROUND((F4928*G4928*H4928),0)</f>
        <v>2047</v>
      </c>
    </row>
    <row r="4929" spans="2:9" ht="33" hidden="1" customHeight="1" thickTop="1" x14ac:dyDescent="0.2">
      <c r="B4929" s="117" t="s">
        <v>2581</v>
      </c>
      <c r="C4929" s="117"/>
      <c r="D4929" s="112" t="s">
        <v>2568</v>
      </c>
      <c r="E4929" s="117" t="s">
        <v>2564</v>
      </c>
      <c r="F4929" s="118"/>
      <c r="G4929" s="119">
        <f>SUM(I4930:I4933)</f>
        <v>80498</v>
      </c>
      <c r="H4929" s="120"/>
      <c r="I4929" s="119"/>
    </row>
    <row r="4930" spans="2:9" s="317" customFormat="1" ht="19.5" hidden="1" customHeight="1" thickBot="1" x14ac:dyDescent="0.25">
      <c r="B4930" s="338" t="s">
        <v>1325</v>
      </c>
      <c r="C4930" s="317" t="str">
        <f>'LISTA DE INSUMOS'!A697</f>
        <v>MAT710</v>
      </c>
      <c r="D4930" s="406" t="str">
        <f>'LISTA DE INSUMOS'!B697</f>
        <v>Geomanta frexible tridimensional</v>
      </c>
      <c r="E4930" s="397" t="str">
        <f>'LISTA DE INSUMOS'!C697</f>
        <v>m2</v>
      </c>
      <c r="F4930" s="405">
        <v>1</v>
      </c>
      <c r="G4930" s="399">
        <f>'LISTA DE INSUMOS'!E697</f>
        <v>69555.464075096985</v>
      </c>
      <c r="H4930" s="317">
        <v>1.05</v>
      </c>
      <c r="I4930" s="399">
        <f>ROUND((F4930*G4930*H4930),0)</f>
        <v>73033</v>
      </c>
    </row>
    <row r="4931" spans="2:9" s="317" customFormat="1" ht="19.5" hidden="1" customHeight="1" thickTop="1" x14ac:dyDescent="0.2">
      <c r="B4931" s="655" t="s">
        <v>1034</v>
      </c>
      <c r="C4931" s="317" t="str">
        <f>'LISTA DE INSUMOS'!A20</f>
        <v>MOB017</v>
      </c>
      <c r="D4931" s="406" t="str">
        <f>'LISTA DE INSUMOS'!B20</f>
        <v>Cuadrilla G 1 Of + 2 Ay (jornal + prestaciones)</v>
      </c>
      <c r="E4931" s="397" t="str">
        <f>'LISTA DE INSUMOS'!C20</f>
        <v>Día</v>
      </c>
      <c r="F4931" s="398">
        <v>1</v>
      </c>
      <c r="G4931" s="399">
        <f>'LISTA DE INSUMOS'!E20</f>
        <v>327445</v>
      </c>
      <c r="H4931" s="317">
        <v>1.9E-2</v>
      </c>
      <c r="I4931" s="399">
        <f>ROUND((F4931*G4931*H4931),0)</f>
        <v>6221</v>
      </c>
    </row>
    <row r="4932" spans="2:9" s="317" customFormat="1" ht="19.5" hidden="1" customHeight="1" thickBot="1" x14ac:dyDescent="0.25">
      <c r="B4932" s="656"/>
      <c r="C4932" s="317" t="str">
        <f>'LISTA DE INSUMOS'!A14</f>
        <v>MOB011</v>
      </c>
      <c r="D4932" s="406" t="str">
        <f>'LISTA DE INSUMOS'!B14</f>
        <v>Acarreo Horizontal (% mano obra)</v>
      </c>
      <c r="E4932" s="397" t="str">
        <f>'LISTA DE INSUMOS'!C14</f>
        <v>% MO</v>
      </c>
      <c r="F4932" s="398">
        <v>0.1</v>
      </c>
      <c r="G4932" s="399">
        <f>I4931</f>
        <v>6221</v>
      </c>
      <c r="H4932" s="317">
        <v>0</v>
      </c>
      <c r="I4932" s="399">
        <f>ROUND((F4932*G4932),0)</f>
        <v>622</v>
      </c>
    </row>
    <row r="4933" spans="2:9" s="317" customFormat="1" ht="19.5" hidden="1" customHeight="1" thickTop="1" thickBot="1" x14ac:dyDescent="0.25">
      <c r="B4933" s="255" t="s">
        <v>1033</v>
      </c>
      <c r="C4933" s="317" t="str">
        <f>'LISTA DE INSUMOS'!A758</f>
        <v>EQU002</v>
      </c>
      <c r="D4933" s="406" t="str">
        <f>'LISTA DE INSUMOS'!B758</f>
        <v>Herramienta menor (% mano obra)</v>
      </c>
      <c r="E4933" s="397" t="str">
        <f>'LISTA DE INSUMOS'!C758</f>
        <v>%MO</v>
      </c>
      <c r="F4933" s="398">
        <v>0.1</v>
      </c>
      <c r="G4933" s="399">
        <f>I4931</f>
        <v>6221</v>
      </c>
      <c r="H4933" s="317">
        <v>0</v>
      </c>
      <c r="I4933" s="399">
        <f>ROUND((F4933*G4933),0)</f>
        <v>622</v>
      </c>
    </row>
    <row r="4934" spans="2:9" s="317" customFormat="1" ht="33" hidden="1" customHeight="1" thickBot="1" x14ac:dyDescent="0.25">
      <c r="B4934" s="319" t="s">
        <v>2582</v>
      </c>
      <c r="C4934" s="319"/>
      <c r="D4934" s="320" t="s">
        <v>2569</v>
      </c>
      <c r="E4934" s="319" t="s">
        <v>2570</v>
      </c>
      <c r="F4934" s="321"/>
      <c r="G4934" s="312">
        <f>SUM(I4935:I4943)</f>
        <v>232991</v>
      </c>
      <c r="H4934" s="322"/>
      <c r="I4934" s="312"/>
    </row>
    <row r="4935" spans="2:9" s="317" customFormat="1" ht="19.5" hidden="1" customHeight="1" thickTop="1" x14ac:dyDescent="0.2">
      <c r="B4935" s="652" t="s">
        <v>1033</v>
      </c>
      <c r="C4935" s="317" t="str">
        <f>'LISTA DE INSUMOS'!A817</f>
        <v>EQU062</v>
      </c>
      <c r="D4935" s="406" t="str">
        <f>'LISTA DE INSUMOS'!B817</f>
        <v>Equipo de perforación hidroneumático</v>
      </c>
      <c r="E4935" s="409" t="str">
        <f>'LISTA DE INSUMOS'!C817</f>
        <v>hora</v>
      </c>
      <c r="F4935" s="405">
        <v>1</v>
      </c>
      <c r="G4935" s="399">
        <f>'LISTA DE INSUMOS'!E817</f>
        <v>210066.81299999999</v>
      </c>
      <c r="H4935" s="317">
        <v>0.39999999999999991</v>
      </c>
      <c r="I4935" s="399">
        <f>ROUND((F4935*G4935*H4935),0)</f>
        <v>84027</v>
      </c>
    </row>
    <row r="4936" spans="2:9" s="317" customFormat="1" ht="19.5" hidden="1" customHeight="1" x14ac:dyDescent="0.2">
      <c r="B4936" s="654"/>
      <c r="C4936" s="317" t="str">
        <f>'LISTA DE INSUMOS'!A818</f>
        <v>EQU063</v>
      </c>
      <c r="D4936" s="406" t="str">
        <f>'LISTA DE INSUMOS'!B818</f>
        <v>Equipo para inyección lechada</v>
      </c>
      <c r="E4936" s="409" t="str">
        <f>'LISTA DE INSUMOS'!C818</f>
        <v>hora</v>
      </c>
      <c r="F4936" s="405">
        <v>1</v>
      </c>
      <c r="G4936" s="399">
        <f>'LISTA DE INSUMOS'!E818</f>
        <v>53094.386985749996</v>
      </c>
      <c r="H4936" s="317">
        <v>0.28999999999999998</v>
      </c>
      <c r="I4936" s="399">
        <f>ROUND((F4936*G4936*H4936),0)</f>
        <v>15397</v>
      </c>
    </row>
    <row r="4937" spans="2:9" s="317" customFormat="1" ht="19.5" hidden="1" customHeight="1" x14ac:dyDescent="0.2">
      <c r="B4937" s="654"/>
      <c r="C4937" s="317" t="str">
        <f>'LISTA DE INSUMOS'!A758</f>
        <v>EQU002</v>
      </c>
      <c r="D4937" s="406" t="str">
        <f>'LISTA DE INSUMOS'!B758</f>
        <v>Herramienta menor (% mano obra)</v>
      </c>
      <c r="E4937" s="397" t="str">
        <f>'LISTA DE INSUMOS'!C758</f>
        <v>%MO</v>
      </c>
      <c r="F4937" s="405">
        <v>0.1</v>
      </c>
      <c r="G4937" s="399">
        <f>I4943</f>
        <v>58940</v>
      </c>
      <c r="H4937" s="317">
        <v>0</v>
      </c>
      <c r="I4937" s="399">
        <f t="shared" ref="I4937:I4942" si="45">ROUND((F4937*G4937),0)</f>
        <v>5894</v>
      </c>
    </row>
    <row r="4938" spans="2:9" s="317" customFormat="1" ht="19.5" hidden="1" customHeight="1" x14ac:dyDescent="0.2">
      <c r="B4938" s="666" t="s">
        <v>1325</v>
      </c>
      <c r="C4938" s="317" t="str">
        <f>'LISTA DE INSUMOS'!A42</f>
        <v>MAT013</v>
      </c>
      <c r="D4938" s="406" t="str">
        <f>'LISTA DE INSUMOS'!B42</f>
        <v xml:space="preserve">Agua </v>
      </c>
      <c r="E4938" s="397" t="str">
        <f>'LISTA DE INSUMOS'!C42</f>
        <v>Lt</v>
      </c>
      <c r="F4938" s="398">
        <v>100</v>
      </c>
      <c r="G4938" s="399">
        <f>'LISTA DE INSUMOS'!E42</f>
        <v>96.828790046226644</v>
      </c>
      <c r="H4938" s="317">
        <v>0</v>
      </c>
      <c r="I4938" s="399">
        <f t="shared" si="45"/>
        <v>9683</v>
      </c>
    </row>
    <row r="4939" spans="2:9" s="317" customFormat="1" ht="19.5" hidden="1" customHeight="1" x14ac:dyDescent="0.2">
      <c r="B4939" s="666"/>
      <c r="C4939" s="317" t="str">
        <f>'LISTA DE INSUMOS'!A45</f>
        <v>MAT016</v>
      </c>
      <c r="D4939" s="406" t="str">
        <f>'LISTA DE INSUMOS'!B45</f>
        <v>Acero de Fy = 60.000 psi d&gt;1/4 puesto en obra</v>
      </c>
      <c r="E4939" s="397" t="str">
        <f>'LISTA DE INSUMOS'!C45</f>
        <v>Kg</v>
      </c>
      <c r="F4939" s="398">
        <v>3.08</v>
      </c>
      <c r="G4939" s="399">
        <f>'LISTA DE INSUMOS'!E45</f>
        <v>4605.3128999999999</v>
      </c>
      <c r="H4939" s="317">
        <v>0</v>
      </c>
      <c r="I4939" s="399">
        <f t="shared" si="45"/>
        <v>14184</v>
      </c>
    </row>
    <row r="4940" spans="2:9" s="317" customFormat="1" ht="19.5" hidden="1" customHeight="1" x14ac:dyDescent="0.2">
      <c r="B4940" s="666"/>
      <c r="C4940" s="317" t="str">
        <f>'LISTA DE INSUMOS'!A698</f>
        <v>MAT711</v>
      </c>
      <c r="D4940" s="406" t="str">
        <f>'LISTA DE INSUMOS'!B698</f>
        <v>Platinas de apoyo</v>
      </c>
      <c r="E4940" s="397" t="str">
        <f>'LISTA DE INSUMOS'!C698</f>
        <v>Un</v>
      </c>
      <c r="F4940" s="398">
        <v>0.03</v>
      </c>
      <c r="G4940" s="399">
        <f>'LISTA DE INSUMOS'!E698</f>
        <v>61215.480373046994</v>
      </c>
      <c r="H4940" s="317">
        <v>0</v>
      </c>
      <c r="I4940" s="399">
        <f t="shared" si="45"/>
        <v>1836</v>
      </c>
    </row>
    <row r="4941" spans="2:9" s="317" customFormat="1" ht="24.75" hidden="1" customHeight="1" x14ac:dyDescent="0.2">
      <c r="B4941" s="666"/>
      <c r="C4941" s="317" t="str">
        <f>'LISTA DE INSUMOS'!A30</f>
        <v>MAT001</v>
      </c>
      <c r="D4941" s="404" t="str">
        <f>'LISTA DE INSUMOS'!B30</f>
        <v>Cemento gris saco por 50 kilos, incluye cargue, descargue y transporte</v>
      </c>
      <c r="E4941" s="397" t="str">
        <f>'LISTA DE INSUMOS'!C30</f>
        <v>Sc</v>
      </c>
      <c r="F4941" s="398">
        <v>0.3</v>
      </c>
      <c r="G4941" s="399">
        <f>'LISTA DE INSUMOS'!E30</f>
        <v>34500</v>
      </c>
      <c r="H4941" s="317">
        <v>0</v>
      </c>
      <c r="I4941" s="399">
        <f t="shared" si="45"/>
        <v>10350</v>
      </c>
    </row>
    <row r="4942" spans="2:9" s="317" customFormat="1" ht="19.5" hidden="1" customHeight="1" thickBot="1" x14ac:dyDescent="0.25">
      <c r="B4942" s="364" t="s">
        <v>1310</v>
      </c>
      <c r="C4942" s="406" t="str">
        <f>B336</f>
        <v>ITE056</v>
      </c>
      <c r="D4942" s="406" t="str">
        <f>D336</f>
        <v xml:space="preserve">Transporte material &lt; 40 Km </v>
      </c>
      <c r="E4942" s="409" t="str">
        <f>E336</f>
        <v>M3-Km</v>
      </c>
      <c r="F4942" s="398">
        <v>20</v>
      </c>
      <c r="G4942" s="399">
        <f>G336</f>
        <v>1634</v>
      </c>
      <c r="H4942" s="317">
        <v>0</v>
      </c>
      <c r="I4942" s="399">
        <f t="shared" si="45"/>
        <v>32680</v>
      </c>
    </row>
    <row r="4943" spans="2:9" s="317" customFormat="1" ht="19.5" hidden="1" customHeight="1" thickTop="1" thickBot="1" x14ac:dyDescent="0.25">
      <c r="B4943" s="342" t="s">
        <v>1034</v>
      </c>
      <c r="C4943" s="400" t="str">
        <f>'LISTA DE INSUMOS'!A9</f>
        <v>MOB006</v>
      </c>
      <c r="D4943" s="408" t="str">
        <f>'LISTA DE INSUMOS'!B9</f>
        <v>Cuadrilla A 1 Of + 4 Ay (jornal + prestaciones)</v>
      </c>
      <c r="E4943" s="401" t="str">
        <f>'LISTA DE INSUMOS'!C9</f>
        <v>Día</v>
      </c>
      <c r="F4943" s="402">
        <v>1</v>
      </c>
      <c r="G4943" s="403">
        <f>'LISTA DE INSUMOS'!E9</f>
        <v>491167</v>
      </c>
      <c r="H4943" s="400">
        <v>0.12</v>
      </c>
      <c r="I4943" s="403">
        <f>ROUND((F4943*G4943*H4943),0)</f>
        <v>58940</v>
      </c>
    </row>
    <row r="4944" spans="2:9" s="317" customFormat="1" ht="33" hidden="1" customHeight="1" thickTop="1" x14ac:dyDescent="0.2">
      <c r="B4944" s="319" t="s">
        <v>2583</v>
      </c>
      <c r="C4944" s="319"/>
      <c r="D4944" s="320" t="s">
        <v>2574</v>
      </c>
      <c r="E4944" s="319" t="s">
        <v>2561</v>
      </c>
      <c r="F4944" s="321"/>
      <c r="G4944" s="312">
        <f>SUM(I4945:I4951)</f>
        <v>1156254</v>
      </c>
      <c r="H4944" s="322"/>
      <c r="I4944" s="312"/>
    </row>
    <row r="4945" spans="2:9" s="317" customFormat="1" ht="19.5" hidden="1" customHeight="1" x14ac:dyDescent="0.2">
      <c r="B4945" s="666" t="s">
        <v>1325</v>
      </c>
      <c r="C4945" s="317" t="str">
        <f>'LISTA DE INSUMOS'!A358</f>
        <v>MAT351</v>
      </c>
      <c r="D4945" s="406" t="str">
        <f>'LISTA DE INSUMOS'!B358</f>
        <v>Concreto premezclado de 27,6 Mpa (4000 psi) plastico</v>
      </c>
      <c r="E4945" s="397" t="str">
        <f>'LISTA DE INSUMOS'!C358</f>
        <v>M3</v>
      </c>
      <c r="F4945" s="405">
        <v>1</v>
      </c>
      <c r="G4945" s="399">
        <f>'LISTA DE INSUMOS'!E358</f>
        <v>694418.42425031983</v>
      </c>
      <c r="H4945" s="317">
        <v>1.03</v>
      </c>
      <c r="I4945" s="399">
        <f>ROUND((F4945*G4945*H4945),0)</f>
        <v>715251</v>
      </c>
    </row>
    <row r="4946" spans="2:9" s="317" customFormat="1" ht="19.5" hidden="1" customHeight="1" thickBot="1" x14ac:dyDescent="0.25">
      <c r="B4946" s="666"/>
      <c r="C4946" s="317" t="str">
        <f>'LISTA DE INSUMOS'!A376</f>
        <v>MAT370</v>
      </c>
      <c r="D4946" s="406" t="str">
        <f>'LISTA DE INSUMOS'!B376</f>
        <v>Impermeabilizante para concreto</v>
      </c>
      <c r="E4946" s="397" t="str">
        <f>'LISTA DE INSUMOS'!C376</f>
        <v>Kg</v>
      </c>
      <c r="F4946" s="405">
        <v>2</v>
      </c>
      <c r="G4946" s="399">
        <f>'LISTA DE INSUMOS'!E376</f>
        <v>24109.941066665848</v>
      </c>
      <c r="H4946" s="317">
        <v>0</v>
      </c>
      <c r="I4946" s="399">
        <f>ROUND((F4946*G4946),0)</f>
        <v>48220</v>
      </c>
    </row>
    <row r="4947" spans="2:9" s="317" customFormat="1" ht="19.5" hidden="1" customHeight="1" thickTop="1" x14ac:dyDescent="0.2">
      <c r="B4947" s="652" t="s">
        <v>1033</v>
      </c>
      <c r="C4947" s="317" t="str">
        <f>'LISTA DE INSUMOS'!A797</f>
        <v>EQU040</v>
      </c>
      <c r="D4947" s="406" t="str">
        <f>'LISTA DE INSUMOS'!B797</f>
        <v>Bomba para concreto</v>
      </c>
      <c r="E4947" s="397" t="str">
        <f>'LISTA DE INSUMOS'!C797</f>
        <v>M3</v>
      </c>
      <c r="F4947" s="398">
        <v>1</v>
      </c>
      <c r="G4947" s="399">
        <f>'LISTA DE INSUMOS'!E797</f>
        <v>54617.371379999997</v>
      </c>
      <c r="H4947" s="317">
        <v>0.05</v>
      </c>
      <c r="I4947" s="399">
        <f>ROUND((F4947*G4947*H4947),0)</f>
        <v>2731</v>
      </c>
    </row>
    <row r="4948" spans="2:9" s="317" customFormat="1" ht="19.5" hidden="1" customHeight="1" x14ac:dyDescent="0.2">
      <c r="B4948" s="654"/>
      <c r="C4948" s="317" t="str">
        <f>'LISTA DE INSUMOS'!A811</f>
        <v>EQU056</v>
      </c>
      <c r="D4948" s="406" t="str">
        <f>'LISTA DE INSUMOS'!B811</f>
        <v>Formaleta cónica para caissons</v>
      </c>
      <c r="E4948" s="397" t="str">
        <f>'LISTA DE INSUMOS'!C811</f>
        <v>Día</v>
      </c>
      <c r="F4948" s="405">
        <v>1</v>
      </c>
      <c r="G4948" s="399">
        <f>'LISTA DE INSUMOS'!E811</f>
        <v>36411.580919999993</v>
      </c>
      <c r="H4948" s="317">
        <v>0</v>
      </c>
      <c r="I4948" s="399">
        <f>ROUND((F4948*G4948),0)</f>
        <v>36412</v>
      </c>
    </row>
    <row r="4949" spans="2:9" s="317" customFormat="1" ht="19.5" hidden="1" customHeight="1" thickBot="1" x14ac:dyDescent="0.25">
      <c r="B4949" s="654"/>
      <c r="C4949" s="317" t="str">
        <f>'LISTA DE INSUMOS'!A758</f>
        <v>EQU002</v>
      </c>
      <c r="D4949" s="406" t="str">
        <f>'LISTA DE INSUMOS'!B758</f>
        <v>Herramienta menor (% mano obra)</v>
      </c>
      <c r="E4949" s="397" t="str">
        <f>'LISTA DE INSUMOS'!C758</f>
        <v>%MO</v>
      </c>
      <c r="F4949" s="398">
        <v>0.1</v>
      </c>
      <c r="G4949" s="399">
        <f>I4950</f>
        <v>294700</v>
      </c>
      <c r="H4949" s="317">
        <v>0</v>
      </c>
      <c r="I4949" s="399">
        <f>ROUND((F4949*G4949),0)</f>
        <v>29470</v>
      </c>
    </row>
    <row r="4950" spans="2:9" s="317" customFormat="1" ht="19.5" hidden="1" customHeight="1" thickTop="1" x14ac:dyDescent="0.2">
      <c r="B4950" s="655" t="s">
        <v>1034</v>
      </c>
      <c r="C4950" s="317" t="str">
        <f>'LISTA DE INSUMOS'!A16</f>
        <v>MOB013</v>
      </c>
      <c r="D4950" s="406" t="str">
        <f>'LISTA DE INSUMOS'!B16</f>
        <v>Cuadrilla C 1 Of + 7 Ay (jornal + prestaciones)</v>
      </c>
      <c r="E4950" s="397" t="str">
        <f>'LISTA DE INSUMOS'!C16</f>
        <v>Día</v>
      </c>
      <c r="F4950" s="398">
        <v>1</v>
      </c>
      <c r="G4950" s="399">
        <f>'LISTA DE INSUMOS'!E16</f>
        <v>736750</v>
      </c>
      <c r="H4950" s="317">
        <v>0.4</v>
      </c>
      <c r="I4950" s="399">
        <f>ROUND((F4950*G4950*H4950),0)</f>
        <v>294700</v>
      </c>
    </row>
    <row r="4951" spans="2:9" s="317" customFormat="1" ht="19.5" hidden="1" customHeight="1" thickBot="1" x14ac:dyDescent="0.25">
      <c r="B4951" s="669"/>
      <c r="C4951" s="400" t="str">
        <f>'LISTA DE INSUMOS'!A14</f>
        <v>MOB011</v>
      </c>
      <c r="D4951" s="408" t="str">
        <f>'LISTA DE INSUMOS'!B14</f>
        <v>Acarreo Horizontal (% mano obra)</v>
      </c>
      <c r="E4951" s="401" t="str">
        <f>'LISTA DE INSUMOS'!C14</f>
        <v>% MO</v>
      </c>
      <c r="F4951" s="402">
        <v>0.1</v>
      </c>
      <c r="G4951" s="403">
        <f>I4950</f>
        <v>294700</v>
      </c>
      <c r="H4951" s="317">
        <v>0</v>
      </c>
      <c r="I4951" s="399">
        <f>ROUND((F4951*G4951),0)</f>
        <v>29470</v>
      </c>
    </row>
    <row r="4952" spans="2:9" ht="42.75" customHeight="1" x14ac:dyDescent="0.2">
      <c r="B4952" s="113" t="s">
        <v>2351</v>
      </c>
      <c r="C4952" s="113"/>
      <c r="D4952" s="121" t="s">
        <v>2575</v>
      </c>
      <c r="E4952" s="113" t="s">
        <v>1432</v>
      </c>
      <c r="F4952" s="122"/>
      <c r="G4952" s="123">
        <f>SUM(I4953:I4963)</f>
        <v>1367316</v>
      </c>
      <c r="H4952" s="124"/>
      <c r="I4952" s="123"/>
    </row>
    <row r="4953" spans="2:9" ht="19.5" customHeight="1" x14ac:dyDescent="0.2">
      <c r="B4953" s="285" t="s">
        <v>1310</v>
      </c>
      <c r="C4953" s="280" t="str">
        <f>+B535</f>
        <v>ITE091</v>
      </c>
      <c r="D4953" s="280" t="str">
        <f>+D535</f>
        <v>Concreto de 27,6 Mpa (4000 psi) (producción)</v>
      </c>
      <c r="E4953" s="282" t="str">
        <f>+E535</f>
        <v>M3</v>
      </c>
      <c r="F4953" s="107">
        <v>1</v>
      </c>
      <c r="G4953" s="103">
        <f>+G535</f>
        <v>643985</v>
      </c>
      <c r="H4953" s="104">
        <v>1.05</v>
      </c>
      <c r="I4953" s="103">
        <f>ROUND((F4953*G4953*H4953),0)</f>
        <v>676184</v>
      </c>
    </row>
    <row r="4954" spans="2:9" ht="19.5" customHeight="1" x14ac:dyDescent="0.2">
      <c r="B4954" s="660" t="s">
        <v>1325</v>
      </c>
      <c r="C4954" s="104" t="str">
        <f>'LISTA DE INSUMOS'!A93</f>
        <v>MAT051</v>
      </c>
      <c r="D4954" s="280" t="str">
        <f>'LISTA DE INSUMOS'!B93</f>
        <v>Antisol blanco</v>
      </c>
      <c r="E4954" s="126" t="str">
        <f>'LISTA DE INSUMOS'!C93</f>
        <v>Kg</v>
      </c>
      <c r="F4954" s="107">
        <v>2.5</v>
      </c>
      <c r="G4954" s="103">
        <f>'LISTA DE INSUMOS'!E93</f>
        <v>11510.734499999999</v>
      </c>
      <c r="H4954" s="104">
        <v>0</v>
      </c>
      <c r="I4954" s="103">
        <f>ROUND((F4954*G4954),0)</f>
        <v>28777</v>
      </c>
    </row>
    <row r="4955" spans="2:9" ht="19.5" customHeight="1" x14ac:dyDescent="0.2">
      <c r="B4955" s="660"/>
      <c r="C4955" s="104" t="str">
        <f>'LISTA DE INSUMOS'!A70</f>
        <v>MAT037</v>
      </c>
      <c r="D4955" s="280" t="str">
        <f>'LISTA DE INSUMOS'!B70</f>
        <v>Impermeabilizante para mortero (Sika 1 o similar)</v>
      </c>
      <c r="E4955" s="126" t="str">
        <f>'LISTA DE INSUMOS'!C70</f>
        <v>Kg</v>
      </c>
      <c r="F4955" s="107">
        <f>8.5*0.25</f>
        <v>2.125</v>
      </c>
      <c r="G4955" s="103">
        <f>'LISTA DE INSUMOS'!E70</f>
        <v>22394.722499999996</v>
      </c>
      <c r="H4955" s="104">
        <v>0</v>
      </c>
      <c r="I4955" s="103">
        <f>ROUND((F4955*G4955),0)</f>
        <v>47589</v>
      </c>
    </row>
    <row r="4956" spans="2:9" ht="19.5" customHeight="1" thickBot="1" x14ac:dyDescent="0.25">
      <c r="B4956" s="687"/>
      <c r="C4956" s="104" t="str">
        <f>'LISTA DE INSUMOS'!A498</f>
        <v>MAT515</v>
      </c>
      <c r="D4956" s="280" t="str">
        <f>'LISTA DE INSUMOS'!B498</f>
        <v>Fluidificante para concretos</v>
      </c>
      <c r="E4956" s="282" t="str">
        <f>'LISTA DE INSUMOS'!C498</f>
        <v>Kg</v>
      </c>
      <c r="F4956" s="107">
        <f>8.5*0.25</f>
        <v>2.125</v>
      </c>
      <c r="G4956" s="103">
        <f>'LISTA DE INSUMOS'!E498</f>
        <v>13992.624354353698</v>
      </c>
      <c r="H4956" s="104">
        <v>0</v>
      </c>
      <c r="I4956" s="103">
        <f>ROUND((F4956*G4956),0)</f>
        <v>29734</v>
      </c>
    </row>
    <row r="4957" spans="2:9" ht="19.5" customHeight="1" thickTop="1" x14ac:dyDescent="0.2">
      <c r="B4957" s="647" t="s">
        <v>1033</v>
      </c>
      <c r="C4957" s="104" t="str">
        <f>'LISTA DE INSUMOS'!A769</f>
        <v>EQU012</v>
      </c>
      <c r="D4957" s="280" t="str">
        <f>'LISTA DE INSUMOS'!B769</f>
        <v xml:space="preserve">Vibrocompactador manual </v>
      </c>
      <c r="E4957" s="126" t="str">
        <f>'LISTA DE INSUMOS'!C769</f>
        <v>Día</v>
      </c>
      <c r="F4957" s="107">
        <v>1</v>
      </c>
      <c r="G4957" s="103">
        <f>'LISTA DE INSUMOS'!E769</f>
        <v>83697.986602732781</v>
      </c>
      <c r="H4957" s="104">
        <v>0.11</v>
      </c>
      <c r="I4957" s="103">
        <f>ROUND((F4957*G4957*H4957),0)</f>
        <v>9207</v>
      </c>
    </row>
    <row r="4958" spans="2:9" ht="19.5" customHeight="1" x14ac:dyDescent="0.2">
      <c r="B4958" s="648"/>
      <c r="C4958" s="104" t="str">
        <f>'LISTA DE INSUMOS'!A797</f>
        <v>EQU040</v>
      </c>
      <c r="D4958" s="280" t="str">
        <f>'LISTA DE INSUMOS'!B797</f>
        <v>Bomba para concreto</v>
      </c>
      <c r="E4958" s="126" t="s">
        <v>2561</v>
      </c>
      <c r="F4958" s="107">
        <v>1</v>
      </c>
      <c r="G4958" s="103">
        <v>41000</v>
      </c>
      <c r="H4958" s="104">
        <v>0</v>
      </c>
      <c r="I4958" s="103">
        <f>ROUND((F4958*G4958),0)</f>
        <v>41000</v>
      </c>
    </row>
    <row r="4959" spans="2:9" ht="19.5" customHeight="1" x14ac:dyDescent="0.2">
      <c r="B4959" s="648"/>
      <c r="C4959" s="104" t="str">
        <f>'LISTA DE INSUMOS'!A819</f>
        <v>EQU064</v>
      </c>
      <c r="D4959" s="280" t="str">
        <f>'LISTA DE INSUMOS'!B819</f>
        <v>Formaleta Metalica</v>
      </c>
      <c r="E4959" s="282" t="str">
        <f>'LISTA DE INSUMOS'!C819</f>
        <v>M2</v>
      </c>
      <c r="F4959" s="107">
        <v>5</v>
      </c>
      <c r="G4959" s="103">
        <f>'LISTA DE INSUMOS'!E819</f>
        <v>30342.984099999998</v>
      </c>
      <c r="H4959" s="104">
        <v>0</v>
      </c>
      <c r="I4959" s="103">
        <f>ROUND((F4959*G4959),0)</f>
        <v>151715</v>
      </c>
    </row>
    <row r="4960" spans="2:9" ht="19.5" customHeight="1" x14ac:dyDescent="0.2">
      <c r="B4960" s="648"/>
      <c r="C4960" s="104" t="str">
        <f>'LISTA DE INSUMOS'!A762</f>
        <v>EQU006</v>
      </c>
      <c r="D4960" s="280" t="str">
        <f>'LISTA DE INSUMOS'!B762</f>
        <v>Andamio (% mano obra)</v>
      </c>
      <c r="E4960" s="126" t="str">
        <f>'LISTA DE INSUMOS'!C762</f>
        <v>%MO</v>
      </c>
      <c r="F4960" s="107">
        <v>0.1</v>
      </c>
      <c r="G4960" s="103">
        <f>I4962</f>
        <v>294700</v>
      </c>
      <c r="H4960" s="104">
        <v>0</v>
      </c>
      <c r="I4960" s="103">
        <f>ROUND((F4960*G4960),0)</f>
        <v>29470</v>
      </c>
    </row>
    <row r="4961" spans="2:9" ht="19.5" customHeight="1" thickBot="1" x14ac:dyDescent="0.25">
      <c r="B4961" s="648"/>
      <c r="C4961" s="104" t="str">
        <f>'LISTA DE INSUMOS'!A758</f>
        <v>EQU002</v>
      </c>
      <c r="D4961" s="280" t="str">
        <f>'LISTA DE INSUMOS'!B758</f>
        <v>Herramienta menor (% mano obra)</v>
      </c>
      <c r="E4961" s="126" t="str">
        <f>'LISTA DE INSUMOS'!C758</f>
        <v>%MO</v>
      </c>
      <c r="F4961" s="107">
        <v>0.1</v>
      </c>
      <c r="G4961" s="103">
        <f>I4962</f>
        <v>294700</v>
      </c>
      <c r="H4961" s="104">
        <v>0</v>
      </c>
      <c r="I4961" s="103">
        <f>ROUND((F4961*G4961),0)</f>
        <v>29470</v>
      </c>
    </row>
    <row r="4962" spans="2:9" ht="19.5" customHeight="1" thickTop="1" x14ac:dyDescent="0.2">
      <c r="B4962" s="649" t="s">
        <v>1034</v>
      </c>
      <c r="C4962" s="104" t="str">
        <f>'LISTA DE INSUMOS'!A16</f>
        <v>MOB013</v>
      </c>
      <c r="D4962" s="280" t="str">
        <f>'LISTA DE INSUMOS'!B16</f>
        <v>Cuadrilla C 1 Of + 7 Ay (jornal + prestaciones)</v>
      </c>
      <c r="E4962" s="126" t="str">
        <f>'LISTA DE INSUMOS'!C16</f>
        <v>Día</v>
      </c>
      <c r="F4962" s="107">
        <v>1</v>
      </c>
      <c r="G4962" s="103">
        <f>'LISTA DE INSUMOS'!E16</f>
        <v>736750</v>
      </c>
      <c r="H4962" s="283">
        <v>0.4</v>
      </c>
      <c r="I4962" s="103">
        <f>ROUND((F4962*G4962*H4962),0)</f>
        <v>294700</v>
      </c>
    </row>
    <row r="4963" spans="2:9" ht="19.5" customHeight="1" thickBot="1" x14ac:dyDescent="0.25">
      <c r="B4963" s="651"/>
      <c r="C4963" s="104" t="str">
        <f>'LISTA DE INSUMOS'!A14</f>
        <v>MOB011</v>
      </c>
      <c r="D4963" s="280" t="str">
        <f>'LISTA DE INSUMOS'!B14</f>
        <v>Acarreo Horizontal (% mano obra)</v>
      </c>
      <c r="E4963" s="126" t="str">
        <f>'LISTA DE INSUMOS'!C14</f>
        <v>% MO</v>
      </c>
      <c r="F4963" s="107">
        <v>0.1</v>
      </c>
      <c r="G4963" s="103">
        <f>I4962</f>
        <v>294700</v>
      </c>
      <c r="H4963" s="104">
        <v>0</v>
      </c>
      <c r="I4963" s="103">
        <f>ROUND((F4963*G4963),0)</f>
        <v>29470</v>
      </c>
    </row>
    <row r="4964" spans="2:9" ht="42.75" customHeight="1" x14ac:dyDescent="0.2">
      <c r="B4964" s="113" t="s">
        <v>2352</v>
      </c>
      <c r="C4964" s="113"/>
      <c r="D4964" s="121" t="s">
        <v>2592</v>
      </c>
      <c r="E4964" s="113" t="s">
        <v>1412</v>
      </c>
      <c r="F4964" s="122"/>
      <c r="G4964" s="123">
        <f>+SUM(I4965:I4971)</f>
        <v>18536.318676913063</v>
      </c>
      <c r="H4964" s="124"/>
      <c r="I4964" s="123"/>
    </row>
    <row r="4965" spans="2:9" ht="19.5" customHeight="1" x14ac:dyDescent="0.2">
      <c r="B4965" s="660" t="s">
        <v>1325</v>
      </c>
      <c r="C4965" s="104" t="str">
        <f>'LISTA DE INSUMOS'!A65</f>
        <v>MAT033</v>
      </c>
      <c r="D4965" s="280" t="str">
        <f>'LISTA DE INSUMOS'!B65</f>
        <v>Alambre de púas C 12,5</v>
      </c>
      <c r="E4965" s="126" t="str">
        <f>'LISTA DE INSUMOS'!C65</f>
        <v>M</v>
      </c>
      <c r="F4965" s="102">
        <v>3</v>
      </c>
      <c r="G4965" s="103">
        <f>'LISTA DE INSUMOS'!E65</f>
        <v>981.39329999999995</v>
      </c>
      <c r="H4965" s="104">
        <v>0</v>
      </c>
      <c r="I4965" s="103">
        <f>ROUND((F4965*G4965),0)</f>
        <v>2944</v>
      </c>
    </row>
    <row r="4966" spans="2:9" ht="19.5" customHeight="1" x14ac:dyDescent="0.2">
      <c r="B4966" s="660"/>
      <c r="C4966" s="104" t="str">
        <f>'LISTA DE INSUMOS'!A694</f>
        <v>MAT707</v>
      </c>
      <c r="D4966" s="280" t="str">
        <f>'LISTA DE INSUMOS'!B694</f>
        <v>poste en guadua h=2m</v>
      </c>
      <c r="E4966" s="126" t="str">
        <f>'LISTA DE INSUMOS'!C694</f>
        <v>Un</v>
      </c>
      <c r="F4966" s="102">
        <v>0.43332999999999999</v>
      </c>
      <c r="G4966" s="103">
        <f>'LISTA DE INSUMOS'!E694</f>
        <v>7794.1669373567993</v>
      </c>
      <c r="H4966" s="104">
        <v>1.05</v>
      </c>
      <c r="I4966" s="103">
        <f>H4966*G4966*F4966</f>
        <v>3546.318676913063</v>
      </c>
    </row>
    <row r="4967" spans="2:9" ht="19.5" customHeight="1" x14ac:dyDescent="0.2">
      <c r="B4967" s="660"/>
      <c r="C4967" s="104" t="str">
        <f>'LISTA DE INSUMOS'!A196</f>
        <v>MAT156</v>
      </c>
      <c r="D4967" s="280" t="str">
        <f>'LISTA DE INSUMOS'!B196</f>
        <v xml:space="preserve">Grapas galvanizada </v>
      </c>
      <c r="E4967" s="126" t="str">
        <f>'LISTA DE INSUMOS'!C196</f>
        <v>Kg</v>
      </c>
      <c r="F4967" s="102">
        <v>0.01</v>
      </c>
      <c r="G4967" s="103">
        <f>'LISTA DE INSUMOS'!E196</f>
        <v>14878.859999999999</v>
      </c>
      <c r="H4967" s="104">
        <v>0</v>
      </c>
      <c r="I4967" s="103">
        <f>ROUND((F4967*G4967),0)</f>
        <v>149</v>
      </c>
    </row>
    <row r="4968" spans="2:9" ht="19.5" customHeight="1" x14ac:dyDescent="0.2">
      <c r="B4968" s="660"/>
      <c r="C4968" s="104" t="str">
        <f>'LISTA DE INSUMOS'!A190</f>
        <v>MAT148</v>
      </c>
      <c r="D4968" s="280" t="str">
        <f>'LISTA DE INSUMOS'!B190</f>
        <v xml:space="preserve">Alambre galvanizado C 12 </v>
      </c>
      <c r="E4968" s="126" t="str">
        <f>'LISTA DE INSUMOS'!C190</f>
        <v>Kg</v>
      </c>
      <c r="F4968" s="102">
        <v>0.15</v>
      </c>
      <c r="G4968" s="103">
        <f>'LISTA DE INSUMOS'!E190</f>
        <v>10174.934703779998</v>
      </c>
      <c r="H4968" s="104">
        <v>0</v>
      </c>
      <c r="I4968" s="103">
        <f>ROUND((F4968*G4968),0)</f>
        <v>1526</v>
      </c>
    </row>
    <row r="4969" spans="2:9" ht="19.5" customHeight="1" thickBot="1" x14ac:dyDescent="0.25">
      <c r="B4969" s="660"/>
      <c r="C4969" s="104" t="str">
        <f>'LISTA DE INSUMOS'!A695</f>
        <v>MAT708</v>
      </c>
      <c r="D4969" s="280" t="str">
        <f>'LISTA DE INSUMOS'!B695</f>
        <v xml:space="preserve">Estacon tipo cerco vivo h=1,8  m d=5-6 cm </v>
      </c>
      <c r="E4969" s="126" t="str">
        <f>'LISTA DE INSUMOS'!C695</f>
        <v>Un</v>
      </c>
      <c r="F4969" s="102">
        <v>0.43</v>
      </c>
      <c r="G4969" s="103">
        <f>'LISTA DE INSUMOS'!E695</f>
        <v>7014.7502436211189</v>
      </c>
      <c r="H4969" s="104">
        <v>1.05</v>
      </c>
      <c r="I4969" s="103">
        <f>ROUND((F4969*G4969*H4969),0)</f>
        <v>3167</v>
      </c>
    </row>
    <row r="4970" spans="2:9" ht="19.5" customHeight="1" thickTop="1" thickBot="1" x14ac:dyDescent="0.25">
      <c r="B4970" s="158" t="s">
        <v>1034</v>
      </c>
      <c r="C4970" s="104" t="str">
        <f>'LISTA DE INSUMOS'!A20</f>
        <v>MOB017</v>
      </c>
      <c r="D4970" s="280" t="str">
        <f>'LISTA DE INSUMOS'!B20</f>
        <v>Cuadrilla G 1 Of + 2 Ay (jornal + prestaciones)</v>
      </c>
      <c r="E4970" s="126" t="str">
        <f>'LISTA DE INSUMOS'!C20</f>
        <v>Día</v>
      </c>
      <c r="F4970" s="102">
        <v>1</v>
      </c>
      <c r="G4970" s="103">
        <f>'LISTA DE INSUMOS'!E20</f>
        <v>327445</v>
      </c>
      <c r="H4970" s="287">
        <v>0.02</v>
      </c>
      <c r="I4970" s="103">
        <f>ROUND((F4970*G4970*H4970),0)</f>
        <v>6549</v>
      </c>
    </row>
    <row r="4971" spans="2:9" ht="19.5" customHeight="1" thickTop="1" thickBot="1" x14ac:dyDescent="0.25">
      <c r="B4971" s="150" t="s">
        <v>1033</v>
      </c>
      <c r="C4971" s="104" t="str">
        <f>'LISTA DE INSUMOS'!A758</f>
        <v>EQU002</v>
      </c>
      <c r="D4971" s="280" t="str">
        <f>'LISTA DE INSUMOS'!B758</f>
        <v>Herramienta menor (% mano obra)</v>
      </c>
      <c r="E4971" s="126" t="str">
        <f>'LISTA DE INSUMOS'!C758</f>
        <v>%MO</v>
      </c>
      <c r="F4971" s="102">
        <v>0.1</v>
      </c>
      <c r="G4971" s="103">
        <f>I4970</f>
        <v>6549</v>
      </c>
      <c r="H4971" s="104">
        <v>0</v>
      </c>
      <c r="I4971" s="103">
        <f>ROUND((F4971*G4971),0)</f>
        <v>655</v>
      </c>
    </row>
    <row r="4972" spans="2:9" ht="42.75" customHeight="1" x14ac:dyDescent="0.2">
      <c r="B4972" s="113" t="s">
        <v>2353</v>
      </c>
      <c r="C4972" s="113"/>
      <c r="D4972" s="121" t="s">
        <v>2593</v>
      </c>
      <c r="E4972" s="113" t="s">
        <v>1412</v>
      </c>
      <c r="F4972" s="122"/>
      <c r="G4972" s="123">
        <f>SUM(I4973:I4978)</f>
        <v>15300</v>
      </c>
      <c r="H4972" s="124"/>
      <c r="I4972" s="123"/>
    </row>
    <row r="4973" spans="2:9" ht="19.5" customHeight="1" x14ac:dyDescent="0.2">
      <c r="B4973" s="660" t="s">
        <v>1325</v>
      </c>
      <c r="C4973" s="104" t="str">
        <f>'LISTA DE INSUMOS'!A65</f>
        <v>MAT033</v>
      </c>
      <c r="D4973" s="280" t="str">
        <f>'LISTA DE INSUMOS'!B65</f>
        <v>Alambre de púas C 12,5</v>
      </c>
      <c r="E4973" s="126" t="str">
        <f>'LISTA DE INSUMOS'!C65</f>
        <v>M</v>
      </c>
      <c r="F4973" s="102">
        <v>3</v>
      </c>
      <c r="G4973" s="103">
        <f>'LISTA DE INSUMOS'!E65</f>
        <v>981.39329999999995</v>
      </c>
      <c r="H4973" s="104">
        <v>0</v>
      </c>
      <c r="I4973" s="103">
        <f>ROUND((F4973*G4973),0)</f>
        <v>2944</v>
      </c>
    </row>
    <row r="4974" spans="2:9" ht="19.5" customHeight="1" x14ac:dyDescent="0.2">
      <c r="B4974" s="660"/>
      <c r="C4974" s="104" t="str">
        <f>'LISTA DE INSUMOS'!A694</f>
        <v>MAT707</v>
      </c>
      <c r="D4974" s="280" t="str">
        <f>'LISTA DE INSUMOS'!B694</f>
        <v>poste en guadua h=2m</v>
      </c>
      <c r="E4974" s="126" t="str">
        <f>'LISTA DE INSUMOS'!C694</f>
        <v>Un</v>
      </c>
      <c r="F4974" s="102">
        <v>0.43332999999999999</v>
      </c>
      <c r="G4974" s="103">
        <f>'LISTA DE INSUMOS'!E694</f>
        <v>7794.1669373567993</v>
      </c>
      <c r="H4974" s="104">
        <v>1.05</v>
      </c>
      <c r="I4974" s="103">
        <f>ROUND((F4974*G4974*H4974),0)</f>
        <v>3546</v>
      </c>
    </row>
    <row r="4975" spans="2:9" ht="19.5" customHeight="1" x14ac:dyDescent="0.2">
      <c r="B4975" s="660"/>
      <c r="C4975" s="104" t="str">
        <f>'LISTA DE INSUMOS'!A196</f>
        <v>MAT156</v>
      </c>
      <c r="D4975" s="280" t="str">
        <f>'LISTA DE INSUMOS'!B196</f>
        <v xml:space="preserve">Grapas galvanizada </v>
      </c>
      <c r="E4975" s="126" t="str">
        <f>'LISTA DE INSUMOS'!C196</f>
        <v>Kg</v>
      </c>
      <c r="F4975" s="102">
        <v>0.01</v>
      </c>
      <c r="G4975" s="103">
        <f>'LISTA DE INSUMOS'!E196</f>
        <v>14878.859999999999</v>
      </c>
      <c r="H4975" s="104">
        <v>0</v>
      </c>
      <c r="I4975" s="103">
        <f>ROUND((F4975*G4975),0)</f>
        <v>149</v>
      </c>
    </row>
    <row r="4976" spans="2:9" ht="19.5" customHeight="1" thickBot="1" x14ac:dyDescent="0.25">
      <c r="B4976" s="660"/>
      <c r="C4976" s="104" t="str">
        <f>'LISTA DE INSUMOS'!A190</f>
        <v>MAT148</v>
      </c>
      <c r="D4976" s="280" t="str">
        <f>'LISTA DE INSUMOS'!B190</f>
        <v xml:space="preserve">Alambre galvanizado C 12 </v>
      </c>
      <c r="E4976" s="126" t="str">
        <f>'LISTA DE INSUMOS'!C190</f>
        <v>Kg</v>
      </c>
      <c r="F4976" s="102">
        <v>0.15</v>
      </c>
      <c r="G4976" s="103">
        <f>'LISTA DE INSUMOS'!E190</f>
        <v>10174.934703779998</v>
      </c>
      <c r="H4976" s="104">
        <v>0</v>
      </c>
      <c r="I4976" s="103">
        <f>ROUND((F4976*G4976),0)</f>
        <v>1526</v>
      </c>
    </row>
    <row r="4977" spans="2:9" ht="19.5" customHeight="1" thickTop="1" thickBot="1" x14ac:dyDescent="0.25">
      <c r="B4977" s="158" t="s">
        <v>1034</v>
      </c>
      <c r="C4977" s="104" t="str">
        <f>'LISTA DE INSUMOS'!A20</f>
        <v>MOB017</v>
      </c>
      <c r="D4977" s="280" t="str">
        <f>'LISTA DE INSUMOS'!B20</f>
        <v>Cuadrilla G 1 Of + 2 Ay (jornal + prestaciones)</v>
      </c>
      <c r="E4977" s="126" t="str">
        <f>'LISTA DE INSUMOS'!C20</f>
        <v>Día</v>
      </c>
      <c r="F4977" s="102">
        <v>1</v>
      </c>
      <c r="G4977" s="103">
        <f>'LISTA DE INSUMOS'!E20</f>
        <v>327445</v>
      </c>
      <c r="H4977" s="287">
        <v>0.02</v>
      </c>
      <c r="I4977" s="103">
        <f>ROUND((F4977*G4977*H4977),0)</f>
        <v>6549</v>
      </c>
    </row>
    <row r="4978" spans="2:9" ht="19.5" customHeight="1" thickTop="1" thickBot="1" x14ac:dyDescent="0.25">
      <c r="B4978" s="150" t="s">
        <v>1033</v>
      </c>
      <c r="C4978" s="104" t="s">
        <v>1017</v>
      </c>
      <c r="D4978" s="104" t="s">
        <v>1029</v>
      </c>
      <c r="E4978" s="126" t="s">
        <v>2066</v>
      </c>
      <c r="F4978" s="102">
        <v>0.1</v>
      </c>
      <c r="G4978" s="103">
        <v>5858</v>
      </c>
      <c r="H4978" s="104">
        <v>0</v>
      </c>
      <c r="I4978" s="103">
        <f>ROUND((F4978*G4978),0)</f>
        <v>586</v>
      </c>
    </row>
    <row r="4979" spans="2:9" ht="42.75" customHeight="1" thickBot="1" x14ac:dyDescent="0.25">
      <c r="B4979" s="113" t="s">
        <v>2354</v>
      </c>
      <c r="C4979" s="113"/>
      <c r="D4979" s="121" t="s">
        <v>2596</v>
      </c>
      <c r="E4979" s="113" t="s">
        <v>1432</v>
      </c>
      <c r="F4979" s="122"/>
      <c r="G4979" s="123">
        <f>SUM(I4980:I4982)</f>
        <v>5490</v>
      </c>
      <c r="H4979" s="124"/>
      <c r="I4979" s="123"/>
    </row>
    <row r="4980" spans="2:9" ht="19.5" customHeight="1" thickTop="1" x14ac:dyDescent="0.2">
      <c r="B4980" s="670" t="s">
        <v>1033</v>
      </c>
      <c r="C4980" s="104" t="str">
        <f>'LISTA DE INSUMOS'!A781</f>
        <v>EQU024</v>
      </c>
      <c r="D4980" s="280" t="str">
        <f>'LISTA DE INSUMOS'!B781</f>
        <v>Retroexcavadora de orugas  capacidad 0,9 M3</v>
      </c>
      <c r="E4980" s="126" t="str">
        <f>'LISTA DE INSUMOS'!C781</f>
        <v>Hr</v>
      </c>
      <c r="F4980" s="107">
        <v>1</v>
      </c>
      <c r="G4980" s="103">
        <f>'LISTA DE INSUMOS'!E781</f>
        <v>186912.78205599997</v>
      </c>
      <c r="H4980" s="104">
        <f>1/50</f>
        <v>0.02</v>
      </c>
      <c r="I4980" s="103">
        <f>ROUND((F4980*G4980*H4980),0)</f>
        <v>3738</v>
      </c>
    </row>
    <row r="4981" spans="2:9" ht="19.5" customHeight="1" thickBot="1" x14ac:dyDescent="0.25">
      <c r="B4981" s="671"/>
      <c r="C4981" s="104" t="str">
        <f>'LISTA DE INSUMOS'!A758</f>
        <v>EQU002</v>
      </c>
      <c r="D4981" s="280" t="str">
        <f>'LISTA DE INSUMOS'!B758</f>
        <v>Herramienta menor (% mano obra)</v>
      </c>
      <c r="E4981" s="126" t="str">
        <f>'LISTA DE INSUMOS'!C758</f>
        <v>%MO</v>
      </c>
      <c r="F4981" s="107">
        <v>7.0000000000000007E-2</v>
      </c>
      <c r="G4981" s="103">
        <f>I4982</f>
        <v>1637</v>
      </c>
      <c r="H4981" s="104">
        <v>0</v>
      </c>
      <c r="I4981" s="103">
        <f>ROUND((F4981*G4981),0)</f>
        <v>115</v>
      </c>
    </row>
    <row r="4982" spans="2:9" ht="19.5" customHeight="1" thickTop="1" thickBot="1" x14ac:dyDescent="0.25">
      <c r="B4982" s="153" t="s">
        <v>1034</v>
      </c>
      <c r="C4982" s="116" t="str">
        <f>'LISTA DE INSUMOS'!A7</f>
        <v>MOB004</v>
      </c>
      <c r="D4982" s="281" t="str">
        <f>'LISTA DE INSUMOS'!B7</f>
        <v>Ayudante (jornal + prestaciones)</v>
      </c>
      <c r="E4982" s="279" t="str">
        <f>'LISTA DE INSUMOS'!C7</f>
        <v>Dia</v>
      </c>
      <c r="F4982" s="114">
        <v>1</v>
      </c>
      <c r="G4982" s="115">
        <f>'LISTA DE INSUMOS'!E7</f>
        <v>81861</v>
      </c>
      <c r="H4982" s="116">
        <f>1/50</f>
        <v>0.02</v>
      </c>
      <c r="I4982" s="115">
        <f>ROUND((F4982*G4982*H4982),0)</f>
        <v>1637</v>
      </c>
    </row>
    <row r="4983" spans="2:9" ht="42.75" customHeight="1" x14ac:dyDescent="0.2">
      <c r="B4983" s="117" t="s">
        <v>2355</v>
      </c>
      <c r="C4983" s="117"/>
      <c r="D4983" s="112" t="s">
        <v>2601</v>
      </c>
      <c r="E4983" s="117" t="s">
        <v>1432</v>
      </c>
      <c r="F4983" s="118"/>
      <c r="G4983" s="119">
        <f>+SUM(I4984:I4997)</f>
        <v>1143829</v>
      </c>
      <c r="H4983" s="120"/>
      <c r="I4983" s="119"/>
    </row>
    <row r="4984" spans="2:9" ht="19.5" customHeight="1" x14ac:dyDescent="0.2">
      <c r="B4984" s="660" t="s">
        <v>1325</v>
      </c>
      <c r="C4984" s="104" t="str">
        <f>+'LISTA DE INSUMOS'!A49</f>
        <v>MAT018</v>
      </c>
      <c r="D4984" s="280" t="str">
        <f>+'LISTA DE INSUMOS'!B49</f>
        <v>Cuartón de sajo 2" x 4" x 2,9 m</v>
      </c>
      <c r="E4984" s="126" t="str">
        <f>+'LISTA DE INSUMOS'!C49</f>
        <v>M</v>
      </c>
      <c r="F4984" s="102">
        <v>9</v>
      </c>
      <c r="G4984" s="103">
        <f>+'LISTA DE INSUMOS'!E49</f>
        <v>11944.810644542158</v>
      </c>
      <c r="H4984" s="220">
        <v>0.33333333333333331</v>
      </c>
      <c r="I4984" s="103">
        <f>ROUND((F4984*G4984*H4984),0)</f>
        <v>35834</v>
      </c>
    </row>
    <row r="4985" spans="2:9" ht="19.5" customHeight="1" x14ac:dyDescent="0.2">
      <c r="B4985" s="660"/>
      <c r="C4985" s="104" t="str">
        <f>+'LISTA DE INSUMOS'!A51</f>
        <v>MAT020</v>
      </c>
      <c r="D4985" s="280" t="str">
        <f>+'LISTA DE INSUMOS'!B51</f>
        <v>Guadua basa longitud promedio = 5 m</v>
      </c>
      <c r="E4985" s="126" t="str">
        <f>+'LISTA DE INSUMOS'!C51</f>
        <v>Un</v>
      </c>
      <c r="F4985" s="102">
        <v>2</v>
      </c>
      <c r="G4985" s="103">
        <f>+'LISTA DE INSUMOS'!E51</f>
        <v>8662.3499999999985</v>
      </c>
      <c r="H4985" s="220">
        <v>0.33333333333333331</v>
      </c>
      <c r="I4985" s="103">
        <f>ROUND((F4985*G4985*H4985),0)</f>
        <v>5775</v>
      </c>
    </row>
    <row r="4986" spans="2:9" ht="19.5" customHeight="1" x14ac:dyDescent="0.2">
      <c r="B4986" s="660"/>
      <c r="C4986" s="104" t="str">
        <f>+'LISTA DE INSUMOS'!A52</f>
        <v>MAT021</v>
      </c>
      <c r="D4986" s="280" t="str">
        <f>+'LISTA DE INSUMOS'!B52</f>
        <v>Puntilla (promedio)</v>
      </c>
      <c r="E4986" s="126" t="str">
        <f>+'LISTA DE INSUMOS'!C52</f>
        <v>Lb</v>
      </c>
      <c r="F4986" s="102">
        <v>2</v>
      </c>
      <c r="G4986" s="103">
        <f>+'LISTA DE INSUMOS'!E52</f>
        <v>6690.6972299999998</v>
      </c>
      <c r="H4986" s="104">
        <v>0</v>
      </c>
      <c r="I4986" s="103">
        <f>ROUND((F4986*G4986),0)</f>
        <v>13381</v>
      </c>
    </row>
    <row r="4987" spans="2:9" ht="19.5" customHeight="1" x14ac:dyDescent="0.2">
      <c r="B4987" s="660"/>
      <c r="C4987" s="104" t="str">
        <f>+'LISTA DE INSUMOS'!A53</f>
        <v>MAT022</v>
      </c>
      <c r="D4987" s="280" t="str">
        <f>+'LISTA DE INSUMOS'!B53</f>
        <v>Alambre negro calibre 17</v>
      </c>
      <c r="E4987" s="126" t="str">
        <f>+'LISTA DE INSUMOS'!C53</f>
        <v>Kg</v>
      </c>
      <c r="F4987" s="102">
        <v>2</v>
      </c>
      <c r="G4987" s="103">
        <f>+'LISTA DE INSUMOS'!E53</f>
        <v>7948.98</v>
      </c>
      <c r="H4987" s="104">
        <v>0</v>
      </c>
      <c r="I4987" s="103">
        <f>ROUND((F4987*G4987),0)</f>
        <v>15898</v>
      </c>
    </row>
    <row r="4988" spans="2:9" ht="19.5" customHeight="1" x14ac:dyDescent="0.2">
      <c r="B4988" s="660"/>
      <c r="C4988" s="104" t="str">
        <f>+'LISTA DE INSUMOS'!A93</f>
        <v>MAT051</v>
      </c>
      <c r="D4988" s="280" t="str">
        <f>+'LISTA DE INSUMOS'!B93</f>
        <v>Antisol blanco</v>
      </c>
      <c r="E4988" s="126" t="str">
        <f>+'LISTA DE INSUMOS'!C93</f>
        <v>Kg</v>
      </c>
      <c r="F4988" s="102">
        <v>1.1000000000000001</v>
      </c>
      <c r="G4988" s="103">
        <f>+'LISTA DE INSUMOS'!E93</f>
        <v>11510.734499999999</v>
      </c>
      <c r="H4988" s="104">
        <v>1.03</v>
      </c>
      <c r="I4988" s="103">
        <f>ROUND((F4988*G4988*H4988),0)</f>
        <v>13042</v>
      </c>
    </row>
    <row r="4989" spans="2:9" ht="19.5" customHeight="1" x14ac:dyDescent="0.2">
      <c r="B4989" s="660"/>
      <c r="C4989" s="104" t="str">
        <f>+'LISTA DE INSUMOS'!A132</f>
        <v>MAT091</v>
      </c>
      <c r="D4989" s="280" t="str">
        <f>+'LISTA DE INSUMOS'!B132</f>
        <v>Varillón de sajo</v>
      </c>
      <c r="E4989" s="126" t="str">
        <f>+'LISTA DE INSUMOS'!C132</f>
        <v>M</v>
      </c>
      <c r="F4989" s="102">
        <v>6</v>
      </c>
      <c r="G4989" s="103">
        <f>+'LISTA DE INSUMOS'!E132</f>
        <v>2979.6450687603597</v>
      </c>
      <c r="H4989" s="220">
        <v>0.33333333333333331</v>
      </c>
      <c r="I4989" s="103">
        <f>ROUND((F4989*G4989*H4989),0)</f>
        <v>5959</v>
      </c>
    </row>
    <row r="4990" spans="2:9" ht="19.5" customHeight="1" x14ac:dyDescent="0.2">
      <c r="B4990" s="660"/>
      <c r="C4990" s="104" t="str">
        <f>+'LISTA DE INSUMOS'!A70</f>
        <v>MAT037</v>
      </c>
      <c r="D4990" s="280" t="str">
        <f>+'LISTA DE INSUMOS'!B70</f>
        <v>Impermeabilizante para mortero (Sika 1 o similar)</v>
      </c>
      <c r="E4990" s="126" t="str">
        <f>+'LISTA DE INSUMOS'!C70</f>
        <v>Kg</v>
      </c>
      <c r="F4990" s="102">
        <f>7*0.25</f>
        <v>1.75</v>
      </c>
      <c r="G4990" s="103">
        <f>+'LISTA DE INSUMOS'!E70</f>
        <v>22394.722499999996</v>
      </c>
      <c r="H4990" s="104">
        <v>0</v>
      </c>
      <c r="I4990" s="103">
        <v>27890</v>
      </c>
    </row>
    <row r="4991" spans="2:9" ht="19.5" customHeight="1" x14ac:dyDescent="0.2">
      <c r="B4991" s="660"/>
      <c r="C4991" s="104" t="str">
        <f>+'LISTA DE INSUMOS'!A498</f>
        <v>MAT515</v>
      </c>
      <c r="D4991" s="280" t="str">
        <f>+'LISTA DE INSUMOS'!B498</f>
        <v>Fluidificante para concretos</v>
      </c>
      <c r="E4991" s="126" t="str">
        <f>+'LISTA DE INSUMOS'!C498</f>
        <v>Kg</v>
      </c>
      <c r="F4991" s="102">
        <f>7*0.25</f>
        <v>1.75</v>
      </c>
      <c r="G4991" s="103">
        <f>+'LISTA DE INSUMOS'!E498</f>
        <v>13992.624354353698</v>
      </c>
      <c r="H4991" s="104">
        <v>0</v>
      </c>
      <c r="I4991" s="103">
        <v>24620</v>
      </c>
    </row>
    <row r="4992" spans="2:9" ht="19.5" customHeight="1" thickBot="1" x14ac:dyDescent="0.25">
      <c r="B4992" s="285" t="s">
        <v>1310</v>
      </c>
      <c r="C4992" s="280" t="str">
        <f>+B544</f>
        <v>ITE092</v>
      </c>
      <c r="D4992" s="280" t="str">
        <f>+D544</f>
        <v>Concreto de 20,7 Mpa (3000 psi) (producción)</v>
      </c>
      <c r="E4992" s="282" t="str">
        <f>+E544</f>
        <v>M3</v>
      </c>
      <c r="F4992" s="102">
        <v>1</v>
      </c>
      <c r="G4992" s="103">
        <f>+G544</f>
        <v>596118</v>
      </c>
      <c r="H4992" s="104">
        <v>1.05</v>
      </c>
      <c r="I4992" s="103">
        <f>ROUND((F4992*G4992*H4992),0)</f>
        <v>625924</v>
      </c>
    </row>
    <row r="4993" spans="1:9" ht="19.5" customHeight="1" thickTop="1" thickBot="1" x14ac:dyDescent="0.25">
      <c r="B4993" s="158" t="s">
        <v>1034</v>
      </c>
      <c r="C4993" s="104" t="str">
        <f>+'LISTA DE INSUMOS'!A16</f>
        <v>MOB013</v>
      </c>
      <c r="D4993" s="280" t="str">
        <f>+'LISTA DE INSUMOS'!B16</f>
        <v>Cuadrilla C 1 Of + 7 Ay (jornal + prestaciones)</v>
      </c>
      <c r="E4993" s="126" t="str">
        <f>+'LISTA DE INSUMOS'!C16</f>
        <v>Día</v>
      </c>
      <c r="F4993" s="102">
        <v>1</v>
      </c>
      <c r="G4993" s="103">
        <f>+'LISTA DE INSUMOS'!E16</f>
        <v>736750</v>
      </c>
      <c r="H4993" s="104">
        <v>0.4</v>
      </c>
      <c r="I4993" s="103">
        <f>ROUND((F4993*G4993*H4993),0)</f>
        <v>294700</v>
      </c>
    </row>
    <row r="4994" spans="1:9" ht="19.5" customHeight="1" thickTop="1" x14ac:dyDescent="0.2">
      <c r="B4994" s="647" t="s">
        <v>1033</v>
      </c>
      <c r="C4994" s="104" t="str">
        <f>+'LISTA DE INSUMOS'!A758</f>
        <v>EQU002</v>
      </c>
      <c r="D4994" s="280" t="str">
        <f>+'LISTA DE INSUMOS'!B758</f>
        <v>Herramienta menor (% mano obra)</v>
      </c>
      <c r="E4994" s="126" t="str">
        <f>+'LISTA DE INSUMOS'!C758</f>
        <v>%MO</v>
      </c>
      <c r="F4994" s="102">
        <v>0.1</v>
      </c>
      <c r="G4994" s="103">
        <f>+I4993</f>
        <v>294700</v>
      </c>
      <c r="H4994" s="104">
        <v>0</v>
      </c>
      <c r="I4994" s="103">
        <f>ROUND((F4994*G4994),0)</f>
        <v>29470</v>
      </c>
    </row>
    <row r="4995" spans="1:9" ht="19.5" customHeight="1" x14ac:dyDescent="0.2">
      <c r="B4995" s="648"/>
      <c r="C4995" s="104" t="str">
        <f>+'LISTA DE INSUMOS'!A799</f>
        <v>EQU043</v>
      </c>
      <c r="D4995" s="280" t="str">
        <f>+'LISTA DE INSUMOS'!B799</f>
        <v>Tablero formaleta 70*140</v>
      </c>
      <c r="E4995" s="126" t="str">
        <f>+'LISTA DE INSUMOS'!C799</f>
        <v>Dia</v>
      </c>
      <c r="F4995" s="102">
        <v>25</v>
      </c>
      <c r="G4995" s="103">
        <f>+'LISTA DE INSUMOS'!E799</f>
        <v>910.28952299999992</v>
      </c>
      <c r="H4995" s="104">
        <v>1.5</v>
      </c>
      <c r="I4995" s="103">
        <f>ROUND((F4995*G4995*H4995),0)</f>
        <v>34136</v>
      </c>
    </row>
    <row r="4996" spans="1:9" ht="19.5" customHeight="1" thickBot="1" x14ac:dyDescent="0.25">
      <c r="B4996" s="648"/>
      <c r="C4996" s="104" t="str">
        <f>+'LISTA DE INSUMOS'!A775</f>
        <v>EQU018</v>
      </c>
      <c r="D4996" s="280" t="str">
        <f>+'LISTA DE INSUMOS'!B775</f>
        <v>Vibrador eléctrico o a gasolina</v>
      </c>
      <c r="E4996" s="126" t="str">
        <f>+'LISTA DE INSUMOS'!C775</f>
        <v>Día</v>
      </c>
      <c r="F4996" s="102">
        <v>1</v>
      </c>
      <c r="G4996" s="103">
        <f>+'LISTA DE INSUMOS'!E775</f>
        <v>42234.2781968536</v>
      </c>
      <c r="H4996" s="104">
        <v>0.2</v>
      </c>
      <c r="I4996" s="103">
        <f>ROUND((F4996*G4996*H4996),0)</f>
        <v>8447</v>
      </c>
    </row>
    <row r="4997" spans="1:9" ht="19.5" customHeight="1" thickTop="1" thickBot="1" x14ac:dyDescent="0.25">
      <c r="A4997" s="283"/>
      <c r="B4997" s="171" t="s">
        <v>421</v>
      </c>
      <c r="C4997" s="104" t="str">
        <f>+'LISTA DE INSUMOS'!A823</f>
        <v>ESY001</v>
      </c>
      <c r="D4997" s="280" t="str">
        <f>+'LISTA DE INSUMOS'!B823</f>
        <v>Ensayo resistencia concretos (un testigo)</v>
      </c>
      <c r="E4997" s="126" t="str">
        <f>+'LISTA DE INSUMOS'!C823</f>
        <v>Un</v>
      </c>
      <c r="F4997" s="172">
        <f>1/10*3</f>
        <v>0.30000000000000004</v>
      </c>
      <c r="G4997" s="103">
        <f>+'LISTA DE INSUMOS'!E823</f>
        <v>29175.946249999997</v>
      </c>
      <c r="H4997" s="104">
        <v>0</v>
      </c>
      <c r="I4997" s="103">
        <f>ROUND((F4997*G4997),0)</f>
        <v>8753</v>
      </c>
    </row>
    <row r="4998" spans="1:9" s="317" customFormat="1" ht="42.75" customHeight="1" x14ac:dyDescent="0.2">
      <c r="A4998" s="283"/>
      <c r="B4998" s="117" t="s">
        <v>2356</v>
      </c>
      <c r="C4998" s="117"/>
      <c r="D4998" s="112" t="s">
        <v>2602</v>
      </c>
      <c r="E4998" s="117" t="s">
        <v>1432</v>
      </c>
      <c r="F4998" s="118"/>
      <c r="G4998" s="119">
        <f>+SUM(I4999:I5012)</f>
        <v>1199924</v>
      </c>
      <c r="H4998" s="120"/>
      <c r="I4998" s="119"/>
    </row>
    <row r="4999" spans="1:9" s="317" customFormat="1" ht="19.5" customHeight="1" x14ac:dyDescent="0.2">
      <c r="A4999" s="283"/>
      <c r="B4999" s="660" t="s">
        <v>1325</v>
      </c>
      <c r="C4999" s="283" t="str">
        <f>+'LISTA DE INSUMOS'!A49</f>
        <v>MAT018</v>
      </c>
      <c r="D4999" s="440" t="str">
        <f>+'LISTA DE INSUMOS'!B49</f>
        <v>Cuartón de sajo 2" x 4" x 2,9 m</v>
      </c>
      <c r="E4999" s="441" t="str">
        <f>+'LISTA DE INSUMOS'!C49</f>
        <v>M</v>
      </c>
      <c r="F4999" s="442">
        <v>9</v>
      </c>
      <c r="G4999" s="284">
        <f>+'LISTA DE INSUMOS'!E49</f>
        <v>11944.810644542158</v>
      </c>
      <c r="H4999" s="443">
        <v>0.33333333333333331</v>
      </c>
      <c r="I4999" s="284">
        <f>ROUND((F4999*G4999*H4999),0)</f>
        <v>35834</v>
      </c>
    </row>
    <row r="5000" spans="1:9" s="317" customFormat="1" ht="19.5" customHeight="1" x14ac:dyDescent="0.2">
      <c r="A5000" s="283"/>
      <c r="B5000" s="660"/>
      <c r="C5000" s="283" t="str">
        <f>+'LISTA DE INSUMOS'!A51</f>
        <v>MAT020</v>
      </c>
      <c r="D5000" s="440" t="str">
        <f>+'LISTA DE INSUMOS'!B51</f>
        <v>Guadua basa longitud promedio = 5 m</v>
      </c>
      <c r="E5000" s="441" t="str">
        <f>+'LISTA DE INSUMOS'!C51</f>
        <v>Un</v>
      </c>
      <c r="F5000" s="442">
        <v>2</v>
      </c>
      <c r="G5000" s="284">
        <f>+'LISTA DE INSUMOS'!E51</f>
        <v>8662.3499999999985</v>
      </c>
      <c r="H5000" s="443">
        <v>0.33333333333333331</v>
      </c>
      <c r="I5000" s="284">
        <f>ROUND((F5000*G5000*H5000),0)</f>
        <v>5775</v>
      </c>
    </row>
    <row r="5001" spans="1:9" s="317" customFormat="1" ht="19.5" customHeight="1" x14ac:dyDescent="0.2">
      <c r="A5001" s="283"/>
      <c r="B5001" s="660"/>
      <c r="C5001" s="283" t="str">
        <f>+'LISTA DE INSUMOS'!A52</f>
        <v>MAT021</v>
      </c>
      <c r="D5001" s="440" t="str">
        <f>+'LISTA DE INSUMOS'!B52</f>
        <v>Puntilla (promedio)</v>
      </c>
      <c r="E5001" s="441" t="str">
        <f>+'LISTA DE INSUMOS'!C52</f>
        <v>Lb</v>
      </c>
      <c r="F5001" s="442">
        <v>2</v>
      </c>
      <c r="G5001" s="284">
        <f>+'LISTA DE INSUMOS'!E52</f>
        <v>6690.6972299999998</v>
      </c>
      <c r="H5001" s="283">
        <v>0</v>
      </c>
      <c r="I5001" s="284">
        <f>ROUND((F5001*G5001),0)</f>
        <v>13381</v>
      </c>
    </row>
    <row r="5002" spans="1:9" s="317" customFormat="1" ht="19.5" customHeight="1" x14ac:dyDescent="0.2">
      <c r="A5002" s="283"/>
      <c r="B5002" s="660"/>
      <c r="C5002" s="283" t="str">
        <f>+'LISTA DE INSUMOS'!A53</f>
        <v>MAT022</v>
      </c>
      <c r="D5002" s="440" t="str">
        <f>+'LISTA DE INSUMOS'!B53</f>
        <v>Alambre negro calibre 17</v>
      </c>
      <c r="E5002" s="441" t="str">
        <f>+'LISTA DE INSUMOS'!C53</f>
        <v>Kg</v>
      </c>
      <c r="F5002" s="442">
        <v>2</v>
      </c>
      <c r="G5002" s="284">
        <f>+'LISTA DE INSUMOS'!E53</f>
        <v>7948.98</v>
      </c>
      <c r="H5002" s="283">
        <v>0</v>
      </c>
      <c r="I5002" s="284">
        <f>ROUND((F5002*G5002),0)</f>
        <v>15898</v>
      </c>
    </row>
    <row r="5003" spans="1:9" s="317" customFormat="1" ht="19.5" customHeight="1" x14ac:dyDescent="0.2">
      <c r="A5003" s="283"/>
      <c r="B5003" s="660"/>
      <c r="C5003" s="283" t="str">
        <f>+'LISTA DE INSUMOS'!A93</f>
        <v>MAT051</v>
      </c>
      <c r="D5003" s="440" t="str">
        <f>+'LISTA DE INSUMOS'!B93</f>
        <v>Antisol blanco</v>
      </c>
      <c r="E5003" s="441" t="str">
        <f>+'LISTA DE INSUMOS'!C93</f>
        <v>Kg</v>
      </c>
      <c r="F5003" s="442">
        <v>1.1000000000000001</v>
      </c>
      <c r="G5003" s="284">
        <f>+'LISTA DE INSUMOS'!E93</f>
        <v>11510.734499999999</v>
      </c>
      <c r="H5003" s="283">
        <v>1.03</v>
      </c>
      <c r="I5003" s="284">
        <f>ROUND((F5003*G5003*H5003),0)</f>
        <v>13042</v>
      </c>
    </row>
    <row r="5004" spans="1:9" s="317" customFormat="1" ht="19.5" customHeight="1" x14ac:dyDescent="0.2">
      <c r="A5004" s="283"/>
      <c r="B5004" s="660"/>
      <c r="C5004" s="283" t="str">
        <f>+'LISTA DE INSUMOS'!A132</f>
        <v>MAT091</v>
      </c>
      <c r="D5004" s="440" t="str">
        <f>+'LISTA DE INSUMOS'!B132</f>
        <v>Varillón de sajo</v>
      </c>
      <c r="E5004" s="441" t="str">
        <f>+'LISTA DE INSUMOS'!C132</f>
        <v>M</v>
      </c>
      <c r="F5004" s="442">
        <v>6</v>
      </c>
      <c r="G5004" s="284">
        <f>+'LISTA DE INSUMOS'!E132</f>
        <v>2979.6450687603597</v>
      </c>
      <c r="H5004" s="443">
        <v>0.33333333333333331</v>
      </c>
      <c r="I5004" s="284">
        <f>ROUND((F5004*G5004*H5004),0)</f>
        <v>5959</v>
      </c>
    </row>
    <row r="5005" spans="1:9" s="317" customFormat="1" ht="19.5" customHeight="1" x14ac:dyDescent="0.2">
      <c r="A5005" s="283"/>
      <c r="B5005" s="660"/>
      <c r="C5005" s="283" t="str">
        <f>+'LISTA DE INSUMOS'!A70</f>
        <v>MAT037</v>
      </c>
      <c r="D5005" s="440" t="str">
        <f>+'LISTA DE INSUMOS'!B70</f>
        <v>Impermeabilizante para mortero (Sika 1 o similar)</v>
      </c>
      <c r="E5005" s="441" t="str">
        <f>+'LISTA DE INSUMOS'!C70</f>
        <v>Kg</v>
      </c>
      <c r="F5005" s="442">
        <f>8.5*0.25</f>
        <v>2.125</v>
      </c>
      <c r="G5005" s="284">
        <f>+'LISTA DE INSUMOS'!E70</f>
        <v>22394.722499999996</v>
      </c>
      <c r="H5005" s="283">
        <v>0</v>
      </c>
      <c r="I5005" s="284">
        <v>27890</v>
      </c>
    </row>
    <row r="5006" spans="1:9" s="317" customFormat="1" ht="19.5" customHeight="1" x14ac:dyDescent="0.2">
      <c r="A5006" s="283"/>
      <c r="B5006" s="660"/>
      <c r="C5006" s="283" t="s">
        <v>969</v>
      </c>
      <c r="D5006" s="440" t="s">
        <v>113</v>
      </c>
      <c r="E5006" s="441" t="s">
        <v>1414</v>
      </c>
      <c r="F5006" s="442">
        <f>8.5*0.25</f>
        <v>2.125</v>
      </c>
      <c r="G5006" s="284">
        <v>12310</v>
      </c>
      <c r="H5006" s="283">
        <v>0</v>
      </c>
      <c r="I5006" s="284">
        <v>24620</v>
      </c>
    </row>
    <row r="5007" spans="1:9" s="317" customFormat="1" ht="19.5" customHeight="1" thickBot="1" x14ac:dyDescent="0.25">
      <c r="A5007" s="283"/>
      <c r="B5007" s="285" t="s">
        <v>1310</v>
      </c>
      <c r="C5007" s="440" t="str">
        <f>+B535</f>
        <v>ITE091</v>
      </c>
      <c r="D5007" s="440" t="str">
        <f>+D535</f>
        <v>Concreto de 27,6 Mpa (4000 psi) (producción)</v>
      </c>
      <c r="E5007" s="444" t="str">
        <f>+E535</f>
        <v>M3</v>
      </c>
      <c r="F5007" s="442">
        <v>1</v>
      </c>
      <c r="G5007" s="284">
        <f>+G535</f>
        <v>643985</v>
      </c>
      <c r="H5007" s="283">
        <v>1.05</v>
      </c>
      <c r="I5007" s="284">
        <f>ROUND((F5007*G5007*H5007),0)</f>
        <v>676184</v>
      </c>
    </row>
    <row r="5008" spans="1:9" s="317" customFormat="1" ht="19.5" customHeight="1" thickTop="1" thickBot="1" x14ac:dyDescent="0.25">
      <c r="A5008" s="283"/>
      <c r="B5008" s="158" t="s">
        <v>1034</v>
      </c>
      <c r="C5008" s="283" t="str">
        <f>+'LISTA DE INSUMOS'!A16</f>
        <v>MOB013</v>
      </c>
      <c r="D5008" s="440" t="str">
        <f>+'LISTA DE INSUMOS'!B16</f>
        <v>Cuadrilla C 1 Of + 7 Ay (jornal + prestaciones)</v>
      </c>
      <c r="E5008" s="441" t="str">
        <f>+'LISTA DE INSUMOS'!C16</f>
        <v>Día</v>
      </c>
      <c r="F5008" s="442">
        <v>1</v>
      </c>
      <c r="G5008" s="284">
        <f>+'LISTA DE INSUMOS'!E16</f>
        <v>736750</v>
      </c>
      <c r="H5008" s="283">
        <v>0.4</v>
      </c>
      <c r="I5008" s="284">
        <f>ROUND((F5008*G5008*H5008),0)</f>
        <v>294700</v>
      </c>
    </row>
    <row r="5009" spans="1:9" s="317" customFormat="1" ht="19.5" customHeight="1" thickTop="1" x14ac:dyDescent="0.2">
      <c r="A5009" s="283"/>
      <c r="B5009" s="647" t="s">
        <v>1033</v>
      </c>
      <c r="C5009" s="283" t="str">
        <f>+'LISTA DE INSUMOS'!A758</f>
        <v>EQU002</v>
      </c>
      <c r="D5009" s="440" t="str">
        <f>+'LISTA DE INSUMOS'!B758</f>
        <v>Herramienta menor (% mano obra)</v>
      </c>
      <c r="E5009" s="441" t="str">
        <f>+'LISTA DE INSUMOS'!C758</f>
        <v>%MO</v>
      </c>
      <c r="F5009" s="442">
        <v>0.1</v>
      </c>
      <c r="G5009" s="284">
        <f>+I5008</f>
        <v>294700</v>
      </c>
      <c r="H5009" s="283">
        <v>0</v>
      </c>
      <c r="I5009" s="284">
        <f>ROUND((F5009*G5009),0)</f>
        <v>29470</v>
      </c>
    </row>
    <row r="5010" spans="1:9" s="317" customFormat="1" ht="19.5" customHeight="1" x14ac:dyDescent="0.2">
      <c r="A5010" s="283"/>
      <c r="B5010" s="648"/>
      <c r="C5010" s="283" t="str">
        <f>+'LISTA DE INSUMOS'!A799</f>
        <v>EQU043</v>
      </c>
      <c r="D5010" s="440" t="str">
        <f>+'LISTA DE INSUMOS'!B799</f>
        <v>Tablero formaleta 70*140</v>
      </c>
      <c r="E5010" s="441" t="str">
        <f>+'LISTA DE INSUMOS'!C799</f>
        <v>Dia</v>
      </c>
      <c r="F5010" s="442">
        <v>25</v>
      </c>
      <c r="G5010" s="284">
        <f>+'LISTA DE INSUMOS'!E799</f>
        <v>910.28952299999992</v>
      </c>
      <c r="H5010" s="283">
        <v>1.5</v>
      </c>
      <c r="I5010" s="284">
        <f>ROUND((F5010*G5010*H5010),0)</f>
        <v>34136</v>
      </c>
    </row>
    <row r="5011" spans="1:9" s="317" customFormat="1" ht="19.5" customHeight="1" thickBot="1" x14ac:dyDescent="0.25">
      <c r="A5011" s="283"/>
      <c r="B5011" s="648"/>
      <c r="C5011" s="283" t="str">
        <f>+'LISTA DE INSUMOS'!A775</f>
        <v>EQU018</v>
      </c>
      <c r="D5011" s="440" t="str">
        <f>+'LISTA DE INSUMOS'!B775</f>
        <v>Vibrador eléctrico o a gasolina</v>
      </c>
      <c r="E5011" s="441" t="str">
        <f>+'LISTA DE INSUMOS'!C775</f>
        <v>Día</v>
      </c>
      <c r="F5011" s="442">
        <v>1</v>
      </c>
      <c r="G5011" s="284">
        <f>+'LISTA DE INSUMOS'!E775</f>
        <v>42234.2781968536</v>
      </c>
      <c r="H5011" s="283">
        <v>0.2</v>
      </c>
      <c r="I5011" s="284">
        <f>ROUND((F5011*G5011*H5011),0)</f>
        <v>8447</v>
      </c>
    </row>
    <row r="5012" spans="1:9" s="317" customFormat="1" ht="19.5" customHeight="1" thickTop="1" thickBot="1" x14ac:dyDescent="0.25">
      <c r="A5012" s="283"/>
      <c r="B5012" s="171" t="s">
        <v>421</v>
      </c>
      <c r="C5012" s="445" t="str">
        <f>+'LISTA DE INSUMOS'!A823</f>
        <v>ESY001</v>
      </c>
      <c r="D5012" s="446" t="str">
        <f>+'LISTA DE INSUMOS'!B823</f>
        <v>Ensayo resistencia concretos (un testigo)</v>
      </c>
      <c r="E5012" s="447" t="str">
        <f>+'LISTA DE INSUMOS'!C823</f>
        <v>Un</v>
      </c>
      <c r="F5012" s="448">
        <v>0.5</v>
      </c>
      <c r="G5012" s="449">
        <f>+'LISTA DE INSUMOS'!E823</f>
        <v>29175.946249999997</v>
      </c>
      <c r="H5012" s="445">
        <v>0</v>
      </c>
      <c r="I5012" s="449">
        <f>ROUND((F5012*G5012),0)</f>
        <v>14588</v>
      </c>
    </row>
    <row r="5013" spans="1:9" s="317" customFormat="1" ht="19.5" customHeight="1" x14ac:dyDescent="0.2">
      <c r="A5013" s="283"/>
      <c r="B5013" s="117" t="s">
        <v>2357</v>
      </c>
      <c r="C5013" s="117"/>
      <c r="D5013" s="112" t="s">
        <v>2603</v>
      </c>
      <c r="E5013" s="117" t="s">
        <v>2585</v>
      </c>
      <c r="F5013" s="149"/>
      <c r="G5013" s="119">
        <f>ROUND(SUM(I5013:I5017),0)</f>
        <v>47254</v>
      </c>
      <c r="H5013" s="120"/>
      <c r="I5013" s="119"/>
    </row>
    <row r="5014" spans="1:9" s="317" customFormat="1" ht="19.5" customHeight="1" thickBot="1" x14ac:dyDescent="0.25">
      <c r="A5014" s="283"/>
      <c r="B5014" s="418" t="s">
        <v>1325</v>
      </c>
      <c r="C5014" s="108" t="str">
        <f>+'LISTA DE INSUMOS'!A699</f>
        <v>MAT712</v>
      </c>
      <c r="D5014" s="139" t="str">
        <f>+'LISTA DE INSUMOS'!B699</f>
        <v>Silcoplast</v>
      </c>
      <c r="E5014" s="108" t="str">
        <f>+'LISTA DE INSUMOS'!C699</f>
        <v>Cñ</v>
      </c>
      <c r="F5014" s="140">
        <v>0.1</v>
      </c>
      <c r="G5014" s="141">
        <f>+'LISTA DE INSUMOS'!E699</f>
        <v>268034.24543973</v>
      </c>
      <c r="H5014" s="108">
        <v>1.03</v>
      </c>
      <c r="I5014" s="141">
        <f>ROUND((F5014*G5014*H5014),0)</f>
        <v>27608</v>
      </c>
    </row>
    <row r="5015" spans="1:9" s="317" customFormat="1" ht="19.5" customHeight="1" thickTop="1" thickBot="1" x14ac:dyDescent="0.25">
      <c r="A5015" s="283"/>
      <c r="B5015" s="195" t="s">
        <v>1034</v>
      </c>
      <c r="C5015" s="108" t="str">
        <f>+'LISTA DE INSUMOS'!A8</f>
        <v>MOB005</v>
      </c>
      <c r="D5015" s="139" t="str">
        <f>+'LISTA DE INSUMOS'!B18</f>
        <v>Cuadrilla E 1 Of + 1 Ay (jornal + prestaciones)</v>
      </c>
      <c r="E5015" s="108" t="str">
        <f>+'LISTA DE INSUMOS'!C18</f>
        <v>Día</v>
      </c>
      <c r="F5015" s="140">
        <v>1</v>
      </c>
      <c r="G5015" s="141">
        <f>+'LISTA DE INSUMOS'!E18</f>
        <v>245584</v>
      </c>
      <c r="H5015" s="108">
        <f>1/15</f>
        <v>6.6666666666666666E-2</v>
      </c>
      <c r="I5015" s="141">
        <f>ROUND((F5015*G5015*H5015),0)</f>
        <v>16372</v>
      </c>
    </row>
    <row r="5016" spans="1:9" s="317" customFormat="1" ht="19.5" customHeight="1" thickTop="1" x14ac:dyDescent="0.2">
      <c r="A5016" s="283"/>
      <c r="B5016" s="652" t="s">
        <v>1033</v>
      </c>
      <c r="C5016" s="108" t="str">
        <f>+'LISTA DE INSUMOS'!A758</f>
        <v>EQU002</v>
      </c>
      <c r="D5016" s="139" t="str">
        <f>+'LISTA DE INSUMOS'!B758</f>
        <v>Herramienta menor (% mano obra)</v>
      </c>
      <c r="E5016" s="108" t="str">
        <f>+'LISTA DE INSUMOS'!C758</f>
        <v>%MO</v>
      </c>
      <c r="F5016" s="140">
        <v>0.1</v>
      </c>
      <c r="G5016" s="141">
        <f>I5015</f>
        <v>16372</v>
      </c>
      <c r="H5016" s="108">
        <v>0</v>
      </c>
      <c r="I5016" s="141">
        <f>ROUND((F5016*G5016),0)</f>
        <v>1637</v>
      </c>
    </row>
    <row r="5017" spans="1:9" s="317" customFormat="1" ht="19.5" customHeight="1" thickBot="1" x14ac:dyDescent="0.25">
      <c r="A5017" s="283"/>
      <c r="B5017" s="653"/>
      <c r="C5017" s="145" t="str">
        <f>+'LISTA DE INSUMOS'!A762</f>
        <v>EQU006</v>
      </c>
      <c r="D5017" s="146" t="str">
        <f>+'LISTA DE INSUMOS'!B762</f>
        <v>Andamio (% mano obra)</v>
      </c>
      <c r="E5017" s="145" t="str">
        <f>+'LISTA DE INSUMOS'!C762</f>
        <v>%MO</v>
      </c>
      <c r="F5017" s="147">
        <v>0.1</v>
      </c>
      <c r="G5017" s="148">
        <f>I5015</f>
        <v>16372</v>
      </c>
      <c r="H5017" s="145">
        <v>0</v>
      </c>
      <c r="I5017" s="148">
        <f>ROUND((F5017*G5017),0)</f>
        <v>1637</v>
      </c>
    </row>
    <row r="5018" spans="1:9" ht="19.5" customHeight="1" x14ac:dyDescent="0.2">
      <c r="B5018" s="117" t="s">
        <v>2358</v>
      </c>
      <c r="C5018" s="105"/>
      <c r="D5018" s="251" t="s">
        <v>2630</v>
      </c>
      <c r="E5018" s="410" t="s">
        <v>1435</v>
      </c>
      <c r="F5018" s="411"/>
      <c r="G5018" s="412">
        <f>SUM(I5019:I5031)</f>
        <v>2800029</v>
      </c>
      <c r="H5018" s="105"/>
      <c r="I5018" s="412"/>
    </row>
    <row r="5019" spans="1:9" ht="19.5" customHeight="1" x14ac:dyDescent="0.2">
      <c r="B5019" s="657" t="s">
        <v>1325</v>
      </c>
      <c r="C5019" s="104" t="s">
        <v>2639</v>
      </c>
      <c r="D5019" s="104" t="s">
        <v>2631</v>
      </c>
      <c r="E5019" s="126" t="s">
        <v>2632</v>
      </c>
      <c r="F5019" s="102">
        <v>1</v>
      </c>
      <c r="G5019" s="103">
        <f>'LISTA DE INSUMOS'!E700</f>
        <v>921512.46553159284</v>
      </c>
      <c r="H5019" s="104">
        <v>0</v>
      </c>
      <c r="I5019" s="103">
        <f t="shared" ref="I5019:I5029" si="46">ROUND((F5019*G5019),0)</f>
        <v>921512</v>
      </c>
    </row>
    <row r="5020" spans="1:9" ht="19.5" customHeight="1" x14ac:dyDescent="0.2">
      <c r="B5020" s="657"/>
      <c r="C5020" s="104" t="s">
        <v>2223</v>
      </c>
      <c r="D5020" s="104" t="s">
        <v>279</v>
      </c>
      <c r="E5020" s="126" t="s">
        <v>1435</v>
      </c>
      <c r="F5020" s="102">
        <v>50</v>
      </c>
      <c r="G5020" s="103">
        <f>'LISTA DE INSUMOS'!E71</f>
        <v>1936.2899999999997</v>
      </c>
      <c r="H5020" s="104">
        <v>0</v>
      </c>
      <c r="I5020" s="103">
        <f t="shared" si="46"/>
        <v>96815</v>
      </c>
    </row>
    <row r="5021" spans="1:9" ht="19.5" customHeight="1" x14ac:dyDescent="0.2">
      <c r="B5021" s="657"/>
      <c r="C5021" s="104" t="s">
        <v>2640</v>
      </c>
      <c r="D5021" s="104" t="s">
        <v>2633</v>
      </c>
      <c r="E5021" s="126" t="s">
        <v>1435</v>
      </c>
      <c r="F5021" s="102">
        <v>80</v>
      </c>
      <c r="G5021" s="103">
        <f>'LISTA DE INSUMOS'!E701</f>
        <v>2955.39</v>
      </c>
      <c r="H5021" s="104">
        <v>0</v>
      </c>
      <c r="I5021" s="103">
        <f t="shared" si="46"/>
        <v>236431</v>
      </c>
    </row>
    <row r="5022" spans="1:9" ht="19.5" customHeight="1" x14ac:dyDescent="0.2">
      <c r="B5022" s="657"/>
      <c r="C5022" s="104" t="s">
        <v>2641</v>
      </c>
      <c r="D5022" s="104" t="s">
        <v>2634</v>
      </c>
      <c r="E5022" s="126" t="s">
        <v>1435</v>
      </c>
      <c r="F5022" s="102">
        <v>3.2</v>
      </c>
      <c r="G5022" s="103">
        <f>'LISTA DE INSUMOS'!E702</f>
        <v>1527.4989876959999</v>
      </c>
      <c r="H5022" s="104">
        <v>0</v>
      </c>
      <c r="I5022" s="103">
        <f t="shared" si="46"/>
        <v>4888</v>
      </c>
    </row>
    <row r="5023" spans="1:9" ht="19.5" customHeight="1" x14ac:dyDescent="0.2">
      <c r="B5023" s="657"/>
      <c r="C5023" s="104" t="s">
        <v>2194</v>
      </c>
      <c r="D5023" s="104" t="s">
        <v>2195</v>
      </c>
      <c r="E5023" s="126" t="s">
        <v>1435</v>
      </c>
      <c r="F5023" s="102">
        <v>10.5</v>
      </c>
      <c r="G5023" s="103">
        <f>'LISTA DE INSUMOS'!E54</f>
        <v>815.28</v>
      </c>
      <c r="H5023" s="104">
        <v>0</v>
      </c>
      <c r="I5023" s="103">
        <f t="shared" si="46"/>
        <v>8560</v>
      </c>
    </row>
    <row r="5024" spans="1:9" ht="19.5" customHeight="1" x14ac:dyDescent="0.2">
      <c r="B5024" s="657"/>
      <c r="C5024" s="104" t="s">
        <v>2642</v>
      </c>
      <c r="D5024" s="104" t="s">
        <v>2635</v>
      </c>
      <c r="E5024" s="126" t="s">
        <v>1435</v>
      </c>
      <c r="F5024" s="102">
        <v>8.1</v>
      </c>
      <c r="G5024" s="103">
        <f>'LISTA DE INSUMOS'!E703</f>
        <v>28869.174353249997</v>
      </c>
      <c r="H5024" s="104">
        <v>0</v>
      </c>
      <c r="I5024" s="103">
        <f t="shared" si="46"/>
        <v>233840</v>
      </c>
    </row>
    <row r="5025" spans="2:11" ht="19.5" customHeight="1" x14ac:dyDescent="0.2">
      <c r="B5025" s="657"/>
      <c r="C5025" s="104" t="s">
        <v>2188</v>
      </c>
      <c r="D5025" s="104" t="s">
        <v>253</v>
      </c>
      <c r="E5025" s="126" t="s">
        <v>1414</v>
      </c>
      <c r="F5025" s="102">
        <v>1.1000000000000001</v>
      </c>
      <c r="G5025" s="103">
        <f>'LISTA DE INSUMOS'!E45</f>
        <v>4605.3128999999999</v>
      </c>
      <c r="H5025" s="104">
        <v>0</v>
      </c>
      <c r="I5025" s="103">
        <f t="shared" si="46"/>
        <v>5066</v>
      </c>
    </row>
    <row r="5026" spans="2:11" ht="19.5" customHeight="1" x14ac:dyDescent="0.2">
      <c r="B5026" s="657"/>
      <c r="C5026" s="104" t="s">
        <v>2643</v>
      </c>
      <c r="D5026" s="104" t="s">
        <v>2636</v>
      </c>
      <c r="E5026" s="126" t="s">
        <v>1414</v>
      </c>
      <c r="F5026" s="102">
        <v>2</v>
      </c>
      <c r="G5026" s="103">
        <f>'LISTA DE INSUMOS'!E704</f>
        <v>5101.9317744114715</v>
      </c>
      <c r="H5026" s="104">
        <v>0</v>
      </c>
      <c r="I5026" s="103">
        <f t="shared" si="46"/>
        <v>10204</v>
      </c>
    </row>
    <row r="5027" spans="2:11" ht="19.5" customHeight="1" x14ac:dyDescent="0.2">
      <c r="B5027" s="657"/>
      <c r="C5027" s="104" t="s">
        <v>2164</v>
      </c>
      <c r="D5027" s="104" t="s">
        <v>2165</v>
      </c>
      <c r="E5027" s="126" t="s">
        <v>1432</v>
      </c>
      <c r="F5027" s="102">
        <v>0.6</v>
      </c>
      <c r="G5027" s="103">
        <f>'LISTA DE INSUMOS'!E32</f>
        <v>112536.56002875</v>
      </c>
      <c r="H5027" s="104">
        <v>0</v>
      </c>
      <c r="I5027" s="103">
        <f t="shared" si="46"/>
        <v>67522</v>
      </c>
    </row>
    <row r="5028" spans="2:11" ht="19.5" customHeight="1" x14ac:dyDescent="0.2">
      <c r="B5028" s="657"/>
      <c r="C5028" s="104" t="s">
        <v>2110</v>
      </c>
      <c r="D5028" s="104" t="s">
        <v>2111</v>
      </c>
      <c r="E5028" s="126" t="s">
        <v>2112</v>
      </c>
      <c r="F5028" s="102">
        <v>2.5</v>
      </c>
      <c r="G5028" s="103">
        <f>'LISTA DE INSUMOS'!E30</f>
        <v>34500</v>
      </c>
      <c r="H5028" s="104">
        <v>0</v>
      </c>
      <c r="I5028" s="103">
        <f t="shared" si="46"/>
        <v>86250</v>
      </c>
    </row>
    <row r="5029" spans="2:11" ht="19.5" customHeight="1" thickBot="1" x14ac:dyDescent="0.25">
      <c r="B5029" s="659"/>
      <c r="C5029" s="104" t="s">
        <v>2186</v>
      </c>
      <c r="D5029" s="104" t="s">
        <v>100</v>
      </c>
      <c r="E5029" s="126" t="s">
        <v>1414</v>
      </c>
      <c r="F5029" s="102">
        <v>1.5</v>
      </c>
      <c r="G5029" s="103">
        <f>'LISTA DE INSUMOS'!E376</f>
        <v>24109.941066665848</v>
      </c>
      <c r="H5029" s="104">
        <v>0</v>
      </c>
      <c r="I5029" s="103">
        <f t="shared" si="46"/>
        <v>36165</v>
      </c>
    </row>
    <row r="5030" spans="2:11" ht="19.5" customHeight="1" thickTop="1" thickBot="1" x14ac:dyDescent="0.25">
      <c r="B5030" s="158" t="s">
        <v>1034</v>
      </c>
      <c r="C5030" s="104" t="s">
        <v>2159</v>
      </c>
      <c r="D5030" s="104" t="s">
        <v>2659</v>
      </c>
      <c r="E5030" s="126" t="s">
        <v>1074</v>
      </c>
      <c r="F5030" s="102">
        <v>1</v>
      </c>
      <c r="G5030" s="103">
        <f>'LISTA DE INSUMOS'!E18</f>
        <v>245584</v>
      </c>
      <c r="H5030" s="104">
        <v>3</v>
      </c>
      <c r="I5030" s="103">
        <f>ROUND((F5030*G5030*H5030),0)</f>
        <v>736752</v>
      </c>
    </row>
    <row r="5031" spans="2:11" ht="18.75" customHeight="1" thickTop="1" x14ac:dyDescent="0.2">
      <c r="B5031" s="120" t="s">
        <v>1310</v>
      </c>
      <c r="C5031" s="280" t="str">
        <f>B5032</f>
        <v>ITE471</v>
      </c>
      <c r="D5031" s="280" t="str">
        <f>D5032</f>
        <v>Transporte de materiales desde cabecera municipal al beneficiario</v>
      </c>
      <c r="E5031" s="126" t="s">
        <v>2638</v>
      </c>
      <c r="F5031" s="102">
        <v>1</v>
      </c>
      <c r="G5031" s="103">
        <f>G5032</f>
        <v>178012</v>
      </c>
      <c r="H5031" s="104">
        <v>2</v>
      </c>
      <c r="I5031" s="103">
        <f>ROUND((F5031*G5031*H5031),0)</f>
        <v>356024</v>
      </c>
    </row>
    <row r="5032" spans="2:11" ht="34.5" customHeight="1" x14ac:dyDescent="0.2">
      <c r="B5032" s="415" t="s">
        <v>2359</v>
      </c>
      <c r="C5032" s="414"/>
      <c r="D5032" s="112" t="s">
        <v>2637</v>
      </c>
      <c r="E5032" s="415" t="s">
        <v>2648</v>
      </c>
      <c r="F5032" s="411"/>
      <c r="G5032" s="412">
        <f>ROUND(SUM(I5032:I5033),0)</f>
        <v>178012</v>
      </c>
      <c r="H5032" s="415"/>
      <c r="I5032" s="412"/>
    </row>
    <row r="5033" spans="2:11" ht="32.25" customHeight="1" x14ac:dyDescent="0.2">
      <c r="B5033" s="409" t="s">
        <v>1033</v>
      </c>
      <c r="C5033" s="104" t="s">
        <v>2166</v>
      </c>
      <c r="D5033" s="417" t="s">
        <v>2174</v>
      </c>
      <c r="E5033" s="126" t="s">
        <v>476</v>
      </c>
      <c r="F5033" s="102">
        <f>1/45</f>
        <v>2.2222222222222223E-2</v>
      </c>
      <c r="G5033" s="413">
        <f>'LISTA DE INSUMOS'!E790</f>
        <v>8010547.8023999995</v>
      </c>
      <c r="H5033" s="416">
        <v>1</v>
      </c>
      <c r="I5033" s="103">
        <f>ROUND((F5033*G5033*H5033),0)</f>
        <v>178012</v>
      </c>
    </row>
    <row r="5034" spans="2:11" ht="32.25" customHeight="1" x14ac:dyDescent="0.2">
      <c r="B5034" s="230" t="s">
        <v>2360</v>
      </c>
      <c r="C5034" s="415"/>
      <c r="D5034" s="495" t="s">
        <v>2934</v>
      </c>
      <c r="E5034" s="415" t="s">
        <v>2935</v>
      </c>
      <c r="F5034" s="415"/>
      <c r="G5034" s="415">
        <v>200000</v>
      </c>
      <c r="H5034" s="415"/>
      <c r="I5034" s="415"/>
      <c r="J5034" s="415"/>
      <c r="K5034" s="415"/>
    </row>
    <row r="5035" spans="2:11" ht="32.25" customHeight="1" x14ac:dyDescent="0.2">
      <c r="B5035" s="409" t="s">
        <v>1325</v>
      </c>
      <c r="C5035" s="104" t="s">
        <v>2721</v>
      </c>
      <c r="D5035" s="417" t="s">
        <v>2934</v>
      </c>
      <c r="E5035" s="126" t="s">
        <v>2935</v>
      </c>
      <c r="F5035" s="102">
        <v>1</v>
      </c>
      <c r="G5035" s="413">
        <v>200000</v>
      </c>
      <c r="H5035" s="416">
        <v>1</v>
      </c>
      <c r="I5035" s="103">
        <v>200000</v>
      </c>
    </row>
    <row r="5036" spans="2:11" ht="32.25" customHeight="1" x14ac:dyDescent="0.2">
      <c r="B5036" s="230" t="s">
        <v>2361</v>
      </c>
      <c r="C5036" s="415"/>
      <c r="D5036" s="473" t="s">
        <v>2936</v>
      </c>
      <c r="E5036" s="415" t="s">
        <v>1435</v>
      </c>
      <c r="F5036" s="415"/>
      <c r="G5036" s="415">
        <f>SUM(I5037:I5042)</f>
        <v>654878.70941499993</v>
      </c>
      <c r="H5036" s="415"/>
      <c r="I5036" s="415"/>
    </row>
    <row r="5037" spans="2:11" ht="24.75" customHeight="1" x14ac:dyDescent="0.2">
      <c r="B5037" s="635" t="s">
        <v>1325</v>
      </c>
      <c r="C5037" s="104" t="s">
        <v>2137</v>
      </c>
      <c r="D5037" s="417" t="s">
        <v>2138</v>
      </c>
      <c r="E5037" s="126" t="s">
        <v>1412</v>
      </c>
      <c r="F5037" s="102">
        <v>4</v>
      </c>
      <c r="G5037" s="413">
        <f>'LISTA DE INSUMOS'!E46</f>
        <v>8112.0359999999991</v>
      </c>
      <c r="H5037" s="416">
        <v>1</v>
      </c>
      <c r="I5037" s="103">
        <f t="shared" ref="I5037:I5048" si="47">H5037*G5037*F5037</f>
        <v>32448.143999999997</v>
      </c>
    </row>
    <row r="5038" spans="2:11" ht="13.5" customHeight="1" x14ac:dyDescent="0.2">
      <c r="B5038" s="635"/>
      <c r="C5038" s="104" t="s">
        <v>2074</v>
      </c>
      <c r="D5038" s="417" t="s">
        <v>2075</v>
      </c>
      <c r="E5038" s="126" t="s">
        <v>1412</v>
      </c>
      <c r="F5038" s="102">
        <v>2</v>
      </c>
      <c r="G5038" s="413">
        <f>'LISTA DE INSUMOS'!E50</f>
        <v>7285.5458999999992</v>
      </c>
      <c r="H5038" s="416">
        <v>1</v>
      </c>
      <c r="I5038" s="103">
        <f t="shared" si="47"/>
        <v>14571.091799999998</v>
      </c>
    </row>
    <row r="5039" spans="2:11" ht="21.75" customHeight="1" x14ac:dyDescent="0.2">
      <c r="B5039" s="635"/>
      <c r="C5039" s="104" t="s">
        <v>2087</v>
      </c>
      <c r="D5039" s="417" t="s">
        <v>2088</v>
      </c>
      <c r="E5039" s="126" t="s">
        <v>2069</v>
      </c>
      <c r="F5039" s="102">
        <v>0.5</v>
      </c>
      <c r="G5039" s="413">
        <f>'LISTA DE INSUMOS'!E52</f>
        <v>6690.6972299999998</v>
      </c>
      <c r="H5039" s="416">
        <v>1</v>
      </c>
      <c r="I5039" s="103">
        <f t="shared" si="47"/>
        <v>3345.3486149999999</v>
      </c>
    </row>
    <row r="5040" spans="2:11" ht="18" customHeight="1" thickBot="1" x14ac:dyDescent="0.25">
      <c r="B5040" s="639"/>
      <c r="C5040" s="104" t="s">
        <v>1577</v>
      </c>
      <c r="D5040" s="417" t="s">
        <v>53</v>
      </c>
      <c r="E5040" s="126" t="s">
        <v>1432</v>
      </c>
      <c r="F5040" s="102">
        <v>0.75</v>
      </c>
      <c r="G5040" s="413">
        <f>G544</f>
        <v>596118</v>
      </c>
      <c r="H5040" s="416">
        <v>1.05</v>
      </c>
      <c r="I5040" s="103">
        <f t="shared" si="47"/>
        <v>469442.92500000005</v>
      </c>
    </row>
    <row r="5041" spans="2:9" ht="24.75" customHeight="1" thickTop="1" thickBot="1" x14ac:dyDescent="0.25">
      <c r="B5041" s="158" t="s">
        <v>1034</v>
      </c>
      <c r="C5041" s="104" t="s">
        <v>2159</v>
      </c>
      <c r="D5041" s="417" t="s">
        <v>2160</v>
      </c>
      <c r="E5041" s="126" t="s">
        <v>2065</v>
      </c>
      <c r="F5041" s="102">
        <v>1</v>
      </c>
      <c r="G5041" s="413">
        <f>'LISTA DE INSUMOS'!E18</f>
        <v>245584</v>
      </c>
      <c r="H5041" s="416">
        <v>0.5</v>
      </c>
      <c r="I5041" s="103">
        <f t="shared" si="47"/>
        <v>122792</v>
      </c>
    </row>
    <row r="5042" spans="2:9" ht="17.25" customHeight="1" thickTop="1" x14ac:dyDescent="0.2">
      <c r="B5042" s="409" t="s">
        <v>1033</v>
      </c>
      <c r="C5042" s="104" t="s">
        <v>1017</v>
      </c>
      <c r="D5042" s="417" t="s">
        <v>1029</v>
      </c>
      <c r="E5042" s="126" t="s">
        <v>2066</v>
      </c>
      <c r="F5042" s="102">
        <v>0.1</v>
      </c>
      <c r="G5042" s="413">
        <f>+I5041</f>
        <v>122792</v>
      </c>
      <c r="H5042" s="416">
        <v>1</v>
      </c>
      <c r="I5042" s="103">
        <f t="shared" si="47"/>
        <v>12279.2</v>
      </c>
    </row>
    <row r="5043" spans="2:9" ht="32.25" customHeight="1" x14ac:dyDescent="0.2">
      <c r="B5043" s="230" t="s">
        <v>2362</v>
      </c>
      <c r="C5043" s="415"/>
      <c r="D5043" s="473" t="s">
        <v>2406</v>
      </c>
      <c r="E5043" s="415" t="s">
        <v>1412</v>
      </c>
      <c r="F5043" s="415"/>
      <c r="G5043" s="415">
        <f>SUM(I5044:I5048)</f>
        <v>760080.49244721176</v>
      </c>
      <c r="H5043" s="415"/>
      <c r="I5043" s="415"/>
    </row>
    <row r="5044" spans="2:9" ht="24.75" customHeight="1" thickBot="1" x14ac:dyDescent="0.25">
      <c r="B5044" s="418" t="s">
        <v>1325</v>
      </c>
      <c r="C5044" s="104" t="s">
        <v>1577</v>
      </c>
      <c r="D5044" s="417" t="s">
        <v>53</v>
      </c>
      <c r="E5044" s="126" t="s">
        <v>1432</v>
      </c>
      <c r="F5044" s="102">
        <v>0.95</v>
      </c>
      <c r="G5044" s="413">
        <f>+'LISTA DE INSUMOS'!E63</f>
        <v>541142.1</v>
      </c>
      <c r="H5044" s="416">
        <v>1.05</v>
      </c>
      <c r="I5044" s="103">
        <f t="shared" si="47"/>
        <v>539789.24474999995</v>
      </c>
    </row>
    <row r="5045" spans="2:9" ht="24.75" customHeight="1" thickTop="1" thickBot="1" x14ac:dyDescent="0.25">
      <c r="B5045" s="158" t="s">
        <v>1034</v>
      </c>
      <c r="C5045" s="104" t="s">
        <v>2103</v>
      </c>
      <c r="D5045" s="417" t="s">
        <v>2068</v>
      </c>
      <c r="E5045" s="126" t="s">
        <v>2065</v>
      </c>
      <c r="F5045" s="102">
        <v>1</v>
      </c>
      <c r="G5045" s="413">
        <f>+'ANÁLISIS MANO DE OBRA'!E34</f>
        <v>491167</v>
      </c>
      <c r="H5045" s="416">
        <v>0.4</v>
      </c>
      <c r="I5045" s="103">
        <f t="shared" si="47"/>
        <v>196466.80000000002</v>
      </c>
    </row>
    <row r="5046" spans="2:9" ht="15" customHeight="1" thickTop="1" x14ac:dyDescent="0.2">
      <c r="B5046" s="642" t="s">
        <v>1033</v>
      </c>
      <c r="C5046" s="104" t="s">
        <v>1017</v>
      </c>
      <c r="D5046" s="417" t="s">
        <v>1029</v>
      </c>
      <c r="E5046" s="126" t="s">
        <v>2066</v>
      </c>
      <c r="F5046" s="102">
        <v>0.1</v>
      </c>
      <c r="G5046" s="413">
        <f>+I5045</f>
        <v>196466.80000000002</v>
      </c>
      <c r="H5046" s="416">
        <v>1</v>
      </c>
      <c r="I5046" s="103">
        <f t="shared" si="47"/>
        <v>19646.680000000004</v>
      </c>
    </row>
    <row r="5047" spans="2:9" ht="18" customHeight="1" x14ac:dyDescent="0.2">
      <c r="B5047" s="643"/>
      <c r="C5047" s="104" t="s">
        <v>2201</v>
      </c>
      <c r="D5047" s="417" t="s">
        <v>2202</v>
      </c>
      <c r="E5047" s="126" t="s">
        <v>2065</v>
      </c>
      <c r="F5047" s="102">
        <v>1</v>
      </c>
      <c r="G5047" s="413">
        <f>+'LISTA DE INSUMOS'!E775</f>
        <v>42234.2781968536</v>
      </c>
      <c r="H5047" s="416">
        <v>0.05</v>
      </c>
      <c r="I5047" s="103">
        <f t="shared" si="47"/>
        <v>2111.7139098426801</v>
      </c>
    </row>
    <row r="5048" spans="2:9" ht="24.75" customHeight="1" x14ac:dyDescent="0.2">
      <c r="B5048" s="643"/>
      <c r="C5048" s="104" t="s">
        <v>2196</v>
      </c>
      <c r="D5048" s="417" t="s">
        <v>2197</v>
      </c>
      <c r="E5048" s="126" t="s">
        <v>2065</v>
      </c>
      <c r="F5048" s="102">
        <v>0.1</v>
      </c>
      <c r="G5048" s="413">
        <f>+'LISTA DE INSUMOS'!E785</f>
        <v>20660.537873689998</v>
      </c>
      <c r="H5048" s="416">
        <v>1</v>
      </c>
      <c r="I5048" s="103">
        <f t="shared" si="47"/>
        <v>2066.053787369</v>
      </c>
    </row>
    <row r="5049" spans="2:9" ht="32.25" customHeight="1" x14ac:dyDescent="0.2">
      <c r="B5049" s="230" t="s">
        <v>2363</v>
      </c>
      <c r="C5049" s="415"/>
      <c r="D5049" s="473" t="s">
        <v>2937</v>
      </c>
      <c r="E5049" s="415" t="s">
        <v>1435</v>
      </c>
      <c r="F5049" s="415"/>
      <c r="G5049" s="415">
        <f>SUM(I5050:I5054)</f>
        <v>942812.74849999987</v>
      </c>
      <c r="H5049" s="415"/>
      <c r="I5049" s="415"/>
    </row>
    <row r="5050" spans="2:9" ht="25.5" customHeight="1" x14ac:dyDescent="0.2">
      <c r="B5050" s="644" t="s">
        <v>1325</v>
      </c>
      <c r="C5050" s="104" t="s">
        <v>1577</v>
      </c>
      <c r="D5050" s="417" t="s">
        <v>53</v>
      </c>
      <c r="E5050" s="126" t="s">
        <v>1432</v>
      </c>
      <c r="F5050" s="102">
        <v>0.95</v>
      </c>
      <c r="G5050" s="413">
        <f>G544</f>
        <v>596118</v>
      </c>
      <c r="H5050" s="416">
        <v>1.05</v>
      </c>
      <c r="I5050" s="103">
        <f>H5050*G5050*F5050</f>
        <v>594627.70499999996</v>
      </c>
    </row>
    <row r="5051" spans="2:9" ht="24" customHeight="1" thickBot="1" x14ac:dyDescent="0.25">
      <c r="B5051" s="645"/>
      <c r="C5051" s="104" t="s">
        <v>1532</v>
      </c>
      <c r="D5051" s="417" t="s">
        <v>198</v>
      </c>
      <c r="E5051" s="126" t="s">
        <v>1414</v>
      </c>
      <c r="F5051" s="102">
        <v>15</v>
      </c>
      <c r="G5051" s="413">
        <f>'LISTA DE INSUMOS'!E45</f>
        <v>4605.3128999999999</v>
      </c>
      <c r="H5051" s="416">
        <v>1</v>
      </c>
      <c r="I5051" s="103">
        <f>H5051*G5051*F5051</f>
        <v>69079.693499999994</v>
      </c>
    </row>
    <row r="5052" spans="2:9" ht="20.25" customHeight="1" thickTop="1" thickBot="1" x14ac:dyDescent="0.25">
      <c r="B5052" s="158" t="s">
        <v>1034</v>
      </c>
      <c r="C5052" s="104" t="s">
        <v>2103</v>
      </c>
      <c r="D5052" s="417" t="s">
        <v>2068</v>
      </c>
      <c r="E5052" s="126" t="s">
        <v>2065</v>
      </c>
      <c r="F5052" s="102">
        <v>1</v>
      </c>
      <c r="G5052" s="413">
        <f>'LISTA DE INSUMOS'!E9</f>
        <v>491167</v>
      </c>
      <c r="H5052" s="416">
        <v>0.5</v>
      </c>
      <c r="I5052" s="103">
        <f>H5052*G5052*F5052</f>
        <v>245583.5</v>
      </c>
    </row>
    <row r="5053" spans="2:9" ht="22.5" customHeight="1" thickTop="1" x14ac:dyDescent="0.2">
      <c r="B5053" s="640" t="s">
        <v>1033</v>
      </c>
      <c r="C5053" s="104" t="s">
        <v>1017</v>
      </c>
      <c r="D5053" s="417" t="s">
        <v>1029</v>
      </c>
      <c r="E5053" s="126" t="s">
        <v>2066</v>
      </c>
      <c r="F5053" s="102">
        <v>0.1</v>
      </c>
      <c r="G5053" s="413">
        <v>89635</v>
      </c>
      <c r="H5053" s="416">
        <v>1</v>
      </c>
      <c r="I5053" s="103">
        <f>H5053*G5053*F5053</f>
        <v>8963.5</v>
      </c>
    </row>
    <row r="5054" spans="2:9" ht="19.5" customHeight="1" x14ac:dyDescent="0.2">
      <c r="B5054" s="641"/>
      <c r="C5054" s="104" t="s">
        <v>1024</v>
      </c>
      <c r="D5054" s="417" t="s">
        <v>1025</v>
      </c>
      <c r="E5054" s="126" t="str">
        <f>E5053</f>
        <v>%MO</v>
      </c>
      <c r="F5054" s="102">
        <v>0.1</v>
      </c>
      <c r="G5054" s="413">
        <f>I5052</f>
        <v>245583.5</v>
      </c>
      <c r="H5054" s="416">
        <v>1</v>
      </c>
      <c r="I5054" s="103">
        <f>H5054*G5054*F5054</f>
        <v>24558.350000000002</v>
      </c>
    </row>
    <row r="5055" spans="2:9" ht="32.25" customHeight="1" x14ac:dyDescent="0.2">
      <c r="B5055" s="230" t="s">
        <v>2364</v>
      </c>
      <c r="C5055" s="415"/>
      <c r="D5055" s="473" t="s">
        <v>2477</v>
      </c>
      <c r="E5055" s="415" t="s">
        <v>1435</v>
      </c>
      <c r="F5055" s="415"/>
      <c r="G5055" s="415">
        <f>SUM(I5056:I5062)</f>
        <v>1035542.475313371</v>
      </c>
      <c r="H5055" s="415"/>
      <c r="I5055" s="415"/>
    </row>
    <row r="5056" spans="2:9" ht="22.5" customHeight="1" x14ac:dyDescent="0.2">
      <c r="B5056" s="635" t="s">
        <v>1325</v>
      </c>
      <c r="C5056" s="104" t="s">
        <v>2198</v>
      </c>
      <c r="D5056" s="417" t="str">
        <f>'LISTA DE INSUMOS'!B43</f>
        <v>Suministro de TAPA y CUELLO MH 70 MACIZA en polipropileno 100% recuperado COLOR VERDES</v>
      </c>
      <c r="E5056" s="126" t="s">
        <v>1435</v>
      </c>
      <c r="F5056" s="102">
        <v>1</v>
      </c>
      <c r="G5056" s="413">
        <f>'LISTA DE INSUMOS'!E43</f>
        <v>850935.47531337105</v>
      </c>
      <c r="H5056" s="416">
        <v>0</v>
      </c>
      <c r="I5056" s="103">
        <f>G5056*F5056</f>
        <v>850935.47531337105</v>
      </c>
    </row>
    <row r="5057" spans="2:9" ht="21.75" customHeight="1" x14ac:dyDescent="0.2">
      <c r="B5057" s="635"/>
      <c r="C5057" s="104" t="s">
        <v>2137</v>
      </c>
      <c r="D5057" s="417" t="s">
        <v>2138</v>
      </c>
      <c r="E5057" s="126" t="s">
        <v>1412</v>
      </c>
      <c r="F5057" s="102">
        <v>6</v>
      </c>
      <c r="G5057" s="413">
        <f>'LISTA DE INSUMOS'!E46</f>
        <v>8112.0359999999991</v>
      </c>
      <c r="H5057" s="416">
        <v>0.25</v>
      </c>
      <c r="I5057" s="103">
        <v>9866</v>
      </c>
    </row>
    <row r="5058" spans="2:9" ht="20.25" customHeight="1" x14ac:dyDescent="0.2">
      <c r="B5058" s="635"/>
      <c r="C5058" s="104" t="s">
        <v>2087</v>
      </c>
      <c r="D5058" s="417" t="s">
        <v>2088</v>
      </c>
      <c r="E5058" s="126" t="s">
        <v>2069</v>
      </c>
      <c r="F5058" s="102">
        <v>1</v>
      </c>
      <c r="G5058" s="413">
        <f>'LISTA DE INSUMOS'!E52</f>
        <v>6690.6972299999998</v>
      </c>
      <c r="H5058" s="416">
        <v>0</v>
      </c>
      <c r="I5058" s="103">
        <v>2973</v>
      </c>
    </row>
    <row r="5059" spans="2:9" ht="21.75" customHeight="1" x14ac:dyDescent="0.2">
      <c r="B5059" s="635"/>
      <c r="C5059" s="104" t="s">
        <v>2189</v>
      </c>
      <c r="D5059" s="417" t="s">
        <v>2190</v>
      </c>
      <c r="E5059" s="126" t="s">
        <v>1412</v>
      </c>
      <c r="F5059" s="102">
        <v>3</v>
      </c>
      <c r="G5059" s="413">
        <f>'LISTA DE INSUMOS'!E132</f>
        <v>2979.6450687603597</v>
      </c>
      <c r="H5059" s="416">
        <v>0.5</v>
      </c>
      <c r="I5059" s="103">
        <v>2753</v>
      </c>
    </row>
    <row r="5060" spans="2:9" ht="18" customHeight="1" thickBot="1" x14ac:dyDescent="0.25">
      <c r="B5060" s="639"/>
      <c r="C5060" s="104" t="s">
        <v>1577</v>
      </c>
      <c r="D5060" s="417" t="s">
        <v>53</v>
      </c>
      <c r="E5060" s="126" t="s">
        <v>1432</v>
      </c>
      <c r="F5060" s="102">
        <v>0.3</v>
      </c>
      <c r="G5060" s="413">
        <f>G544</f>
        <v>596118</v>
      </c>
      <c r="H5060" s="416">
        <v>1.05</v>
      </c>
      <c r="I5060" s="103">
        <v>114238</v>
      </c>
    </row>
    <row r="5061" spans="2:9" ht="25.5" customHeight="1" thickTop="1" thickBot="1" x14ac:dyDescent="0.25">
      <c r="B5061" s="158" t="s">
        <v>1034</v>
      </c>
      <c r="C5061" s="104" t="s">
        <v>2091</v>
      </c>
      <c r="D5061" s="417" t="s">
        <v>2092</v>
      </c>
      <c r="E5061" s="126" t="s">
        <v>2065</v>
      </c>
      <c r="F5061" s="102">
        <v>1</v>
      </c>
      <c r="G5061" s="413">
        <f>'LISTA DE INSUMOS'!E17</f>
        <v>654890</v>
      </c>
      <c r="H5061" s="416">
        <v>0.125</v>
      </c>
      <c r="I5061" s="103">
        <v>49797</v>
      </c>
    </row>
    <row r="5062" spans="2:9" ht="18" customHeight="1" thickTop="1" x14ac:dyDescent="0.2">
      <c r="B5062" s="409" t="s">
        <v>1033</v>
      </c>
      <c r="C5062" s="104" t="s">
        <v>1017</v>
      </c>
      <c r="D5062" s="417" t="s">
        <v>1029</v>
      </c>
      <c r="E5062" s="126" t="s">
        <v>2066</v>
      </c>
      <c r="F5062" s="102">
        <v>0.1</v>
      </c>
      <c r="G5062" s="413">
        <f>I5061</f>
        <v>49797</v>
      </c>
      <c r="H5062" s="416">
        <v>0</v>
      </c>
      <c r="I5062" s="103">
        <v>4980</v>
      </c>
    </row>
    <row r="5063" spans="2:9" ht="36.75" customHeight="1" x14ac:dyDescent="0.2">
      <c r="B5063" s="230" t="s">
        <v>2365</v>
      </c>
      <c r="C5063" s="414"/>
      <c r="D5063" s="112" t="s">
        <v>2667</v>
      </c>
      <c r="E5063" s="117" t="s">
        <v>1424</v>
      </c>
      <c r="F5063" s="149"/>
      <c r="G5063" s="119">
        <f>SUM(I5064:I5067)</f>
        <v>99119</v>
      </c>
      <c r="H5063" s="120"/>
      <c r="I5063" s="119"/>
    </row>
    <row r="5064" spans="2:9" ht="27" customHeight="1" x14ac:dyDescent="0.2">
      <c r="B5064" s="635" t="s">
        <v>1325</v>
      </c>
      <c r="C5064" s="108" t="str">
        <f>'LISTA DE INSUMOS'!A109</f>
        <v>MAT069</v>
      </c>
      <c r="D5064" s="139" t="str">
        <f>'LISTA DE INSUMOS'!B111</f>
        <v>Cerrojo Seguridad 170 1/4 Plus Llave-Llave Dorado</v>
      </c>
      <c r="E5064" s="108" t="str">
        <f>'LISTA DE INSUMOS'!C109</f>
        <v>Un</v>
      </c>
      <c r="F5064" s="140">
        <v>1</v>
      </c>
      <c r="G5064" s="141">
        <f>'LISTA DE INSUMOS'!E111</f>
        <v>183336.08999999997</v>
      </c>
      <c r="H5064" s="108">
        <f>1/5</f>
        <v>0.2</v>
      </c>
      <c r="I5064" s="141">
        <f>ROUND((F5064*G5064*H5064),0)</f>
        <v>36667</v>
      </c>
    </row>
    <row r="5065" spans="2:9" ht="27.75" customHeight="1" thickBot="1" x14ac:dyDescent="0.25">
      <c r="B5065" s="635"/>
      <c r="C5065" s="108" t="s">
        <v>558</v>
      </c>
      <c r="D5065" s="139" t="str">
        <f>'LISTA DE INSUMOS'!B73</f>
        <v>Barniz intemperie brillante</v>
      </c>
      <c r="E5065" s="108" t="s">
        <v>2156</v>
      </c>
      <c r="F5065" s="140">
        <v>1</v>
      </c>
      <c r="G5065" s="141">
        <f>'LISTA DE INSUMOS'!E73</f>
        <v>69711.851420999985</v>
      </c>
      <c r="H5065" s="108">
        <f>1/4</f>
        <v>0.25</v>
      </c>
      <c r="I5065" s="141">
        <f>ROUND((F5065*G5065*H5065),0)</f>
        <v>17428</v>
      </c>
    </row>
    <row r="5066" spans="2:9" ht="15.75" customHeight="1" thickTop="1" thickBot="1" x14ac:dyDescent="0.25">
      <c r="B5066" s="153" t="s">
        <v>1034</v>
      </c>
      <c r="C5066" s="108" t="s">
        <v>2159</v>
      </c>
      <c r="D5066" s="139" t="str">
        <f>'LISTA DE INSUMOS'!B18</f>
        <v>Cuadrilla E 1 Of + 1 Ay (jornal + prestaciones)</v>
      </c>
      <c r="E5066" s="108" t="s">
        <v>1074</v>
      </c>
      <c r="F5066" s="140">
        <v>1</v>
      </c>
      <c r="G5066" s="141">
        <f>'LISTA DE INSUMOS'!E18</f>
        <v>245584</v>
      </c>
      <c r="H5066" s="108">
        <f>1/6</f>
        <v>0.16666666666666666</v>
      </c>
      <c r="I5066" s="141">
        <f>ROUND((F5066*G5066*H5066),0)</f>
        <v>40931</v>
      </c>
    </row>
    <row r="5067" spans="2:9" ht="21.75" customHeight="1" thickTop="1" thickBot="1" x14ac:dyDescent="0.25">
      <c r="B5067" s="150" t="s">
        <v>1033</v>
      </c>
      <c r="C5067" s="151" t="s">
        <v>1017</v>
      </c>
      <c r="D5067" s="146" t="str">
        <f>'LISTA DE INSUMOS'!B758</f>
        <v>Herramienta menor (% mano obra)</v>
      </c>
      <c r="E5067" s="145" t="str">
        <f>'LISTA DE INSUMOS'!C758</f>
        <v>%MO</v>
      </c>
      <c r="F5067" s="147">
        <v>0.1</v>
      </c>
      <c r="G5067" s="148">
        <f>I5066</f>
        <v>40931</v>
      </c>
      <c r="H5067" s="145">
        <v>0</v>
      </c>
      <c r="I5067" s="148">
        <f>ROUND((F5067*G5067),0)</f>
        <v>4093</v>
      </c>
    </row>
    <row r="5068" spans="2:9" ht="42.75" customHeight="1" x14ac:dyDescent="0.2">
      <c r="B5068" s="262" t="s">
        <v>2366</v>
      </c>
      <c r="C5068" s="105"/>
      <c r="D5068" s="257" t="s">
        <v>2670</v>
      </c>
      <c r="E5068" s="410" t="s">
        <v>2666</v>
      </c>
      <c r="F5068" s="411"/>
      <c r="G5068" s="412">
        <f>SUM(I5069:I5074)</f>
        <v>28249</v>
      </c>
      <c r="H5068" s="105"/>
      <c r="I5068" s="412"/>
    </row>
    <row r="5069" spans="2:9" ht="19.5" customHeight="1" x14ac:dyDescent="0.2">
      <c r="B5069" s="635" t="s">
        <v>1325</v>
      </c>
      <c r="C5069" s="104" t="s">
        <v>2137</v>
      </c>
      <c r="D5069" s="104" t="s">
        <v>2138</v>
      </c>
      <c r="E5069" s="126" t="s">
        <v>1412</v>
      </c>
      <c r="F5069" s="102">
        <v>1</v>
      </c>
      <c r="G5069" s="103">
        <f>'LISTA DE INSUMOS'!E46</f>
        <v>8112.0359999999991</v>
      </c>
      <c r="H5069" s="104">
        <v>0.33</v>
      </c>
      <c r="I5069" s="141">
        <f>ROUND((F5069*G5069*H5069),0)</f>
        <v>2677</v>
      </c>
    </row>
    <row r="5070" spans="2:9" ht="19.5" customHeight="1" x14ac:dyDescent="0.2">
      <c r="B5070" s="635"/>
      <c r="C5070" s="104" t="s">
        <v>2087</v>
      </c>
      <c r="D5070" s="104" t="s">
        <v>2088</v>
      </c>
      <c r="E5070" s="126" t="s">
        <v>2069</v>
      </c>
      <c r="F5070" s="102">
        <v>1</v>
      </c>
      <c r="G5070" s="103">
        <f>'LISTA DE INSUMOS'!E52</f>
        <v>6690.6972299999998</v>
      </c>
      <c r="H5070" s="104">
        <v>0.33</v>
      </c>
      <c r="I5070" s="141">
        <f t="shared" ref="I5070:I5074" si="48">ROUND((F5070*G5070*H5070),0)</f>
        <v>2208</v>
      </c>
    </row>
    <row r="5071" spans="2:9" ht="19.5" customHeight="1" x14ac:dyDescent="0.2">
      <c r="B5071" s="451"/>
      <c r="C5071" s="104" t="s">
        <v>2089</v>
      </c>
      <c r="D5071" s="104" t="s">
        <v>2529</v>
      </c>
      <c r="E5071" s="126" t="s">
        <v>1414</v>
      </c>
      <c r="F5071" s="102">
        <v>0.1</v>
      </c>
      <c r="G5071" s="103">
        <f>'LISTA DE INSUMOS'!E53</f>
        <v>7948.98</v>
      </c>
      <c r="H5071" s="104">
        <v>0.33</v>
      </c>
      <c r="I5071" s="141">
        <f t="shared" si="48"/>
        <v>262</v>
      </c>
    </row>
    <row r="5072" spans="2:9" ht="19.5" customHeight="1" thickBot="1" x14ac:dyDescent="0.25">
      <c r="B5072" s="262" t="s">
        <v>1310</v>
      </c>
      <c r="C5072" s="104" t="s">
        <v>1577</v>
      </c>
      <c r="D5072" s="280" t="str">
        <f>D544</f>
        <v>Concreto de 20,7 Mpa (3000 psi) (producción)</v>
      </c>
      <c r="E5072" s="126" t="s">
        <v>1432</v>
      </c>
      <c r="F5072" s="102">
        <v>1</v>
      </c>
      <c r="G5072" s="103">
        <f>+'LISTA DE INSUMOS'!E63</f>
        <v>541142.1</v>
      </c>
      <c r="H5072" s="104">
        <v>0.02</v>
      </c>
      <c r="I5072" s="141">
        <f t="shared" si="48"/>
        <v>10823</v>
      </c>
    </row>
    <row r="5073" spans="2:9" ht="19.5" customHeight="1" thickTop="1" thickBot="1" x14ac:dyDescent="0.25">
      <c r="B5073" s="153" t="s">
        <v>1034</v>
      </c>
      <c r="C5073" s="104" t="s">
        <v>2103</v>
      </c>
      <c r="D5073" s="104" t="s">
        <v>2068</v>
      </c>
      <c r="E5073" s="126" t="s">
        <v>2065</v>
      </c>
      <c r="F5073" s="102">
        <v>1</v>
      </c>
      <c r="G5073" s="103">
        <f>'LISTA DE INSUMOS'!E9</f>
        <v>491167</v>
      </c>
      <c r="H5073" s="104">
        <v>2.5000000000000001E-2</v>
      </c>
      <c r="I5073" s="141">
        <f t="shared" si="48"/>
        <v>12279</v>
      </c>
    </row>
    <row r="5074" spans="2:9" ht="19.5" customHeight="1" thickTop="1" thickBot="1" x14ac:dyDescent="0.25">
      <c r="B5074" s="150" t="s">
        <v>1033</v>
      </c>
      <c r="C5074" s="104" t="s">
        <v>1017</v>
      </c>
      <c r="D5074" s="104" t="s">
        <v>1029</v>
      </c>
      <c r="E5074" s="126" t="s">
        <v>2066</v>
      </c>
      <c r="F5074" s="102">
        <v>0.1</v>
      </c>
      <c r="G5074" s="103">
        <f>+I5073</f>
        <v>12279</v>
      </c>
      <c r="H5074" s="104">
        <v>0</v>
      </c>
      <c r="I5074" s="141">
        <f t="shared" si="48"/>
        <v>0</v>
      </c>
    </row>
    <row r="5075" spans="2:9" ht="36.75" customHeight="1" x14ac:dyDescent="0.2">
      <c r="B5075" s="230" t="s">
        <v>2367</v>
      </c>
      <c r="C5075" s="105"/>
      <c r="D5075" s="257" t="s">
        <v>2671</v>
      </c>
      <c r="E5075" s="410" t="s">
        <v>1435</v>
      </c>
      <c r="F5075" s="411"/>
      <c r="G5075" s="412">
        <f>SUM(I5076:I5081)</f>
        <v>29843.858579840002</v>
      </c>
      <c r="H5075" s="105"/>
      <c r="I5075" s="412"/>
    </row>
    <row r="5076" spans="2:9" ht="19.5" customHeight="1" x14ac:dyDescent="0.2">
      <c r="B5076" s="635" t="s">
        <v>1325</v>
      </c>
      <c r="C5076" s="104" t="s">
        <v>863</v>
      </c>
      <c r="D5076" s="104" t="s">
        <v>50</v>
      </c>
      <c r="E5076" s="126" t="s">
        <v>1412</v>
      </c>
      <c r="F5076" s="102">
        <v>0.5</v>
      </c>
      <c r="G5076" s="103">
        <f>'LISTA DE INSUMOS'!E86</f>
        <v>4433.0849999999991</v>
      </c>
      <c r="H5076" s="104">
        <v>0</v>
      </c>
      <c r="I5076" s="103">
        <f>G5076*F5076</f>
        <v>2216.5424999999996</v>
      </c>
    </row>
    <row r="5077" spans="2:9" ht="19.5" customHeight="1" x14ac:dyDescent="0.2">
      <c r="B5077" s="635"/>
      <c r="C5077" s="104" t="s">
        <v>892</v>
      </c>
      <c r="D5077" s="104" t="s">
        <v>893</v>
      </c>
      <c r="E5077" s="126" t="s">
        <v>1435</v>
      </c>
      <c r="F5077" s="102">
        <v>1</v>
      </c>
      <c r="G5077" s="103">
        <f>'LISTA DE INSUMOS'!E254</f>
        <v>21030.05343516</v>
      </c>
      <c r="H5077" s="104">
        <v>0</v>
      </c>
      <c r="I5077" s="103">
        <f>G5077*F5077</f>
        <v>21030.05343516</v>
      </c>
    </row>
    <row r="5078" spans="2:9" ht="19.5" customHeight="1" x14ac:dyDescent="0.2">
      <c r="B5078" s="507"/>
      <c r="C5078" s="104" t="s">
        <v>878</v>
      </c>
      <c r="D5078" s="104" t="s">
        <v>879</v>
      </c>
      <c r="E5078" s="126" t="s">
        <v>1435</v>
      </c>
      <c r="F5078" s="102">
        <v>1</v>
      </c>
      <c r="G5078" s="103">
        <f>'LISTA DE INSUMOS'!E290</f>
        <v>1997.2676446799999</v>
      </c>
      <c r="H5078" s="104">
        <v>0</v>
      </c>
      <c r="I5078" s="103">
        <f>G5078*F5078</f>
        <v>1997.2676446799999</v>
      </c>
    </row>
    <row r="5079" spans="2:9" ht="19.5" customHeight="1" x14ac:dyDescent="0.2">
      <c r="B5079" s="262" t="s">
        <v>1310</v>
      </c>
      <c r="C5079" s="104" t="s">
        <v>1535</v>
      </c>
      <c r="D5079" s="104" t="s">
        <v>1756</v>
      </c>
      <c r="E5079" s="126" t="s">
        <v>1432</v>
      </c>
      <c r="F5079" s="102">
        <v>2E-3</v>
      </c>
      <c r="G5079" s="103">
        <f>G574</f>
        <v>580906</v>
      </c>
      <c r="H5079" s="104">
        <v>1.05</v>
      </c>
      <c r="I5079" s="103">
        <f>G5079*F5079</f>
        <v>1161.8120000000001</v>
      </c>
    </row>
    <row r="5080" spans="2:9" ht="19.5" customHeight="1" x14ac:dyDescent="0.2">
      <c r="B5080" s="452" t="s">
        <v>1034</v>
      </c>
      <c r="C5080" s="104" t="s">
        <v>276</v>
      </c>
      <c r="D5080" s="104" t="s">
        <v>1368</v>
      </c>
      <c r="E5080" s="126" t="s">
        <v>2065</v>
      </c>
      <c r="F5080" s="102">
        <v>1</v>
      </c>
      <c r="G5080" s="103">
        <f>'LISTA DE INSUMOS'!E11</f>
        <v>163723</v>
      </c>
      <c r="H5080" s="104">
        <v>0.02</v>
      </c>
      <c r="I5080" s="103">
        <f>H5080*G5080*F5080</f>
        <v>3274.46</v>
      </c>
    </row>
    <row r="5081" spans="2:9" ht="19.5" customHeight="1" x14ac:dyDescent="0.2">
      <c r="B5081" s="338" t="s">
        <v>1033</v>
      </c>
      <c r="C5081" s="104" t="s">
        <v>1017</v>
      </c>
      <c r="D5081" s="104" t="s">
        <v>1029</v>
      </c>
      <c r="E5081" s="126" t="s">
        <v>2066</v>
      </c>
      <c r="F5081" s="102">
        <v>0.05</v>
      </c>
      <c r="G5081" s="103">
        <f>I5080</f>
        <v>3274.46</v>
      </c>
      <c r="H5081" s="104">
        <v>0</v>
      </c>
      <c r="I5081" s="103">
        <f>G5081*F5081</f>
        <v>163.72300000000001</v>
      </c>
    </row>
    <row r="5082" spans="2:9" ht="19.5" customHeight="1" x14ac:dyDescent="0.2">
      <c r="B5082" s="230" t="s">
        <v>2368</v>
      </c>
      <c r="C5082" s="105"/>
      <c r="D5082" s="251" t="s">
        <v>2673</v>
      </c>
      <c r="E5082" s="410" t="s">
        <v>1435</v>
      </c>
      <c r="F5082" s="411"/>
      <c r="G5082" s="412">
        <f>SUM(I5083:I5086)</f>
        <v>630295.31117</v>
      </c>
      <c r="H5082" s="105"/>
      <c r="I5082" s="412"/>
    </row>
    <row r="5083" spans="2:9" ht="19.5" customHeight="1" x14ac:dyDescent="0.2">
      <c r="B5083" s="451" t="s">
        <v>1325</v>
      </c>
      <c r="C5083" s="104" t="s">
        <v>885</v>
      </c>
      <c r="D5083" s="280" t="str">
        <f>'LISTA DE INSUMOS'!B486</f>
        <v xml:space="preserve">Lampara Led Solar Alumbrado Público 100w </v>
      </c>
      <c r="E5083" s="126" t="s">
        <v>1435</v>
      </c>
      <c r="F5083" s="102">
        <v>1</v>
      </c>
      <c r="G5083" s="103">
        <f>'LISTA DE INSUMOS'!E486</f>
        <v>499316.91116999998</v>
      </c>
      <c r="H5083" s="104">
        <v>0</v>
      </c>
      <c r="I5083" s="103">
        <f>G5083*F5083</f>
        <v>499316.91116999998</v>
      </c>
    </row>
    <row r="5084" spans="2:9" ht="19.5" customHeight="1" x14ac:dyDescent="0.2">
      <c r="B5084" s="452" t="s">
        <v>1034</v>
      </c>
      <c r="C5084" s="104" t="s">
        <v>276</v>
      </c>
      <c r="D5084" s="280" t="str">
        <f>'LISTA DE INSUMOS'!B11</f>
        <v>Oficial eléctrico (jornal + prestaciones)</v>
      </c>
      <c r="E5084" s="126" t="s">
        <v>1074</v>
      </c>
      <c r="F5084" s="102">
        <v>1</v>
      </c>
      <c r="G5084" s="103">
        <f>'LISTA DE INSUMOS'!E11</f>
        <v>163723</v>
      </c>
      <c r="H5084" s="104">
        <v>0.5</v>
      </c>
      <c r="I5084" s="103">
        <f>H5084*G5084*F5084</f>
        <v>81861.5</v>
      </c>
    </row>
    <row r="5085" spans="2:9" ht="19.5" customHeight="1" x14ac:dyDescent="0.2">
      <c r="B5085" s="338" t="s">
        <v>1033</v>
      </c>
      <c r="C5085" s="104" t="s">
        <v>1017</v>
      </c>
      <c r="D5085" s="104" t="s">
        <v>1029</v>
      </c>
      <c r="E5085" s="126" t="s">
        <v>2066</v>
      </c>
      <c r="F5085" s="102">
        <v>0.1</v>
      </c>
      <c r="G5085" s="103">
        <f>I5084</f>
        <v>81861.5</v>
      </c>
      <c r="H5085" s="104">
        <v>0</v>
      </c>
      <c r="I5085" s="103">
        <f>G5085*F5085</f>
        <v>8186.1500000000005</v>
      </c>
    </row>
    <row r="5086" spans="2:9" ht="19.5" customHeight="1" x14ac:dyDescent="0.2">
      <c r="B5086" s="338"/>
      <c r="C5086" s="104" t="s">
        <v>2081</v>
      </c>
      <c r="D5086" s="104" t="s">
        <v>1030</v>
      </c>
      <c r="E5086" s="126" t="s">
        <v>2066</v>
      </c>
      <c r="F5086" s="102">
        <v>0.5</v>
      </c>
      <c r="G5086" s="103">
        <f>I5084</f>
        <v>81861.5</v>
      </c>
      <c r="H5086" s="104">
        <v>0</v>
      </c>
      <c r="I5086" s="103">
        <f>G5086*F5086</f>
        <v>40930.75</v>
      </c>
    </row>
    <row r="5087" spans="2:9" ht="41.25" customHeight="1" x14ac:dyDescent="0.2">
      <c r="B5087" s="230" t="s">
        <v>2369</v>
      </c>
      <c r="C5087" s="105"/>
      <c r="D5087" s="257" t="s">
        <v>2674</v>
      </c>
      <c r="E5087" s="410" t="s">
        <v>1435</v>
      </c>
      <c r="F5087" s="411"/>
      <c r="G5087" s="412">
        <f>SUM(I5088:I5092)</f>
        <v>212662.26499341201</v>
      </c>
      <c r="H5087" s="105"/>
      <c r="I5087" s="412"/>
    </row>
    <row r="5088" spans="2:9" ht="19.5" customHeight="1" x14ac:dyDescent="0.2">
      <c r="B5088" s="660" t="s">
        <v>1325</v>
      </c>
      <c r="C5088" s="104" t="str">
        <f>'LISTA DE INSUMOS'!A485</f>
        <v>MAT504</v>
      </c>
      <c r="D5088" s="280" t="str">
        <f>'LISTA DE INSUMOS'!B485</f>
        <v>Lampara Panel Led Incrustar 60x60 46W Blanca</v>
      </c>
      <c r="E5088" s="126" t="s">
        <v>1435</v>
      </c>
      <c r="F5088" s="102">
        <v>1</v>
      </c>
      <c r="G5088" s="103">
        <f>'LISTA DE INSUMOS'!E485</f>
        <v>158054.36249341202</v>
      </c>
      <c r="H5088" s="104">
        <v>0</v>
      </c>
      <c r="I5088" s="103">
        <f>G5088*F5088</f>
        <v>158054.36249341202</v>
      </c>
    </row>
    <row r="5089" spans="1:9" ht="19.5" customHeight="1" x14ac:dyDescent="0.2">
      <c r="B5089" s="660"/>
      <c r="C5089" s="104" t="s">
        <v>863</v>
      </c>
      <c r="D5089" s="280" t="str">
        <f>'LISTA DE INSUMOS'!B86</f>
        <v>Cinta aislante 3/4 15m 18mm</v>
      </c>
      <c r="E5089" s="126" t="s">
        <v>1435</v>
      </c>
      <c r="F5089" s="102">
        <v>0.5</v>
      </c>
      <c r="G5089" s="103">
        <f>'LISTA DE INSUMOS'!E86</f>
        <v>4433.0849999999991</v>
      </c>
      <c r="H5089" s="104">
        <v>1</v>
      </c>
      <c r="I5089" s="103">
        <f>G5089*F5089</f>
        <v>2216.5424999999996</v>
      </c>
    </row>
    <row r="5090" spans="1:9" ht="19.5" customHeight="1" x14ac:dyDescent="0.2">
      <c r="B5090" s="452" t="s">
        <v>1034</v>
      </c>
      <c r="C5090" s="104" t="s">
        <v>276</v>
      </c>
      <c r="D5090" s="280" t="str">
        <f>'LISTA DE INSUMOS'!B11</f>
        <v>Oficial eléctrico (jornal + prestaciones)</v>
      </c>
      <c r="E5090" s="126" t="s">
        <v>1074</v>
      </c>
      <c r="F5090" s="102">
        <v>1</v>
      </c>
      <c r="G5090" s="103">
        <f>'LISTA DE INSUMOS'!E11</f>
        <v>163723</v>
      </c>
      <c r="H5090" s="104">
        <v>0.2</v>
      </c>
      <c r="I5090" s="103">
        <f>H5090*G5090*F5090</f>
        <v>32744.600000000002</v>
      </c>
    </row>
    <row r="5091" spans="1:9" ht="19.5" customHeight="1" x14ac:dyDescent="0.2">
      <c r="B5091" s="338" t="s">
        <v>1033</v>
      </c>
      <c r="C5091" s="104" t="s">
        <v>2134</v>
      </c>
      <c r="D5091" s="104" t="s">
        <v>1029</v>
      </c>
      <c r="E5091" s="126" t="s">
        <v>2066</v>
      </c>
      <c r="F5091" s="102">
        <v>0.1</v>
      </c>
      <c r="G5091" s="103">
        <f>I5090</f>
        <v>32744.600000000002</v>
      </c>
      <c r="H5091" s="104">
        <v>1</v>
      </c>
      <c r="I5091" s="103">
        <f>G5091*F5091</f>
        <v>3274.4600000000005</v>
      </c>
    </row>
    <row r="5092" spans="1:9" ht="19.5" customHeight="1" x14ac:dyDescent="0.2">
      <c r="B5092" s="338"/>
      <c r="C5092" s="104" t="s">
        <v>1072</v>
      </c>
      <c r="D5092" s="104" t="s">
        <v>1030</v>
      </c>
      <c r="E5092" s="126" t="s">
        <v>2066</v>
      </c>
      <c r="F5092" s="102">
        <v>0.5</v>
      </c>
      <c r="G5092" s="103">
        <f>I5090</f>
        <v>32744.600000000002</v>
      </c>
      <c r="H5092" s="104">
        <v>1</v>
      </c>
      <c r="I5092" s="103">
        <f>G5092*F5092</f>
        <v>16372.300000000001</v>
      </c>
    </row>
    <row r="5093" spans="1:9" ht="19.5" customHeight="1" x14ac:dyDescent="0.2">
      <c r="A5093" s="453"/>
      <c r="B5093" s="230" t="s">
        <v>2370</v>
      </c>
      <c r="C5093" s="105"/>
      <c r="D5093" s="251" t="s">
        <v>2685</v>
      </c>
      <c r="E5093" s="410" t="s">
        <v>1424</v>
      </c>
      <c r="F5093" s="411"/>
      <c r="G5093" s="412">
        <f>SUM(I5094:I5098)</f>
        <v>32729.262279651241</v>
      </c>
      <c r="H5093" s="105"/>
      <c r="I5093" s="412"/>
    </row>
    <row r="5094" spans="1:9" ht="19.5" customHeight="1" x14ac:dyDescent="0.2">
      <c r="B5094" s="451" t="s">
        <v>1325</v>
      </c>
      <c r="C5094" s="104" t="str">
        <f>'LISTA DE INSUMOS'!A271</f>
        <v>MAT241</v>
      </c>
      <c r="D5094" s="280" t="str">
        <f>'LISTA DE INSUMOS'!B271</f>
        <v>Imprimante referencia 3501 o similar</v>
      </c>
      <c r="E5094" s="126" t="s">
        <v>2156</v>
      </c>
      <c r="F5094" s="102">
        <v>3.3000000000000002E-2</v>
      </c>
      <c r="G5094" s="103">
        <f>'LISTA DE INSUMOS'!E271</f>
        <v>195620.36761516586</v>
      </c>
      <c r="H5094" s="104">
        <v>1.03</v>
      </c>
      <c r="I5094" s="103">
        <f>F5094*G5094*H5094</f>
        <v>6649.1362952394884</v>
      </c>
    </row>
    <row r="5095" spans="1:9" ht="19.5" customHeight="1" x14ac:dyDescent="0.2">
      <c r="B5095" s="451"/>
      <c r="C5095" s="104" t="str">
        <f>'LISTA DE INSUMOS'!A266</f>
        <v>MAT236</v>
      </c>
      <c r="D5095" s="280" t="str">
        <f>'LISTA DE INSUMOS'!B266</f>
        <v>Calfos</v>
      </c>
      <c r="E5095" s="126" t="s">
        <v>1414</v>
      </c>
      <c r="F5095" s="102">
        <v>0.41599999999999998</v>
      </c>
      <c r="G5095" s="103">
        <f>'LISTA DE INSUMOS'!E266</f>
        <v>672.63274819540788</v>
      </c>
      <c r="H5095" s="104">
        <v>1.05</v>
      </c>
      <c r="I5095" s="103">
        <f>F5095*G5095*H5095</f>
        <v>293.80598441175414</v>
      </c>
    </row>
    <row r="5096" spans="1:9" ht="19.5" customHeight="1" x14ac:dyDescent="0.2">
      <c r="B5096" s="452" t="s">
        <v>1034</v>
      </c>
      <c r="C5096" s="104" t="str">
        <f>'LISTA DE INSUMOS'!A18</f>
        <v>MOB015</v>
      </c>
      <c r="D5096" s="280" t="str">
        <f>'LISTA DE INSUMOS'!B18</f>
        <v>Cuadrilla E 1 Of + 1 Ay (jornal + prestaciones)</v>
      </c>
      <c r="E5096" s="126" t="s">
        <v>2065</v>
      </c>
      <c r="F5096" s="102">
        <v>1</v>
      </c>
      <c r="G5096" s="103">
        <f>'LISTA DE INSUMOS'!E18</f>
        <v>245584</v>
      </c>
      <c r="H5096" s="104">
        <v>0.05</v>
      </c>
      <c r="I5096" s="103">
        <f>F5096*G5096*H5096</f>
        <v>12279.2</v>
      </c>
    </row>
    <row r="5097" spans="1:9" ht="19.5" customHeight="1" x14ac:dyDescent="0.2">
      <c r="B5097" s="338" t="s">
        <v>1033</v>
      </c>
      <c r="C5097" s="104" t="s">
        <v>1017</v>
      </c>
      <c r="D5097" s="104" t="s">
        <v>1029</v>
      </c>
      <c r="E5097" s="126" t="s">
        <v>2066</v>
      </c>
      <c r="F5097" s="102">
        <v>0.1</v>
      </c>
      <c r="G5097" s="103">
        <f>I5096</f>
        <v>12279.2</v>
      </c>
      <c r="H5097" s="104">
        <v>1</v>
      </c>
      <c r="I5097" s="103">
        <f>F5097*G5097*H5097</f>
        <v>1227.92</v>
      </c>
    </row>
    <row r="5098" spans="1:9" ht="19.5" customHeight="1" x14ac:dyDescent="0.2">
      <c r="B5098" s="338"/>
      <c r="C5098" s="104" t="s">
        <v>2081</v>
      </c>
      <c r="D5098" s="104" t="s">
        <v>1030</v>
      </c>
      <c r="E5098" s="126" t="s">
        <v>2066</v>
      </c>
      <c r="F5098" s="102">
        <v>1</v>
      </c>
      <c r="G5098" s="103">
        <f>I5096</f>
        <v>12279.2</v>
      </c>
      <c r="H5098" s="104">
        <v>1</v>
      </c>
      <c r="I5098" s="103">
        <f>F5098*G5098*H5098</f>
        <v>12279.2</v>
      </c>
    </row>
    <row r="5099" spans="1:9" ht="19.5" customHeight="1" x14ac:dyDescent="0.2">
      <c r="B5099" s="230" t="s">
        <v>2371</v>
      </c>
      <c r="C5099" s="105"/>
      <c r="D5099" s="251" t="s">
        <v>2678</v>
      </c>
      <c r="E5099" s="410" t="s">
        <v>1435</v>
      </c>
      <c r="F5099" s="411"/>
      <c r="G5099" s="412">
        <f>SUM(I5100:I5102)</f>
        <v>6001.5162679999994</v>
      </c>
      <c r="H5099" s="105"/>
      <c r="I5099" s="412"/>
    </row>
    <row r="5100" spans="1:9" ht="19.5" customHeight="1" x14ac:dyDescent="0.2">
      <c r="B5100" s="451" t="s">
        <v>1325</v>
      </c>
      <c r="C5100" s="104" t="str">
        <f>'LISTA DE INSUMOS'!A153</f>
        <v>MAT112</v>
      </c>
      <c r="D5100" s="280" t="str">
        <f>'LISTA DE INSUMOS'!B153</f>
        <v>Pintura esmalte para exteriores</v>
      </c>
      <c r="E5100" s="126" t="s">
        <v>1424</v>
      </c>
      <c r="F5100" s="102">
        <v>0.04</v>
      </c>
      <c r="G5100" s="103">
        <f>'LISTA DE INSUMOS'!E153</f>
        <v>99769.889999999985</v>
      </c>
      <c r="H5100" s="104">
        <v>1.03</v>
      </c>
      <c r="I5100" s="103">
        <f>H5100*G5100*F5100</f>
        <v>4110.5194679999995</v>
      </c>
    </row>
    <row r="5101" spans="1:9" ht="19.5" customHeight="1" x14ac:dyDescent="0.2">
      <c r="B5101" s="452" t="s">
        <v>1034</v>
      </c>
      <c r="C5101" s="104" t="str">
        <f>'LISTA DE INSUMOS'!A18</f>
        <v>MOB015</v>
      </c>
      <c r="D5101" s="280" t="str">
        <f>'LISTA DE INSUMOS'!B18</f>
        <v>Cuadrilla E 1 Of + 1 Ay (jornal + prestaciones)</v>
      </c>
      <c r="E5101" s="126" t="s">
        <v>2065</v>
      </c>
      <c r="F5101" s="102">
        <v>1</v>
      </c>
      <c r="G5101" s="103">
        <f>'LISTA DE INSUMOS'!E18</f>
        <v>245584</v>
      </c>
      <c r="H5101" s="104">
        <v>7.0000000000000001E-3</v>
      </c>
      <c r="I5101" s="103">
        <f>H5101*G5101*F5101</f>
        <v>1719.088</v>
      </c>
    </row>
    <row r="5102" spans="1:9" ht="19.5" customHeight="1" x14ac:dyDescent="0.2">
      <c r="B5102" s="338" t="s">
        <v>1033</v>
      </c>
      <c r="C5102" s="104" t="str">
        <f>'LISTA DE INSUMOS'!A758</f>
        <v>EQU002</v>
      </c>
      <c r="D5102" s="280" t="str">
        <f>'LISTA DE INSUMOS'!B758</f>
        <v>Herramienta menor (% mano obra)</v>
      </c>
      <c r="E5102" s="126" t="s">
        <v>2066</v>
      </c>
      <c r="F5102" s="102">
        <v>0.1</v>
      </c>
      <c r="G5102" s="103">
        <f>I5101</f>
        <v>1719.088</v>
      </c>
      <c r="H5102" s="104">
        <v>1</v>
      </c>
      <c r="I5102" s="103">
        <f>H5102*G5102*F5102</f>
        <v>171.90880000000001</v>
      </c>
    </row>
    <row r="5103" spans="1:9" ht="37.5" customHeight="1" x14ac:dyDescent="0.2">
      <c r="B5103" s="230" t="s">
        <v>2372</v>
      </c>
      <c r="C5103" s="105"/>
      <c r="D5103" s="257" t="s">
        <v>3035</v>
      </c>
      <c r="E5103" s="410" t="s">
        <v>2666</v>
      </c>
      <c r="F5103" s="411"/>
      <c r="G5103" s="412">
        <f>SUM(I5104:I5109)</f>
        <v>47646.763022666666</v>
      </c>
      <c r="H5103" s="105"/>
      <c r="I5103" s="412"/>
    </row>
    <row r="5104" spans="1:9" ht="19.5" customHeight="1" x14ac:dyDescent="0.2">
      <c r="B5104" s="451" t="s">
        <v>1325</v>
      </c>
      <c r="C5104" s="104" t="s">
        <v>2157</v>
      </c>
      <c r="D5104" s="280" t="str">
        <f>'LISTA DE INSUMOS'!B153</f>
        <v>Pintura esmalte para exteriores</v>
      </c>
      <c r="E5104" s="126" t="s">
        <v>2156</v>
      </c>
      <c r="F5104" s="102">
        <v>1.3333333333333334E-2</v>
      </c>
      <c r="G5104" s="103">
        <f>'LISTA DE INSUMOS'!E153</f>
        <v>99769.889999999985</v>
      </c>
      <c r="H5104" s="104">
        <v>1.03</v>
      </c>
      <c r="I5104" s="103">
        <f t="shared" ref="I5104:I5109" si="49">H5104*G5104*F5104</f>
        <v>1370.1731560000001</v>
      </c>
    </row>
    <row r="5105" spans="2:9" ht="19.5" customHeight="1" x14ac:dyDescent="0.2">
      <c r="B5105" s="451"/>
      <c r="C5105" s="104" t="s">
        <v>2686</v>
      </c>
      <c r="D5105" s="104" t="s">
        <v>2687</v>
      </c>
      <c r="E5105" s="126" t="s">
        <v>2156</v>
      </c>
      <c r="F5105" s="456">
        <v>1.3333333333333335E-3</v>
      </c>
      <c r="G5105" s="103">
        <v>50000</v>
      </c>
      <c r="H5105" s="104">
        <v>1.03</v>
      </c>
      <c r="I5105" s="103">
        <f t="shared" si="49"/>
        <v>68.666666666666671</v>
      </c>
    </row>
    <row r="5106" spans="2:9" ht="19.5" customHeight="1" x14ac:dyDescent="0.2">
      <c r="B5106" s="451"/>
      <c r="C5106" s="104" t="s">
        <v>2688</v>
      </c>
      <c r="D5106" s="104" t="s">
        <v>2712</v>
      </c>
      <c r="E5106" s="126" t="s">
        <v>2156</v>
      </c>
      <c r="F5106" s="456">
        <v>2.666666666666667E-3</v>
      </c>
      <c r="G5106" s="103">
        <v>300000</v>
      </c>
      <c r="H5106" s="104">
        <v>1.03</v>
      </c>
      <c r="I5106" s="103">
        <f t="shared" si="49"/>
        <v>824.00000000000011</v>
      </c>
    </row>
    <row r="5107" spans="2:9" ht="19.5" customHeight="1" x14ac:dyDescent="0.2">
      <c r="B5107" s="452" t="s">
        <v>1034</v>
      </c>
      <c r="C5107" s="104" t="s">
        <v>2159</v>
      </c>
      <c r="D5107" s="104" t="s">
        <v>2160</v>
      </c>
      <c r="E5107" s="126" t="s">
        <v>2065</v>
      </c>
      <c r="F5107" s="102">
        <v>1</v>
      </c>
      <c r="G5107" s="103">
        <f>'LISTA DE INSUMOS'!E18</f>
        <v>245584</v>
      </c>
      <c r="H5107" s="104">
        <v>8.7999999999999995E-2</v>
      </c>
      <c r="I5107" s="103">
        <f t="shared" si="49"/>
        <v>21611.392</v>
      </c>
    </row>
    <row r="5108" spans="2:9" ht="19.5" customHeight="1" x14ac:dyDescent="0.2">
      <c r="B5108" s="338" t="s">
        <v>1033</v>
      </c>
      <c r="C5108" s="104" t="s">
        <v>2081</v>
      </c>
      <c r="D5108" s="104" t="s">
        <v>1030</v>
      </c>
      <c r="E5108" s="126" t="s">
        <v>2066</v>
      </c>
      <c r="F5108" s="102">
        <v>1</v>
      </c>
      <c r="G5108" s="103">
        <f>I5107</f>
        <v>21611.392</v>
      </c>
      <c r="H5108" s="104">
        <v>1</v>
      </c>
      <c r="I5108" s="103">
        <f t="shared" si="49"/>
        <v>21611.392</v>
      </c>
    </row>
    <row r="5109" spans="2:9" ht="19.5" customHeight="1" x14ac:dyDescent="0.2">
      <c r="B5109" s="338"/>
      <c r="C5109" s="104" t="s">
        <v>1017</v>
      </c>
      <c r="D5109" s="104" t="s">
        <v>1029</v>
      </c>
      <c r="E5109" s="126" t="s">
        <v>2066</v>
      </c>
      <c r="F5109" s="102">
        <v>0.1</v>
      </c>
      <c r="G5109" s="103">
        <f>I5107</f>
        <v>21611.392</v>
      </c>
      <c r="H5109" s="104">
        <v>1</v>
      </c>
      <c r="I5109" s="103">
        <f t="shared" si="49"/>
        <v>2161.1392000000001</v>
      </c>
    </row>
    <row r="5110" spans="2:9" ht="44.25" customHeight="1" x14ac:dyDescent="0.2">
      <c r="B5110" s="230" t="s">
        <v>2373</v>
      </c>
      <c r="C5110" s="105"/>
      <c r="D5110" s="257" t="s">
        <v>3036</v>
      </c>
      <c r="E5110" s="410" t="s">
        <v>2666</v>
      </c>
      <c r="F5110" s="411"/>
      <c r="G5110" s="412">
        <f>SUM(I5111:I5113)</f>
        <v>27159.428145075624</v>
      </c>
      <c r="H5110" s="105"/>
      <c r="I5110" s="412"/>
    </row>
    <row r="5111" spans="2:9" ht="19.5" customHeight="1" x14ac:dyDescent="0.2">
      <c r="B5111" s="451" t="s">
        <v>1325</v>
      </c>
      <c r="C5111" s="104" t="s">
        <v>558</v>
      </c>
      <c r="D5111" s="280" t="str">
        <f>'LISTA DE INSUMOS'!B73</f>
        <v>Barniz intemperie brillante</v>
      </c>
      <c r="E5111" s="126" t="s">
        <v>2156</v>
      </c>
      <c r="F5111" s="102">
        <v>2.0833333333333332E-2</v>
      </c>
      <c r="G5111" s="103">
        <f>'LISTA DE INSUMOS'!E73</f>
        <v>69711.851420999985</v>
      </c>
      <c r="H5111" s="104">
        <v>1.03</v>
      </c>
      <c r="I5111" s="103">
        <f>H5111*G5111*F5111</f>
        <v>1495.9001450756246</v>
      </c>
    </row>
    <row r="5112" spans="2:9" ht="19.5" customHeight="1" x14ac:dyDescent="0.2">
      <c r="B5112" s="452" t="s">
        <v>1034</v>
      </c>
      <c r="C5112" s="104" t="s">
        <v>2159</v>
      </c>
      <c r="D5112" s="280" t="str">
        <f>'LISTA DE INSUMOS'!B18</f>
        <v>Cuadrilla E 1 Of + 1 Ay (jornal + prestaciones)</v>
      </c>
      <c r="E5112" s="126" t="s">
        <v>2065</v>
      </c>
      <c r="F5112" s="102">
        <v>1</v>
      </c>
      <c r="G5112" s="103">
        <f>'LISTA DE INSUMOS'!E18</f>
        <v>245584</v>
      </c>
      <c r="H5112" s="104">
        <v>9.5000000000000001E-2</v>
      </c>
      <c r="I5112" s="103">
        <f>H5112*G5112*F5112</f>
        <v>23330.48</v>
      </c>
    </row>
    <row r="5113" spans="2:9" ht="19.5" customHeight="1" x14ac:dyDescent="0.2">
      <c r="B5113" s="338" t="s">
        <v>1033</v>
      </c>
      <c r="C5113" s="104" t="s">
        <v>1017</v>
      </c>
      <c r="D5113" s="104" t="s">
        <v>1029</v>
      </c>
      <c r="E5113" s="126" t="s">
        <v>2066</v>
      </c>
      <c r="F5113" s="102">
        <v>0.1</v>
      </c>
      <c r="G5113" s="103">
        <f>I5112</f>
        <v>23330.48</v>
      </c>
      <c r="H5113" s="104">
        <v>1</v>
      </c>
      <c r="I5113" s="103">
        <f>H5113*G5113*F5113</f>
        <v>2333.0480000000002</v>
      </c>
    </row>
    <row r="5114" spans="2:9" ht="42.75" customHeight="1" x14ac:dyDescent="0.2">
      <c r="B5114" s="230" t="s">
        <v>2374</v>
      </c>
      <c r="C5114" s="105"/>
      <c r="D5114" s="257" t="s">
        <v>2691</v>
      </c>
      <c r="E5114" s="410" t="s">
        <v>2666</v>
      </c>
      <c r="F5114" s="411"/>
      <c r="G5114" s="412">
        <f>SUM(I5115:I5117)</f>
        <v>14428.761116138519</v>
      </c>
      <c r="H5114" s="105"/>
      <c r="I5114" s="412"/>
    </row>
    <row r="5115" spans="2:9" ht="19.5" customHeight="1" x14ac:dyDescent="0.2">
      <c r="B5115" s="451" t="s">
        <v>1325</v>
      </c>
      <c r="C5115" s="104" t="s">
        <v>2692</v>
      </c>
      <c r="D5115" s="104" t="s">
        <v>2693</v>
      </c>
      <c r="E5115" s="126" t="s">
        <v>2156</v>
      </c>
      <c r="F5115" s="102">
        <v>8.3333333333333332E-3</v>
      </c>
      <c r="G5115" s="103">
        <f>'LISTA DE INSUMOS'!E158</f>
        <v>107375.66401613812</v>
      </c>
      <c r="H5115" s="104">
        <v>1.03</v>
      </c>
      <c r="I5115" s="103">
        <f>H5115*G5115*F5115</f>
        <v>921.6411161385189</v>
      </c>
    </row>
    <row r="5116" spans="2:9" ht="19.5" customHeight="1" x14ac:dyDescent="0.2">
      <c r="B5116" s="452" t="s">
        <v>1034</v>
      </c>
      <c r="C5116" s="104" t="s">
        <v>2159</v>
      </c>
      <c r="D5116" s="104" t="s">
        <v>2160</v>
      </c>
      <c r="E5116" s="126" t="s">
        <v>2065</v>
      </c>
      <c r="F5116" s="102">
        <v>1</v>
      </c>
      <c r="G5116" s="103">
        <f>'LISTA DE INSUMOS'!E18</f>
        <v>245584</v>
      </c>
      <c r="H5116" s="104">
        <v>0.05</v>
      </c>
      <c r="I5116" s="103">
        <f>H5116*G5116*F5116</f>
        <v>12279.2</v>
      </c>
    </row>
    <row r="5117" spans="2:9" ht="19.5" customHeight="1" x14ac:dyDescent="0.2">
      <c r="B5117" s="338" t="s">
        <v>1033</v>
      </c>
      <c r="C5117" s="104" t="s">
        <v>1017</v>
      </c>
      <c r="D5117" s="104" t="s">
        <v>1029</v>
      </c>
      <c r="E5117" s="126" t="s">
        <v>2066</v>
      </c>
      <c r="F5117" s="102">
        <v>0.1</v>
      </c>
      <c r="G5117" s="103">
        <f>I5116</f>
        <v>12279.2</v>
      </c>
      <c r="H5117" s="104">
        <v>1</v>
      </c>
      <c r="I5117" s="103">
        <f>H5117*G5117*F5117</f>
        <v>1227.92</v>
      </c>
    </row>
    <row r="5118" spans="2:9" ht="33" customHeight="1" x14ac:dyDescent="0.2">
      <c r="B5118" s="230" t="s">
        <v>2375</v>
      </c>
      <c r="C5118" s="105"/>
      <c r="D5118" s="257" t="s">
        <v>3048</v>
      </c>
      <c r="E5118" s="410" t="s">
        <v>2665</v>
      </c>
      <c r="F5118" s="411"/>
      <c r="G5118" s="412">
        <f>SUM(I5119:I5123)</f>
        <v>51257.807827099998</v>
      </c>
      <c r="H5118" s="105"/>
      <c r="I5118" s="412"/>
    </row>
    <row r="5119" spans="2:9" ht="19.5" customHeight="1" x14ac:dyDescent="0.2">
      <c r="B5119" s="451" t="s">
        <v>1325</v>
      </c>
      <c r="C5119" s="104" t="s">
        <v>2157</v>
      </c>
      <c r="D5119" s="104" t="s">
        <v>2158</v>
      </c>
      <c r="E5119" s="126" t="s">
        <v>2156</v>
      </c>
      <c r="F5119" s="102">
        <v>1.2999999999999999E-2</v>
      </c>
      <c r="G5119" s="103">
        <f>'LISTA DE INSUMOS'!E153</f>
        <v>99769.889999999985</v>
      </c>
      <c r="H5119" s="104">
        <v>1.03</v>
      </c>
      <c r="I5119" s="103">
        <f>H5119*G5119*F5119</f>
        <v>1335.9188270999998</v>
      </c>
    </row>
    <row r="5120" spans="2:9" ht="19.5" customHeight="1" x14ac:dyDescent="0.2">
      <c r="B5120" s="451"/>
      <c r="C5120" s="104" t="s">
        <v>2694</v>
      </c>
      <c r="D5120" s="104" t="s">
        <v>2695</v>
      </c>
      <c r="E5120" s="126" t="s">
        <v>1424</v>
      </c>
      <c r="F5120" s="102">
        <v>1</v>
      </c>
      <c r="G5120" s="103">
        <f>+'LISTA DE INSUMOS'!E201</f>
        <v>16101.779999999999</v>
      </c>
      <c r="H5120" s="104">
        <v>0.05</v>
      </c>
      <c r="I5120" s="103">
        <f t="shared" ref="I5120:I5123" si="50">H5120*G5120*F5120</f>
        <v>805.08899999999994</v>
      </c>
    </row>
    <row r="5121" spans="2:9" ht="19.5" customHeight="1" x14ac:dyDescent="0.2">
      <c r="B5121" s="452" t="s">
        <v>1034</v>
      </c>
      <c r="C5121" s="104" t="s">
        <v>2159</v>
      </c>
      <c r="D5121" s="104" t="s">
        <v>2160</v>
      </c>
      <c r="E5121" s="126" t="s">
        <v>2065</v>
      </c>
      <c r="F5121" s="102">
        <v>1</v>
      </c>
      <c r="G5121" s="103">
        <f>'LISTA DE INSUMOS'!E18</f>
        <v>245584</v>
      </c>
      <c r="H5121" s="104">
        <v>0.1</v>
      </c>
      <c r="I5121" s="103">
        <f t="shared" si="50"/>
        <v>24558.400000000001</v>
      </c>
    </row>
    <row r="5122" spans="2:9" ht="19.5" customHeight="1" x14ac:dyDescent="0.2">
      <c r="B5122" s="338" t="s">
        <v>1033</v>
      </c>
      <c r="C5122" s="104" t="s">
        <v>2696</v>
      </c>
      <c r="D5122" s="104" t="s">
        <v>1030</v>
      </c>
      <c r="E5122" s="126" t="s">
        <v>2066</v>
      </c>
      <c r="F5122" s="102">
        <v>1</v>
      </c>
      <c r="G5122" s="103">
        <f>+I5121</f>
        <v>24558.400000000001</v>
      </c>
      <c r="H5122" s="104">
        <v>1</v>
      </c>
      <c r="I5122" s="103">
        <f t="shared" si="50"/>
        <v>24558.400000000001</v>
      </c>
    </row>
    <row r="5123" spans="2:9" ht="19.5" customHeight="1" x14ac:dyDescent="0.2">
      <c r="B5123" s="338"/>
      <c r="C5123" s="104" t="s">
        <v>1017</v>
      </c>
      <c r="D5123" s="104" t="s">
        <v>1029</v>
      </c>
      <c r="E5123" s="126" t="s">
        <v>2066</v>
      </c>
      <c r="F5123" s="102">
        <v>0.1</v>
      </c>
      <c r="G5123" s="103">
        <f>+I5121</f>
        <v>24558.400000000001</v>
      </c>
      <c r="H5123" s="104">
        <v>0</v>
      </c>
      <c r="I5123" s="103">
        <f t="shared" si="50"/>
        <v>0</v>
      </c>
    </row>
    <row r="5124" spans="2:9" ht="32.25" customHeight="1" x14ac:dyDescent="0.2">
      <c r="B5124" s="230" t="s">
        <v>2376</v>
      </c>
      <c r="C5124" s="105"/>
      <c r="D5124" s="257" t="s">
        <v>2679</v>
      </c>
      <c r="E5124" s="410" t="s">
        <v>1435</v>
      </c>
      <c r="F5124" s="411"/>
      <c r="G5124" s="412">
        <f>SUM(I5125:I5127)</f>
        <v>60956.800962259345</v>
      </c>
      <c r="H5124" s="105"/>
      <c r="I5124" s="412"/>
    </row>
    <row r="5125" spans="2:9" ht="19.5" customHeight="1" x14ac:dyDescent="0.2">
      <c r="B5125" s="451" t="s">
        <v>1325</v>
      </c>
      <c r="C5125" s="104" t="s">
        <v>2692</v>
      </c>
      <c r="D5125" s="104" t="s">
        <v>2693</v>
      </c>
      <c r="E5125" s="126" t="s">
        <v>2156</v>
      </c>
      <c r="F5125" s="102">
        <v>1</v>
      </c>
      <c r="G5125" s="103">
        <f>+'LISTA DE INSUMOS'!$E$158</f>
        <v>107375.66401613812</v>
      </c>
      <c r="H5125" s="104">
        <v>0.14000000000000001</v>
      </c>
      <c r="I5125" s="103">
        <f>H5125*G5125*F5125</f>
        <v>15032.592962259339</v>
      </c>
    </row>
    <row r="5126" spans="2:9" ht="19.5" customHeight="1" x14ac:dyDescent="0.2">
      <c r="B5126" s="452" t="s">
        <v>1034</v>
      </c>
      <c r="C5126" s="104" t="s">
        <v>2159</v>
      </c>
      <c r="D5126" s="280" t="str">
        <f>'LISTA DE INSUMOS'!B18</f>
        <v>Cuadrilla E 1 Of + 1 Ay (jornal + prestaciones)</v>
      </c>
      <c r="E5126" s="126" t="s">
        <v>2065</v>
      </c>
      <c r="F5126" s="102">
        <v>1</v>
      </c>
      <c r="G5126" s="103">
        <f>'LISTA DE INSUMOS'!E18</f>
        <v>245584</v>
      </c>
      <c r="H5126" s="104">
        <v>0.17</v>
      </c>
      <c r="I5126" s="103">
        <f>H5126*G5126*F5126</f>
        <v>41749.280000000006</v>
      </c>
    </row>
    <row r="5127" spans="2:9" ht="19.5" customHeight="1" x14ac:dyDescent="0.2">
      <c r="B5127" s="338" t="s">
        <v>1033</v>
      </c>
      <c r="C5127" s="104" t="s">
        <v>1017</v>
      </c>
      <c r="D5127" s="104" t="s">
        <v>1029</v>
      </c>
      <c r="E5127" s="126" t="s">
        <v>2066</v>
      </c>
      <c r="F5127" s="102">
        <v>0.1</v>
      </c>
      <c r="G5127" s="103">
        <f>+I5126</f>
        <v>41749.280000000006</v>
      </c>
      <c r="H5127" s="104">
        <v>1</v>
      </c>
      <c r="I5127" s="103">
        <f>H5127*G5127*F5127</f>
        <v>4174.9280000000008</v>
      </c>
    </row>
    <row r="5128" spans="2:9" ht="19.5" customHeight="1" x14ac:dyDescent="0.2">
      <c r="B5128" s="230" t="s">
        <v>2377</v>
      </c>
      <c r="C5128" s="105"/>
      <c r="D5128" s="251" t="s">
        <v>3037</v>
      </c>
      <c r="E5128" s="410" t="s">
        <v>1435</v>
      </c>
      <c r="F5128" s="411"/>
      <c r="G5128" s="412">
        <f>SUM(I5129:I5131)</f>
        <v>174237.88801075876</v>
      </c>
      <c r="H5128" s="105"/>
      <c r="I5128" s="412"/>
    </row>
    <row r="5129" spans="2:9" ht="19.5" customHeight="1" x14ac:dyDescent="0.2">
      <c r="B5129" s="451" t="s">
        <v>1325</v>
      </c>
      <c r="C5129" s="104" t="s">
        <v>2692</v>
      </c>
      <c r="D5129" s="104" t="s">
        <v>2693</v>
      </c>
      <c r="E5129" s="126" t="s">
        <v>2156</v>
      </c>
      <c r="F5129" s="102">
        <v>1</v>
      </c>
      <c r="G5129" s="103">
        <f>+'LISTA DE INSUMOS'!$E$158</f>
        <v>107375.66401613812</v>
      </c>
      <c r="H5129" s="220">
        <f>1/1.5</f>
        <v>0.66666666666666663</v>
      </c>
      <c r="I5129" s="103">
        <f>H5129*G5129*F5129</f>
        <v>71583.776010758738</v>
      </c>
    </row>
    <row r="5130" spans="2:9" ht="19.5" customHeight="1" x14ac:dyDescent="0.2">
      <c r="B5130" s="452" t="s">
        <v>1034</v>
      </c>
      <c r="C5130" s="104" t="s">
        <v>2159</v>
      </c>
      <c r="D5130" s="280" t="str">
        <f>'LISTA DE INSUMOS'!B18</f>
        <v>Cuadrilla E 1 Of + 1 Ay (jornal + prestaciones)</v>
      </c>
      <c r="E5130" s="126" t="s">
        <v>2065</v>
      </c>
      <c r="F5130" s="102">
        <v>1</v>
      </c>
      <c r="G5130" s="103">
        <f>'LISTA DE INSUMOS'!E18</f>
        <v>245584</v>
      </c>
      <c r="H5130" s="104">
        <v>0.38</v>
      </c>
      <c r="I5130" s="103">
        <f>H5130*G5130*F5130</f>
        <v>93321.919999999998</v>
      </c>
    </row>
    <row r="5131" spans="2:9" ht="19.5" customHeight="1" x14ac:dyDescent="0.2">
      <c r="B5131" s="338" t="s">
        <v>1033</v>
      </c>
      <c r="C5131" s="104" t="s">
        <v>1017</v>
      </c>
      <c r="D5131" s="104" t="s">
        <v>1029</v>
      </c>
      <c r="E5131" s="126" t="s">
        <v>2066</v>
      </c>
      <c r="F5131" s="102">
        <v>0.1</v>
      </c>
      <c r="G5131" s="103">
        <f>+I5130</f>
        <v>93321.919999999998</v>
      </c>
      <c r="H5131" s="104">
        <v>1</v>
      </c>
      <c r="I5131" s="103">
        <f>H5131*G5131*F5131</f>
        <v>9332.1920000000009</v>
      </c>
    </row>
    <row r="5132" spans="2:9" ht="61.5" customHeight="1" x14ac:dyDescent="0.2">
      <c r="B5132" s="230" t="s">
        <v>2378</v>
      </c>
      <c r="C5132" s="105"/>
      <c r="D5132" s="257" t="s">
        <v>3038</v>
      </c>
      <c r="E5132" s="410" t="s">
        <v>1435</v>
      </c>
      <c r="F5132" s="411"/>
      <c r="G5132" s="412">
        <f>SUM(I5133:I5136)</f>
        <v>1172719.874821</v>
      </c>
      <c r="H5132" s="105"/>
      <c r="I5132" s="412"/>
    </row>
    <row r="5133" spans="2:9" ht="19.5" customHeight="1" x14ac:dyDescent="0.2">
      <c r="B5133" s="451" t="s">
        <v>1325</v>
      </c>
      <c r="C5133" s="104" t="s">
        <v>558</v>
      </c>
      <c r="D5133" s="280" t="str">
        <f>'LISTA DE INSUMOS'!B73</f>
        <v>Barniz intemperie brillante</v>
      </c>
      <c r="E5133" s="126" t="s">
        <v>2156</v>
      </c>
      <c r="F5133" s="102">
        <v>1</v>
      </c>
      <c r="G5133" s="103">
        <f>'LISTA DE INSUMOS'!E73</f>
        <v>69711.851420999985</v>
      </c>
      <c r="H5133" s="104">
        <v>1</v>
      </c>
      <c r="I5133" s="103">
        <f>H5133*G5133*F5133</f>
        <v>69711.851420999985</v>
      </c>
    </row>
    <row r="5134" spans="2:9" ht="19.5" customHeight="1" x14ac:dyDescent="0.2">
      <c r="B5134" s="451"/>
      <c r="C5134" s="104" t="s">
        <v>626</v>
      </c>
      <c r="D5134" s="280" t="str">
        <f>'LISTA DE INSUMOS'!B113</f>
        <v>Bisagra de cobre 3x3"</v>
      </c>
      <c r="E5134" s="126" t="s">
        <v>1124</v>
      </c>
      <c r="F5134" s="102">
        <v>2</v>
      </c>
      <c r="G5134" s="103">
        <f>'LISTA DE INSUMOS'!E113</f>
        <v>23337.389999999996</v>
      </c>
      <c r="H5134" s="104">
        <v>1.03</v>
      </c>
      <c r="I5134" s="103">
        <f>H5134*G5134*F5134</f>
        <v>48075.023399999991</v>
      </c>
    </row>
    <row r="5135" spans="2:9" ht="19.5" customHeight="1" x14ac:dyDescent="0.2">
      <c r="B5135" s="452" t="s">
        <v>1034</v>
      </c>
      <c r="C5135" s="104" t="str">
        <f>'LISTA DE INSUMOS'!A26</f>
        <v>MOB023</v>
      </c>
      <c r="D5135" s="280" t="str">
        <f>'LISTA DE INSUMOS'!B26</f>
        <v>Cuadrilla L 1 Ebanista + 2 Ay (jornal + prestaciones)</v>
      </c>
      <c r="E5135" s="126" t="s">
        <v>2065</v>
      </c>
      <c r="F5135" s="102">
        <v>2.5</v>
      </c>
      <c r="G5135" s="103">
        <f>'LISTA DE INSUMOS'!E26</f>
        <v>383612</v>
      </c>
      <c r="H5135" s="104">
        <v>1</v>
      </c>
      <c r="I5135" s="103">
        <f>H5135*G5135*F5135</f>
        <v>959030</v>
      </c>
    </row>
    <row r="5136" spans="2:9" ht="19.5" customHeight="1" x14ac:dyDescent="0.2">
      <c r="B5136" s="338" t="s">
        <v>1033</v>
      </c>
      <c r="C5136" s="104" t="s">
        <v>1017</v>
      </c>
      <c r="D5136" s="104" t="s">
        <v>1029</v>
      </c>
      <c r="E5136" s="126" t="s">
        <v>2066</v>
      </c>
      <c r="F5136" s="102">
        <v>0.1</v>
      </c>
      <c r="G5136" s="103">
        <f>I5135</f>
        <v>959030</v>
      </c>
      <c r="H5136" s="104">
        <v>1</v>
      </c>
      <c r="I5136" s="103">
        <f>H5136*G5136*F5136</f>
        <v>95903</v>
      </c>
    </row>
    <row r="5137" spans="2:9" ht="19.5" customHeight="1" x14ac:dyDescent="0.2">
      <c r="B5137" s="230" t="s">
        <v>2379</v>
      </c>
      <c r="C5137" s="105"/>
      <c r="D5137" s="251" t="s">
        <v>3042</v>
      </c>
      <c r="E5137" s="410" t="s">
        <v>1424</v>
      </c>
      <c r="F5137" s="411"/>
      <c r="G5137" s="412">
        <f>SUM(I5138:I5140)</f>
        <v>48088.597699999998</v>
      </c>
      <c r="H5137" s="105"/>
      <c r="I5137" s="412"/>
    </row>
    <row r="5138" spans="2:9" ht="19.5" customHeight="1" x14ac:dyDescent="0.2">
      <c r="B5138" s="451" t="s">
        <v>1325</v>
      </c>
      <c r="C5138" s="104" t="s">
        <v>2157</v>
      </c>
      <c r="D5138" s="104" t="s">
        <v>2697</v>
      </c>
      <c r="E5138" s="126" t="s">
        <v>2156</v>
      </c>
      <c r="F5138" s="102">
        <v>1</v>
      </c>
      <c r="G5138" s="103">
        <f>'LISTA DE INSUMOS'!E153</f>
        <v>99769.889999999985</v>
      </c>
      <c r="H5138" s="104">
        <v>0.13</v>
      </c>
      <c r="I5138" s="103">
        <f>H5138*G5138*F5138</f>
        <v>12970.085699999998</v>
      </c>
    </row>
    <row r="5139" spans="2:9" ht="19.5" customHeight="1" x14ac:dyDescent="0.2">
      <c r="B5139" s="452" t="s">
        <v>1034</v>
      </c>
      <c r="C5139" s="104" t="s">
        <v>2159</v>
      </c>
      <c r="D5139" s="104" t="s">
        <v>2160</v>
      </c>
      <c r="E5139" s="126" t="s">
        <v>2065</v>
      </c>
      <c r="F5139" s="102">
        <v>1</v>
      </c>
      <c r="G5139" s="103">
        <f>'LISTA DE INSUMOS'!E18</f>
        <v>245584</v>
      </c>
      <c r="H5139" s="104">
        <v>0.13</v>
      </c>
      <c r="I5139" s="103">
        <f>H5139*G5139*F5139</f>
        <v>31925.920000000002</v>
      </c>
    </row>
    <row r="5140" spans="2:9" ht="19.5" customHeight="1" x14ac:dyDescent="0.2">
      <c r="B5140" s="338" t="s">
        <v>1033</v>
      </c>
      <c r="C5140" s="104" t="s">
        <v>1017</v>
      </c>
      <c r="D5140" s="104" t="s">
        <v>1029</v>
      </c>
      <c r="E5140" s="126" t="s">
        <v>2066</v>
      </c>
      <c r="F5140" s="102">
        <v>0.1</v>
      </c>
      <c r="G5140" s="103">
        <f>I5139</f>
        <v>31925.920000000002</v>
      </c>
      <c r="H5140" s="104">
        <v>1</v>
      </c>
      <c r="I5140" s="103">
        <f>H5140*G5140*F5140</f>
        <v>3192.5920000000006</v>
      </c>
    </row>
    <row r="5141" spans="2:9" ht="19.5" customHeight="1" x14ac:dyDescent="0.2">
      <c r="B5141" s="230" t="s">
        <v>2380</v>
      </c>
      <c r="C5141" s="105"/>
      <c r="D5141" s="251" t="s">
        <v>3043</v>
      </c>
      <c r="E5141" s="410" t="s">
        <v>1424</v>
      </c>
      <c r="F5141" s="411"/>
      <c r="G5141" s="412">
        <f>SUM(I5142:I5145)</f>
        <v>35394.384967889993</v>
      </c>
      <c r="H5141" s="105"/>
      <c r="I5141" s="412"/>
    </row>
    <row r="5142" spans="2:9" ht="19.5" customHeight="1" x14ac:dyDescent="0.2">
      <c r="B5142" s="451" t="s">
        <v>1325</v>
      </c>
      <c r="C5142" s="104" t="s">
        <v>558</v>
      </c>
      <c r="D5142" s="104" t="s">
        <v>2690</v>
      </c>
      <c r="E5142" s="126" t="s">
        <v>2156</v>
      </c>
      <c r="F5142" s="102">
        <v>1</v>
      </c>
      <c r="G5142" s="103">
        <f>'LISTA DE INSUMOS'!E73</f>
        <v>69711.851420999985</v>
      </c>
      <c r="H5142" s="104">
        <v>0.09</v>
      </c>
      <c r="I5142" s="103">
        <f>H5142*G5142*F5142</f>
        <v>6274.066627889998</v>
      </c>
    </row>
    <row r="5143" spans="2:9" ht="19.5" customHeight="1" x14ac:dyDescent="0.2">
      <c r="B5143" s="451"/>
      <c r="C5143" s="104" t="str">
        <f>'LISTA DE INSUMOS'!A113</f>
        <v>MAT071</v>
      </c>
      <c r="D5143" s="280" t="str">
        <f>'LISTA DE INSUMOS'!B113</f>
        <v>Bisagra de cobre 3x3"</v>
      </c>
      <c r="E5143" s="126" t="s">
        <v>1124</v>
      </c>
      <c r="F5143" s="102">
        <v>0.2</v>
      </c>
      <c r="G5143" s="103">
        <f>'LISTA DE INSUMOS'!E113</f>
        <v>23337.389999999996</v>
      </c>
      <c r="H5143" s="104">
        <v>1.03</v>
      </c>
      <c r="I5143" s="103">
        <f>H5143*G5143*F5143</f>
        <v>4807.5023399999991</v>
      </c>
    </row>
    <row r="5144" spans="2:9" ht="19.5" customHeight="1" x14ac:dyDescent="0.2">
      <c r="B5144" s="452" t="s">
        <v>1034</v>
      </c>
      <c r="C5144" s="104" t="s">
        <v>2159</v>
      </c>
      <c r="D5144" s="280" t="str">
        <f>'LISTA DE INSUMOS'!B18</f>
        <v>Cuadrilla E 1 Of + 1 Ay (jornal + prestaciones)</v>
      </c>
      <c r="E5144" s="126" t="s">
        <v>2065</v>
      </c>
      <c r="F5144" s="102">
        <v>1</v>
      </c>
      <c r="G5144" s="103">
        <f>'LISTA DE INSUMOS'!E18</f>
        <v>245584</v>
      </c>
      <c r="H5144" s="104">
        <v>0.09</v>
      </c>
      <c r="I5144" s="103">
        <f>H5144*G5144*F5144</f>
        <v>22102.559999999998</v>
      </c>
    </row>
    <row r="5145" spans="2:9" ht="19.5" customHeight="1" x14ac:dyDescent="0.2">
      <c r="B5145" s="338" t="s">
        <v>1033</v>
      </c>
      <c r="C5145" s="104" t="s">
        <v>1017</v>
      </c>
      <c r="D5145" s="104" t="s">
        <v>1029</v>
      </c>
      <c r="E5145" s="126" t="s">
        <v>2066</v>
      </c>
      <c r="F5145" s="102">
        <v>0.1</v>
      </c>
      <c r="G5145" s="103">
        <f>I5144</f>
        <v>22102.559999999998</v>
      </c>
      <c r="H5145" s="104">
        <v>1</v>
      </c>
      <c r="I5145" s="103">
        <f>H5145*G5145*F5145</f>
        <v>2210.2559999999999</v>
      </c>
    </row>
    <row r="5146" spans="2:9" ht="34.5" customHeight="1" x14ac:dyDescent="0.2">
      <c r="B5146" s="230" t="s">
        <v>2381</v>
      </c>
      <c r="C5146" s="105"/>
      <c r="D5146" s="490" t="s">
        <v>3056</v>
      </c>
      <c r="E5146" s="410" t="s">
        <v>1124</v>
      </c>
      <c r="F5146" s="411"/>
      <c r="G5146" s="412">
        <f>SUM(I5147:I5149)</f>
        <v>5432.5636639999993</v>
      </c>
      <c r="H5146" s="105"/>
      <c r="I5146" s="412"/>
    </row>
    <row r="5147" spans="2:9" ht="19.5" customHeight="1" x14ac:dyDescent="0.2">
      <c r="B5147" s="452" t="s">
        <v>1034</v>
      </c>
      <c r="C5147" s="104" t="s">
        <v>2159</v>
      </c>
      <c r="D5147" s="104" t="s">
        <v>2160</v>
      </c>
      <c r="E5147" s="126" t="s">
        <v>2065</v>
      </c>
      <c r="F5147" s="102">
        <v>1</v>
      </c>
      <c r="G5147" s="103">
        <f>'LISTA DE INSUMOS'!E18</f>
        <v>245584</v>
      </c>
      <c r="H5147" s="104">
        <v>1.0999999999999999E-2</v>
      </c>
      <c r="I5147" s="103">
        <f>H5147*G5147*F5147</f>
        <v>2701.424</v>
      </c>
    </row>
    <row r="5148" spans="2:9" ht="19.5" customHeight="1" x14ac:dyDescent="0.2">
      <c r="B5148" s="338" t="s">
        <v>1033</v>
      </c>
      <c r="C5148" s="104" t="s">
        <v>2696</v>
      </c>
      <c r="D5148" s="104" t="s">
        <v>1030</v>
      </c>
      <c r="E5148" s="126" t="s">
        <v>2065</v>
      </c>
      <c r="F5148" s="102">
        <v>1</v>
      </c>
      <c r="G5148" s="103">
        <f>+I5147</f>
        <v>2701.424</v>
      </c>
      <c r="H5148" s="104">
        <v>1.0999999999999999E-2</v>
      </c>
      <c r="I5148" s="103">
        <f>H5148*G5148*F5148</f>
        <v>29.715663999999997</v>
      </c>
    </row>
    <row r="5149" spans="2:9" ht="19.5" customHeight="1" x14ac:dyDescent="0.2">
      <c r="B5149" s="338"/>
      <c r="C5149" s="104" t="s">
        <v>1017</v>
      </c>
      <c r="D5149" s="104" t="s">
        <v>1029</v>
      </c>
      <c r="E5149" s="126" t="s">
        <v>2066</v>
      </c>
      <c r="F5149" s="102">
        <v>1</v>
      </c>
      <c r="G5149" s="103">
        <f>+I5147</f>
        <v>2701.424</v>
      </c>
      <c r="H5149" s="104">
        <v>1</v>
      </c>
      <c r="I5149" s="103">
        <f>H5149*G5149*F5149</f>
        <v>2701.424</v>
      </c>
    </row>
    <row r="5150" spans="2:9" ht="30" customHeight="1" x14ac:dyDescent="0.2">
      <c r="B5150" s="230" t="s">
        <v>2382</v>
      </c>
      <c r="C5150" s="105"/>
      <c r="D5150" s="257" t="s">
        <v>2680</v>
      </c>
      <c r="E5150" s="410" t="s">
        <v>3143</v>
      </c>
      <c r="F5150" s="411"/>
      <c r="G5150" s="412">
        <f>SUM(I5151:I5156)</f>
        <v>44263767.200000003</v>
      </c>
      <c r="H5150" s="105"/>
      <c r="I5150" s="412"/>
    </row>
    <row r="5151" spans="2:9" ht="19.5" customHeight="1" x14ac:dyDescent="0.2">
      <c r="B5151" s="451" t="s">
        <v>1325</v>
      </c>
      <c r="C5151" s="104" t="s">
        <v>2716</v>
      </c>
      <c r="D5151" s="104" t="str">
        <f>'LISTA DE INSUMOS'!B74</f>
        <v>Laca Catalizada Poliuretano Mate 4 Litros</v>
      </c>
      <c r="E5151" s="126" t="s">
        <v>1124</v>
      </c>
      <c r="F5151" s="102">
        <v>20</v>
      </c>
      <c r="G5151" s="103">
        <f>'LISTA DE INSUMOS'!E74</f>
        <v>269959.58999999997</v>
      </c>
      <c r="H5151" s="104">
        <v>1</v>
      </c>
      <c r="I5151" s="103">
        <f t="shared" ref="I5151:I5156" si="51">H5151*G5151*F5151</f>
        <v>5399191.7999999989</v>
      </c>
    </row>
    <row r="5152" spans="2:9" ht="19.5" customHeight="1" x14ac:dyDescent="0.2">
      <c r="B5152" s="451"/>
      <c r="C5152" s="104" t="s">
        <v>2718</v>
      </c>
      <c r="D5152" s="280" t="str">
        <f>'LISTA DE INSUMOS'!B76</f>
        <v xml:space="preserve">Removedor para pinturasacas acrílicas, Nitrocelulósicas, barnices, pinturas alquídicas, epoxipoliamida, etc  1/4 Gl </v>
      </c>
      <c r="E5152" s="126" t="s">
        <v>1124</v>
      </c>
      <c r="F5152" s="102">
        <v>20</v>
      </c>
      <c r="G5152" s="103">
        <f>'LISTA DE INSUMOS'!E76</f>
        <v>41681.189999999995</v>
      </c>
      <c r="H5152" s="104">
        <v>1</v>
      </c>
      <c r="I5152" s="103">
        <f t="shared" si="51"/>
        <v>833623.79999999993</v>
      </c>
    </row>
    <row r="5153" spans="2:9" ht="19.5" customHeight="1" x14ac:dyDescent="0.2">
      <c r="B5153" s="451"/>
      <c r="C5153" s="104" t="s">
        <v>2717</v>
      </c>
      <c r="D5153" s="104" t="s">
        <v>17</v>
      </c>
      <c r="E5153" s="126" t="s">
        <v>1124</v>
      </c>
      <c r="F5153" s="102">
        <v>10</v>
      </c>
      <c r="G5153" s="103">
        <f>'LISTA DE INSUMOS'!E75</f>
        <v>1630.56</v>
      </c>
      <c r="H5153" s="104">
        <v>1</v>
      </c>
      <c r="I5153" s="103">
        <f t="shared" si="51"/>
        <v>16305.599999999999</v>
      </c>
    </row>
    <row r="5154" spans="2:9" ht="19.5" customHeight="1" x14ac:dyDescent="0.2">
      <c r="B5154" s="451"/>
      <c r="C5154" s="104" t="str">
        <f>'LISTA DE INSUMOS'!A27</f>
        <v>MOB024</v>
      </c>
      <c r="D5154" s="280" t="str">
        <f>'LISTA DE INSUMOS'!B27</f>
        <v>Cuadrilla Estructura Metalica de Soporte (jornal + prestaciones)</v>
      </c>
      <c r="E5154" s="126" t="s">
        <v>2947</v>
      </c>
      <c r="F5154" s="102">
        <v>10</v>
      </c>
      <c r="G5154" s="103">
        <f>'LISTA DE INSUMOS'!E27</f>
        <v>425679</v>
      </c>
      <c r="H5154" s="104">
        <v>1</v>
      </c>
      <c r="I5154" s="103">
        <f t="shared" si="51"/>
        <v>4256790</v>
      </c>
    </row>
    <row r="5155" spans="2:9" ht="19.5" customHeight="1" x14ac:dyDescent="0.2">
      <c r="B5155" s="452" t="s">
        <v>1034</v>
      </c>
      <c r="C5155" s="104" t="str">
        <f>'LISTA DE INSUMOS'!A26</f>
        <v>MOB023</v>
      </c>
      <c r="D5155" s="280" t="str">
        <f>'LISTA DE INSUMOS'!B26</f>
        <v>Cuadrilla L 1 Ebanista + 2 Ay (jornal + prestaciones)</v>
      </c>
      <c r="E5155" s="126" t="s">
        <v>2065</v>
      </c>
      <c r="F5155" s="102">
        <v>80</v>
      </c>
      <c r="G5155" s="103">
        <f>'LISTA DE INSUMOS'!E26</f>
        <v>383612</v>
      </c>
      <c r="H5155" s="104">
        <v>1</v>
      </c>
      <c r="I5155" s="103">
        <f t="shared" si="51"/>
        <v>30688960</v>
      </c>
    </row>
    <row r="5156" spans="2:9" ht="19.5" customHeight="1" x14ac:dyDescent="0.2">
      <c r="B5156" s="338" t="s">
        <v>1033</v>
      </c>
      <c r="C5156" s="104" t="s">
        <v>1017</v>
      </c>
      <c r="D5156" s="104" t="s">
        <v>1029</v>
      </c>
      <c r="E5156" s="126" t="s">
        <v>2066</v>
      </c>
      <c r="F5156" s="102">
        <v>0.1</v>
      </c>
      <c r="G5156" s="103">
        <f>I5155</f>
        <v>30688960</v>
      </c>
      <c r="H5156" s="104">
        <v>1</v>
      </c>
      <c r="I5156" s="103">
        <f t="shared" si="51"/>
        <v>3068896</v>
      </c>
    </row>
    <row r="5157" spans="2:9" ht="45" customHeight="1" x14ac:dyDescent="0.2">
      <c r="B5157" s="230" t="s">
        <v>2383</v>
      </c>
      <c r="C5157" s="105"/>
      <c r="D5157" s="257" t="s">
        <v>2681</v>
      </c>
      <c r="E5157" s="410" t="s">
        <v>2666</v>
      </c>
      <c r="F5157" s="411"/>
      <c r="G5157" s="412">
        <f>SUM(I5158:I5161)</f>
        <v>5483.1462641955586</v>
      </c>
      <c r="H5157" s="105"/>
      <c r="I5157" s="412"/>
    </row>
    <row r="5158" spans="2:9" ht="19.5" customHeight="1" x14ac:dyDescent="0.2">
      <c r="B5158" s="451" t="s">
        <v>1325</v>
      </c>
      <c r="C5158" s="104" t="s">
        <v>2686</v>
      </c>
      <c r="D5158" s="104" t="s">
        <v>2698</v>
      </c>
      <c r="E5158" s="126" t="s">
        <v>2156</v>
      </c>
      <c r="F5158" s="102">
        <v>0.01</v>
      </c>
      <c r="G5158" s="103">
        <f>+'LISTA DE INSUMOS'!E156</f>
        <v>111664.35427388999</v>
      </c>
      <c r="H5158" s="104">
        <v>1.03</v>
      </c>
      <c r="I5158" s="103">
        <f>H5158*G5158*F5158</f>
        <v>1150.1428490210669</v>
      </c>
    </row>
    <row r="5159" spans="2:9" ht="19.5" customHeight="1" x14ac:dyDescent="0.2">
      <c r="B5159" s="451"/>
      <c r="C5159" s="104" t="s">
        <v>2688</v>
      </c>
      <c r="D5159" s="104" t="s">
        <v>2689</v>
      </c>
      <c r="E5159" s="126" t="s">
        <v>2156</v>
      </c>
      <c r="F5159" s="102">
        <v>5.0000000000000001E-3</v>
      </c>
      <c r="G5159" s="103">
        <f>+'LISTA DE INSUMOS'!E157</f>
        <v>185674.44954844497</v>
      </c>
      <c r="H5159" s="104">
        <v>1.03</v>
      </c>
      <c r="I5159" s="103">
        <f>H5159*G5159*F5159</f>
        <v>956.22341517449172</v>
      </c>
    </row>
    <row r="5160" spans="2:9" ht="19.5" customHeight="1" x14ac:dyDescent="0.2">
      <c r="B5160" s="452" t="s">
        <v>1034</v>
      </c>
      <c r="C5160" s="104" t="s">
        <v>2159</v>
      </c>
      <c r="D5160" s="104" t="s">
        <v>2160</v>
      </c>
      <c r="E5160" s="126" t="s">
        <v>2065</v>
      </c>
      <c r="F5160" s="102">
        <v>1</v>
      </c>
      <c r="G5160" s="103">
        <f>'LISTA DE INSUMOS'!E18</f>
        <v>245584</v>
      </c>
      <c r="H5160" s="104">
        <v>1.2500000000000001E-2</v>
      </c>
      <c r="I5160" s="103">
        <f>H5160*G5160*F5160</f>
        <v>3069.8</v>
      </c>
    </row>
    <row r="5161" spans="2:9" ht="19.5" customHeight="1" x14ac:dyDescent="0.2">
      <c r="B5161" s="338" t="s">
        <v>1033</v>
      </c>
      <c r="C5161" s="104" t="s">
        <v>1017</v>
      </c>
      <c r="D5161" s="104" t="s">
        <v>1029</v>
      </c>
      <c r="E5161" s="126" t="s">
        <v>2066</v>
      </c>
      <c r="F5161" s="102">
        <v>0.1</v>
      </c>
      <c r="G5161" s="103">
        <f>I5160</f>
        <v>3069.8</v>
      </c>
      <c r="H5161" s="104">
        <v>1</v>
      </c>
      <c r="I5161" s="103">
        <f>H5161*G5161*F5161</f>
        <v>306.98</v>
      </c>
    </row>
    <row r="5162" spans="2:9" ht="19.5" customHeight="1" x14ac:dyDescent="0.2">
      <c r="B5162" s="230" t="s">
        <v>2384</v>
      </c>
      <c r="C5162" s="105"/>
      <c r="D5162" s="257" t="s">
        <v>2682</v>
      </c>
      <c r="E5162" s="410" t="s">
        <v>1424</v>
      </c>
      <c r="F5162" s="411"/>
      <c r="G5162" s="412">
        <f>SUM(I5163:I5168)</f>
        <v>7673.2896876637496</v>
      </c>
      <c r="H5162" s="105"/>
      <c r="I5162" s="412"/>
    </row>
    <row r="5163" spans="2:9" ht="19.5" customHeight="1" x14ac:dyDescent="0.2">
      <c r="B5163" s="451" t="s">
        <v>1325</v>
      </c>
      <c r="C5163" s="104" t="s">
        <v>558</v>
      </c>
      <c r="D5163" s="104" t="s">
        <v>2158</v>
      </c>
      <c r="E5163" s="126" t="s">
        <v>2156</v>
      </c>
      <c r="F5163" s="102">
        <v>1</v>
      </c>
      <c r="G5163" s="103">
        <f>'LISTA DE INSUMOS'!E73</f>
        <v>69711.851420999985</v>
      </c>
      <c r="H5163" s="104">
        <v>1.4E-2</v>
      </c>
      <c r="I5163" s="103">
        <f t="shared" ref="I5163:I5168" si="52">H5163*G5163*F5163</f>
        <v>975.96591989399985</v>
      </c>
    </row>
    <row r="5164" spans="2:9" ht="19.5" customHeight="1" x14ac:dyDescent="0.2">
      <c r="B5164" s="451"/>
      <c r="C5164" s="104" t="s">
        <v>2686</v>
      </c>
      <c r="D5164" s="104" t="s">
        <v>2687</v>
      </c>
      <c r="E5164" s="126" t="s">
        <v>2156</v>
      </c>
      <c r="F5164" s="102">
        <v>1</v>
      </c>
      <c r="G5164" s="103">
        <f>'LISTA DE INSUMOS'!E156</f>
        <v>111664.35427388999</v>
      </c>
      <c r="H5164" s="104">
        <v>0.02</v>
      </c>
      <c r="I5164" s="103">
        <f t="shared" si="52"/>
        <v>2233.2870854777998</v>
      </c>
    </row>
    <row r="5165" spans="2:9" ht="19.5" customHeight="1" x14ac:dyDescent="0.2">
      <c r="B5165" s="451"/>
      <c r="C5165" s="104" t="s">
        <v>2688</v>
      </c>
      <c r="D5165" s="104" t="s">
        <v>2689</v>
      </c>
      <c r="E5165" s="126" t="s">
        <v>2156</v>
      </c>
      <c r="F5165" s="102">
        <v>1</v>
      </c>
      <c r="G5165" s="103">
        <f>'LISTA DE INSUMOS'!E157</f>
        <v>185674.44954844497</v>
      </c>
      <c r="H5165" s="104">
        <v>2.5000000000000001E-3</v>
      </c>
      <c r="I5165" s="103">
        <f t="shared" si="52"/>
        <v>464.18612387111244</v>
      </c>
    </row>
    <row r="5166" spans="2:9" ht="19.5" customHeight="1" x14ac:dyDescent="0.2">
      <c r="B5166" s="451"/>
      <c r="C5166" s="104" t="s">
        <v>2699</v>
      </c>
      <c r="D5166" s="104" t="s">
        <v>2700</v>
      </c>
      <c r="E5166" s="126" t="s">
        <v>1435</v>
      </c>
      <c r="F5166" s="102">
        <v>1</v>
      </c>
      <c r="G5166" s="103">
        <f>'LISTA DE INSUMOS'!E47</f>
        <v>2723.2119802604639</v>
      </c>
      <c r="H5166" s="104">
        <v>0.08</v>
      </c>
      <c r="I5166" s="103">
        <f t="shared" si="52"/>
        <v>217.85695842083712</v>
      </c>
    </row>
    <row r="5167" spans="2:9" ht="19.5" customHeight="1" x14ac:dyDescent="0.2">
      <c r="B5167" s="452" t="s">
        <v>1034</v>
      </c>
      <c r="C5167" s="104" t="s">
        <v>2159</v>
      </c>
      <c r="D5167" s="104" t="s">
        <v>2160</v>
      </c>
      <c r="E5167" s="126" t="s">
        <v>2065</v>
      </c>
      <c r="F5167" s="102">
        <v>1</v>
      </c>
      <c r="G5167" s="103">
        <f>'LISTA DE INSUMOS'!E18</f>
        <v>245584</v>
      </c>
      <c r="H5167" s="104">
        <v>1.4E-2</v>
      </c>
      <c r="I5167" s="103">
        <f t="shared" si="52"/>
        <v>3438.1759999999999</v>
      </c>
    </row>
    <row r="5168" spans="2:9" ht="19.5" customHeight="1" x14ac:dyDescent="0.2">
      <c r="B5168" s="338" t="s">
        <v>1033</v>
      </c>
      <c r="C5168" s="104" t="s">
        <v>1017</v>
      </c>
      <c r="D5168" s="104" t="s">
        <v>1029</v>
      </c>
      <c r="E5168" s="126" t="s">
        <v>2066</v>
      </c>
      <c r="F5168" s="102">
        <v>0.1</v>
      </c>
      <c r="G5168" s="103">
        <f>I5167</f>
        <v>3438.1759999999999</v>
      </c>
      <c r="H5168" s="104">
        <v>1</v>
      </c>
      <c r="I5168" s="103">
        <f t="shared" si="52"/>
        <v>343.81760000000003</v>
      </c>
    </row>
    <row r="5169" spans="2:9" ht="70.5" customHeight="1" x14ac:dyDescent="0.2">
      <c r="B5169" s="230" t="s">
        <v>2385</v>
      </c>
      <c r="C5169" s="105"/>
      <c r="D5169" s="257" t="s">
        <v>3044</v>
      </c>
      <c r="E5169" s="410" t="s">
        <v>2666</v>
      </c>
      <c r="F5169" s="411"/>
      <c r="G5169" s="412">
        <f>SUM(I5170:I5174)</f>
        <v>160922.83662960003</v>
      </c>
      <c r="H5169" s="105"/>
      <c r="I5169" s="412"/>
    </row>
    <row r="5170" spans="2:9" ht="19.5" customHeight="1" x14ac:dyDescent="0.2">
      <c r="B5170" s="451" t="s">
        <v>1325</v>
      </c>
      <c r="C5170" s="104" t="s">
        <v>2701</v>
      </c>
      <c r="D5170" s="104" t="s">
        <v>2702</v>
      </c>
      <c r="E5170" s="126" t="s">
        <v>1124</v>
      </c>
      <c r="F5170" s="102">
        <v>3</v>
      </c>
      <c r="G5170" s="103">
        <f>'LISTA DE INSUMOS'!E57</f>
        <v>57360.65496</v>
      </c>
      <c r="H5170" s="104">
        <v>0.17</v>
      </c>
      <c r="I5170" s="103">
        <f>H5170*G5170*F5170</f>
        <v>29253.934029600001</v>
      </c>
    </row>
    <row r="5171" spans="2:9" ht="19.5" customHeight="1" x14ac:dyDescent="0.2">
      <c r="B5171" s="451"/>
      <c r="C5171" s="104" t="s">
        <v>2694</v>
      </c>
      <c r="D5171" s="104" t="s">
        <v>2695</v>
      </c>
      <c r="E5171" s="126" t="s">
        <v>1424</v>
      </c>
      <c r="F5171" s="102">
        <v>1</v>
      </c>
      <c r="G5171" s="103">
        <f>'LISTA DE INSUMOS'!E201</f>
        <v>16101.779999999999</v>
      </c>
      <c r="H5171" s="104">
        <v>0.17</v>
      </c>
      <c r="I5171" s="103">
        <f>H5171*G5171*F5171</f>
        <v>2737.3026</v>
      </c>
    </row>
    <row r="5172" spans="2:9" ht="19.5" customHeight="1" x14ac:dyDescent="0.2">
      <c r="B5172" s="452" t="s">
        <v>1034</v>
      </c>
      <c r="C5172" s="104" t="s">
        <v>2159</v>
      </c>
      <c r="D5172" s="104" t="s">
        <v>2160</v>
      </c>
      <c r="E5172" s="126" t="s">
        <v>2065</v>
      </c>
      <c r="F5172" s="102">
        <v>1.75</v>
      </c>
      <c r="G5172" s="103">
        <f>'LISTA DE INSUMOS'!E18</f>
        <v>245584</v>
      </c>
      <c r="H5172" s="104">
        <v>0.1</v>
      </c>
      <c r="I5172" s="103">
        <f>H5172*G5172*F5172</f>
        <v>42977.200000000004</v>
      </c>
    </row>
    <row r="5173" spans="2:9" ht="19.5" customHeight="1" x14ac:dyDescent="0.2">
      <c r="B5173" s="338" t="s">
        <v>1033</v>
      </c>
      <c r="C5173" s="104" t="s">
        <v>1017</v>
      </c>
      <c r="D5173" s="104" t="s">
        <v>1029</v>
      </c>
      <c r="E5173" s="126" t="s">
        <v>2066</v>
      </c>
      <c r="F5173" s="102">
        <v>1</v>
      </c>
      <c r="G5173" s="103">
        <f>I5172</f>
        <v>42977.200000000004</v>
      </c>
      <c r="H5173" s="104">
        <v>1</v>
      </c>
      <c r="I5173" s="103">
        <f>H5173*G5173*F5173</f>
        <v>42977.200000000004</v>
      </c>
    </row>
    <row r="5174" spans="2:9" ht="19.5" customHeight="1" x14ac:dyDescent="0.2">
      <c r="B5174" s="338"/>
      <c r="C5174" s="104" t="str">
        <f>'LISTA DE INSUMOS'!A762</f>
        <v>EQU006</v>
      </c>
      <c r="D5174" s="280" t="str">
        <f>'LISTA DE INSUMOS'!B762</f>
        <v>Andamio (% mano obra)</v>
      </c>
      <c r="E5174" s="126" t="s">
        <v>2066</v>
      </c>
      <c r="F5174" s="102">
        <v>1</v>
      </c>
      <c r="G5174" s="103">
        <f>I5172</f>
        <v>42977.200000000004</v>
      </c>
      <c r="H5174" s="104">
        <v>1</v>
      </c>
      <c r="I5174" s="103">
        <f>H5174*G5174*F5174</f>
        <v>42977.200000000004</v>
      </c>
    </row>
    <row r="5175" spans="2:9" ht="39" customHeight="1" x14ac:dyDescent="0.2">
      <c r="B5175" s="230" t="s">
        <v>2386</v>
      </c>
      <c r="C5175" s="105"/>
      <c r="D5175" s="257" t="s">
        <v>2684</v>
      </c>
      <c r="E5175" s="410" t="s">
        <v>1124</v>
      </c>
      <c r="F5175" s="411"/>
      <c r="G5175" s="412">
        <f>SUM(I5176:I5181)</f>
        <v>433420.29024304799</v>
      </c>
      <c r="H5175" s="105"/>
      <c r="I5175" s="412"/>
    </row>
    <row r="5176" spans="2:9" ht="19.5" customHeight="1" x14ac:dyDescent="0.2">
      <c r="B5176" s="451" t="s">
        <v>1325</v>
      </c>
      <c r="C5176" s="104" t="s">
        <v>2703</v>
      </c>
      <c r="D5176" s="104" t="s">
        <v>2704</v>
      </c>
      <c r="E5176" s="126" t="s">
        <v>2666</v>
      </c>
      <c r="F5176" s="102">
        <v>70</v>
      </c>
      <c r="G5176" s="103">
        <f>'LISTA DE INSUMOS'!E286</f>
        <v>3043.9074423185994</v>
      </c>
      <c r="H5176" s="104">
        <v>1.03</v>
      </c>
      <c r="I5176" s="103">
        <f t="shared" ref="I5176:I5181" si="53">H5176*G5176*F5176</f>
        <v>219465.726591171</v>
      </c>
    </row>
    <row r="5177" spans="2:9" ht="19.5" customHeight="1" x14ac:dyDescent="0.2">
      <c r="B5177" s="451"/>
      <c r="C5177" s="104" t="s">
        <v>2705</v>
      </c>
      <c r="D5177" s="104" t="s">
        <v>2706</v>
      </c>
      <c r="E5177" s="126" t="s">
        <v>1435</v>
      </c>
      <c r="F5177" s="102">
        <v>1</v>
      </c>
      <c r="G5177" s="103">
        <f>'LISTA DE INSUMOS'!E287</f>
        <v>23379.78007596</v>
      </c>
      <c r="H5177" s="104">
        <v>1</v>
      </c>
      <c r="I5177" s="103">
        <f t="shared" si="53"/>
        <v>23379.78007596</v>
      </c>
    </row>
    <row r="5178" spans="2:9" ht="19.5" customHeight="1" x14ac:dyDescent="0.2">
      <c r="B5178" s="451"/>
      <c r="C5178" s="104" t="s">
        <v>2707</v>
      </c>
      <c r="D5178" s="104" t="s">
        <v>2708</v>
      </c>
      <c r="E5178" s="126" t="s">
        <v>1435</v>
      </c>
      <c r="F5178" s="102">
        <v>1</v>
      </c>
      <c r="G5178" s="103">
        <f>'LISTA DE INSUMOS'!E288</f>
        <v>35128.413279959997</v>
      </c>
      <c r="H5178" s="104">
        <v>1</v>
      </c>
      <c r="I5178" s="103">
        <f t="shared" si="53"/>
        <v>35128.413279959997</v>
      </c>
    </row>
    <row r="5179" spans="2:9" ht="19.5" customHeight="1" x14ac:dyDescent="0.2">
      <c r="B5179" s="451"/>
      <c r="C5179" s="104" t="s">
        <v>2709</v>
      </c>
      <c r="D5179" s="104" t="s">
        <v>2710</v>
      </c>
      <c r="E5179" s="126" t="s">
        <v>2666</v>
      </c>
      <c r="F5179" s="102">
        <v>1</v>
      </c>
      <c r="G5179" s="103">
        <f>'LISTA DE INSUMOS'!E289</f>
        <v>187390.69960379996</v>
      </c>
      <c r="H5179" s="104">
        <v>0.51500000000000001</v>
      </c>
      <c r="I5179" s="103">
        <f t="shared" si="53"/>
        <v>96506.210295956989</v>
      </c>
    </row>
    <row r="5180" spans="2:9" ht="19.5" customHeight="1" x14ac:dyDescent="0.2">
      <c r="B5180" s="452" t="s">
        <v>1034</v>
      </c>
      <c r="C5180" s="104" t="s">
        <v>2159</v>
      </c>
      <c r="D5180" s="104" t="s">
        <v>2160</v>
      </c>
      <c r="E5180" s="126" t="s">
        <v>2065</v>
      </c>
      <c r="F5180" s="102">
        <v>1</v>
      </c>
      <c r="G5180" s="103">
        <f>'LISTA DE INSUMOS'!E18</f>
        <v>245584</v>
      </c>
      <c r="H5180" s="104">
        <v>0.2</v>
      </c>
      <c r="I5180" s="103">
        <f t="shared" si="53"/>
        <v>49116.800000000003</v>
      </c>
    </row>
    <row r="5181" spans="2:9" ht="19.5" customHeight="1" x14ac:dyDescent="0.2">
      <c r="B5181" s="338" t="s">
        <v>1033</v>
      </c>
      <c r="C5181" s="104" t="s">
        <v>1017</v>
      </c>
      <c r="D5181" s="104" t="s">
        <v>1029</v>
      </c>
      <c r="E5181" s="126" t="s">
        <v>2066</v>
      </c>
      <c r="F5181" s="102">
        <v>0.2</v>
      </c>
      <c r="G5181" s="103">
        <f>I5180</f>
        <v>49116.800000000003</v>
      </c>
      <c r="H5181" s="104">
        <v>1</v>
      </c>
      <c r="I5181" s="103">
        <f t="shared" si="53"/>
        <v>9823.36</v>
      </c>
    </row>
    <row r="5182" spans="2:9" ht="26.25" customHeight="1" x14ac:dyDescent="0.2">
      <c r="B5182" s="230" t="s">
        <v>2387</v>
      </c>
      <c r="C5182" s="105"/>
      <c r="D5182" s="251" t="s">
        <v>2683</v>
      </c>
      <c r="E5182" s="410" t="s">
        <v>1424</v>
      </c>
      <c r="F5182" s="411"/>
      <c r="G5182" s="412">
        <f>SUM(I5183:I5190)</f>
        <v>83379.882775786638</v>
      </c>
      <c r="H5182" s="105"/>
      <c r="I5182" s="412"/>
    </row>
    <row r="5183" spans="2:9" ht="19.5" customHeight="1" x14ac:dyDescent="0.25">
      <c r="B5183" s="506" t="s">
        <v>1325</v>
      </c>
      <c r="C5183" s="104" t="s">
        <v>2137</v>
      </c>
      <c r="D5183" s="104" t="s">
        <v>2138</v>
      </c>
      <c r="E5183" s="126" t="s">
        <v>2666</v>
      </c>
      <c r="F5183" s="102">
        <v>1</v>
      </c>
      <c r="G5183" s="103">
        <f>'LISTA DE INSUMOS'!E46</f>
        <v>8112.0359999999991</v>
      </c>
      <c r="H5183" s="104">
        <v>0.20300000000000001</v>
      </c>
      <c r="I5183" s="103">
        <f>H5183*G5183*F5183</f>
        <v>1646.7433079999998</v>
      </c>
    </row>
    <row r="5184" spans="2:9" ht="19.5" customHeight="1" x14ac:dyDescent="0.25">
      <c r="B5184" s="506"/>
      <c r="C5184" s="104" t="s">
        <v>2087</v>
      </c>
      <c r="D5184" s="104" t="s">
        <v>2088</v>
      </c>
      <c r="E5184" s="126" t="s">
        <v>2069</v>
      </c>
      <c r="F5184" s="102">
        <v>1</v>
      </c>
      <c r="G5184" s="103">
        <f>'LISTA DE INSUMOS'!E52</f>
        <v>6690.6972299999998</v>
      </c>
      <c r="H5184" s="104">
        <v>0.2</v>
      </c>
      <c r="I5184" s="103">
        <f t="shared" ref="I5184:I5201" si="54">H5184*G5184*F5184</f>
        <v>1338.1394460000001</v>
      </c>
    </row>
    <row r="5185" spans="2:9" ht="19.5" customHeight="1" x14ac:dyDescent="0.25">
      <c r="B5185" s="506"/>
      <c r="C5185" s="104" t="s">
        <v>2203</v>
      </c>
      <c r="D5185" s="104" t="s">
        <v>2204</v>
      </c>
      <c r="E5185" s="126" t="s">
        <v>1435</v>
      </c>
      <c r="F5185" s="102">
        <v>1</v>
      </c>
      <c r="G5185" s="103">
        <f>'LISTA DE INSUMOS'!E93</f>
        <v>11510.734499999999</v>
      </c>
      <c r="H5185" s="104">
        <v>0.1</v>
      </c>
      <c r="I5185" s="103">
        <f t="shared" si="54"/>
        <v>1151.0734499999999</v>
      </c>
    </row>
    <row r="5186" spans="2:9" ht="19.5" customHeight="1" x14ac:dyDescent="0.25">
      <c r="B5186" s="506"/>
      <c r="C5186" s="104" t="s">
        <v>1577</v>
      </c>
      <c r="D5186" s="104" t="s">
        <v>53</v>
      </c>
      <c r="E5186" s="126" t="s">
        <v>1432</v>
      </c>
      <c r="F5186" s="102">
        <v>1</v>
      </c>
      <c r="G5186" s="103">
        <f>G544</f>
        <v>596118</v>
      </c>
      <c r="H5186" s="104">
        <v>6.0000000000000001E-3</v>
      </c>
      <c r="I5186" s="103">
        <f t="shared" si="54"/>
        <v>3576.7080000000001</v>
      </c>
    </row>
    <row r="5187" spans="2:9" ht="19.5" customHeight="1" x14ac:dyDescent="0.25">
      <c r="B5187" s="506"/>
      <c r="C5187" s="104" t="s">
        <v>2721</v>
      </c>
      <c r="D5187" s="104" t="s">
        <v>2711</v>
      </c>
      <c r="E5187" s="126" t="s">
        <v>1424</v>
      </c>
      <c r="F5187" s="102">
        <v>1</v>
      </c>
      <c r="G5187" s="103">
        <f>'LISTA DE INSUMOS'!E708</f>
        <v>45750.13613750579</v>
      </c>
      <c r="H5187" s="104">
        <v>0.01</v>
      </c>
      <c r="I5187" s="103">
        <f t="shared" si="54"/>
        <v>457.50136137505791</v>
      </c>
    </row>
    <row r="5188" spans="2:9" ht="19.5" customHeight="1" x14ac:dyDescent="0.25">
      <c r="B5188" s="506"/>
      <c r="C5188" s="104" t="s">
        <v>2189</v>
      </c>
      <c r="D5188" s="104" t="s">
        <v>2190</v>
      </c>
      <c r="E5188" s="126" t="s">
        <v>2666</v>
      </c>
      <c r="F5188" s="102">
        <v>1</v>
      </c>
      <c r="G5188" s="103">
        <f>'LISTA DE INSUMOS'!E132</f>
        <v>2979.6450687603597</v>
      </c>
      <c r="H5188" s="104">
        <v>0.51500000000000001</v>
      </c>
      <c r="I5188" s="103">
        <f t="shared" si="54"/>
        <v>1534.5172104115852</v>
      </c>
    </row>
    <row r="5189" spans="2:9" ht="19.5" customHeight="1" x14ac:dyDescent="0.2">
      <c r="B5189" s="452" t="s">
        <v>1034</v>
      </c>
      <c r="C5189" s="104" t="s">
        <v>2159</v>
      </c>
      <c r="D5189" s="104" t="s">
        <v>2160</v>
      </c>
      <c r="E5189" s="126" t="s">
        <v>2065</v>
      </c>
      <c r="F5189" s="102">
        <v>1</v>
      </c>
      <c r="G5189" s="103">
        <f>'LISTA DE INSUMOS'!E18</f>
        <v>245584</v>
      </c>
      <c r="H5189" s="104">
        <v>0.25</v>
      </c>
      <c r="I5189" s="103">
        <f t="shared" si="54"/>
        <v>61396</v>
      </c>
    </row>
    <row r="5190" spans="2:9" ht="19.5" customHeight="1" x14ac:dyDescent="0.2">
      <c r="B5190" s="338" t="s">
        <v>1033</v>
      </c>
      <c r="C5190" s="104" t="s">
        <v>1017</v>
      </c>
      <c r="D5190" s="104" t="s">
        <v>1029</v>
      </c>
      <c r="E5190" s="126" t="s">
        <v>2066</v>
      </c>
      <c r="F5190" s="102">
        <v>0.2</v>
      </c>
      <c r="G5190" s="103">
        <f>I5189</f>
        <v>61396</v>
      </c>
      <c r="H5190" s="104">
        <v>1</v>
      </c>
      <c r="I5190" s="103">
        <f t="shared" si="54"/>
        <v>12279.2</v>
      </c>
    </row>
    <row r="5191" spans="2:9" ht="19.5" customHeight="1" x14ac:dyDescent="0.2">
      <c r="B5191" s="230" t="s">
        <v>3256</v>
      </c>
      <c r="C5191" s="230"/>
      <c r="D5191" s="493" t="s">
        <v>3253</v>
      </c>
      <c r="E5191" s="230" t="s">
        <v>1424</v>
      </c>
      <c r="F5191" s="230"/>
      <c r="G5191" s="230">
        <f>SUM(I5192:I5199)</f>
        <v>150554.28504247929</v>
      </c>
      <c r="H5191" s="230"/>
      <c r="I5191" s="230"/>
    </row>
    <row r="5192" spans="2:9" ht="19.5" customHeight="1" x14ac:dyDescent="0.25">
      <c r="B5192" s="506" t="s">
        <v>1325</v>
      </c>
      <c r="C5192" s="104" t="s">
        <v>2137</v>
      </c>
      <c r="D5192" s="104" t="s">
        <v>2138</v>
      </c>
      <c r="E5192" s="126" t="s">
        <v>2666</v>
      </c>
      <c r="F5192" s="102">
        <v>1</v>
      </c>
      <c r="G5192" s="103">
        <f>+'LISTA DE INSUMOS'!E46</f>
        <v>8112.0359999999991</v>
      </c>
      <c r="H5192" s="104">
        <v>0.20300000000000001</v>
      </c>
      <c r="I5192" s="103">
        <f t="shared" si="54"/>
        <v>1646.7433079999998</v>
      </c>
    </row>
    <row r="5193" spans="2:9" ht="19.5" customHeight="1" x14ac:dyDescent="0.25">
      <c r="B5193" s="506"/>
      <c r="C5193" s="104" t="s">
        <v>2087</v>
      </c>
      <c r="D5193" s="104" t="s">
        <v>2088</v>
      </c>
      <c r="E5193" s="126" t="s">
        <v>2069</v>
      </c>
      <c r="F5193" s="102">
        <v>1</v>
      </c>
      <c r="G5193" s="103">
        <f>+'LISTA DE INSUMOS'!E52</f>
        <v>6690.6972299999998</v>
      </c>
      <c r="H5193" s="104">
        <v>0.2</v>
      </c>
      <c r="I5193" s="103">
        <f t="shared" si="54"/>
        <v>1338.1394460000001</v>
      </c>
    </row>
    <row r="5194" spans="2:9" ht="19.5" customHeight="1" x14ac:dyDescent="0.25">
      <c r="B5194" s="506"/>
      <c r="C5194" s="104" t="s">
        <v>2203</v>
      </c>
      <c r="D5194" s="104" t="s">
        <v>2204</v>
      </c>
      <c r="E5194" s="126" t="s">
        <v>1435</v>
      </c>
      <c r="F5194" s="102">
        <v>1</v>
      </c>
      <c r="G5194" s="103">
        <f>+'LISTA DE INSUMOS'!E93</f>
        <v>11510.734499999999</v>
      </c>
      <c r="H5194" s="104">
        <v>0.1</v>
      </c>
      <c r="I5194" s="103">
        <f t="shared" si="54"/>
        <v>1151.0734499999999</v>
      </c>
    </row>
    <row r="5195" spans="2:9" ht="19.5" customHeight="1" x14ac:dyDescent="0.25">
      <c r="B5195" s="506"/>
      <c r="C5195" s="104" t="s">
        <v>1577</v>
      </c>
      <c r="D5195" s="104" t="s">
        <v>53</v>
      </c>
      <c r="E5195" s="126" t="s">
        <v>1432</v>
      </c>
      <c r="F5195" s="102">
        <v>1</v>
      </c>
      <c r="G5195" s="103">
        <f>+'LISTA DE INSUMOS'!E63</f>
        <v>541142.1</v>
      </c>
      <c r="H5195" s="104">
        <v>0.01</v>
      </c>
      <c r="I5195" s="103">
        <f t="shared" si="54"/>
        <v>5411.4210000000003</v>
      </c>
    </row>
    <row r="5196" spans="2:9" ht="19.5" customHeight="1" x14ac:dyDescent="0.25">
      <c r="B5196" s="506"/>
      <c r="C5196" s="104" t="str">
        <f>'LISTA DE INSUMOS'!A709</f>
        <v>MAT723-1</v>
      </c>
      <c r="D5196" s="280" t="str">
        <f>'LISTA DE INSUMOS'!B709</f>
        <v>Gramoquin</v>
      </c>
      <c r="E5196" s="126" t="s">
        <v>1424</v>
      </c>
      <c r="F5196" s="102">
        <v>1</v>
      </c>
      <c r="G5196" s="103">
        <f>'LISTA DE INSUMOS'!E709</f>
        <v>80532.230628067671</v>
      </c>
      <c r="H5196" s="104">
        <v>1</v>
      </c>
      <c r="I5196" s="103">
        <f t="shared" si="54"/>
        <v>80532.230628067671</v>
      </c>
    </row>
    <row r="5197" spans="2:9" ht="19.5" customHeight="1" x14ac:dyDescent="0.25">
      <c r="B5197" s="506"/>
      <c r="C5197" s="104" t="s">
        <v>2189</v>
      </c>
      <c r="D5197" s="104" t="s">
        <v>2190</v>
      </c>
      <c r="E5197" s="126" t="s">
        <v>2666</v>
      </c>
      <c r="F5197" s="102">
        <v>1</v>
      </c>
      <c r="G5197" s="103">
        <f>+'LISTA DE INSUMOS'!E132</f>
        <v>2979.6450687603597</v>
      </c>
      <c r="H5197" s="104">
        <v>0.51500000000000001</v>
      </c>
      <c r="I5197" s="103">
        <f t="shared" si="54"/>
        <v>1534.5172104115852</v>
      </c>
    </row>
    <row r="5198" spans="2:9" ht="19.5" customHeight="1" x14ac:dyDescent="0.2">
      <c r="B5198" s="452" t="s">
        <v>1034</v>
      </c>
      <c r="C5198" s="104" t="s">
        <v>2159</v>
      </c>
      <c r="D5198" s="104" t="s">
        <v>2160</v>
      </c>
      <c r="E5198" s="126" t="s">
        <v>2065</v>
      </c>
      <c r="F5198" s="102">
        <v>1</v>
      </c>
      <c r="G5198" s="103">
        <f>+'ANÁLISIS MANO DE OBRA'!E38</f>
        <v>245584</v>
      </c>
      <c r="H5198" s="104">
        <v>0.2</v>
      </c>
      <c r="I5198" s="103">
        <f t="shared" si="54"/>
        <v>49116.800000000003</v>
      </c>
    </row>
    <row r="5199" spans="2:9" ht="19.5" customHeight="1" x14ac:dyDescent="0.2">
      <c r="B5199" s="338" t="s">
        <v>1033</v>
      </c>
      <c r="C5199" s="104" t="s">
        <v>1017</v>
      </c>
      <c r="D5199" s="104" t="s">
        <v>1029</v>
      </c>
      <c r="E5199" s="126" t="s">
        <v>2066</v>
      </c>
      <c r="F5199" s="102">
        <v>0.2</v>
      </c>
      <c r="G5199" s="103">
        <f>+I5198</f>
        <v>49116.800000000003</v>
      </c>
      <c r="H5199" s="104">
        <v>1</v>
      </c>
      <c r="I5199" s="103">
        <f t="shared" si="54"/>
        <v>9823.36</v>
      </c>
    </row>
    <row r="5200" spans="2:9" ht="19.5" customHeight="1" x14ac:dyDescent="0.2">
      <c r="B5200" s="230" t="s">
        <v>1417</v>
      </c>
      <c r="C5200" s="105"/>
      <c r="D5200" s="251" t="s">
        <v>304</v>
      </c>
      <c r="E5200" s="410" t="s">
        <v>1412</v>
      </c>
      <c r="F5200" s="411"/>
      <c r="G5200" s="412">
        <f>SUM(I5201:I5204)</f>
        <v>222883.65471367928</v>
      </c>
      <c r="H5200" s="105"/>
      <c r="I5200" s="412"/>
    </row>
    <row r="5201" spans="2:9" ht="19.5" customHeight="1" x14ac:dyDescent="0.2">
      <c r="B5201" s="451" t="s">
        <v>1325</v>
      </c>
      <c r="C5201" s="104" t="s">
        <v>2723</v>
      </c>
      <c r="D5201" s="280" t="str">
        <f>'LISTA DE INSUMOS'!B710</f>
        <v>Tubería 6" presión RDE 21, PRESION 200PSI</v>
      </c>
      <c r="E5201" s="126" t="s">
        <v>1412</v>
      </c>
      <c r="F5201" s="102">
        <v>1</v>
      </c>
      <c r="G5201" s="103">
        <f>+'LISTA DE INSUMOS'!E710</f>
        <v>134012.04342355498</v>
      </c>
      <c r="H5201" s="104">
        <v>1.05</v>
      </c>
      <c r="I5201" s="103">
        <f t="shared" si="54"/>
        <v>140712.64559473272</v>
      </c>
    </row>
    <row r="5202" spans="2:9" ht="19.5" customHeight="1" x14ac:dyDescent="0.2">
      <c r="B5202" s="451"/>
      <c r="C5202" s="104" t="s">
        <v>2724</v>
      </c>
      <c r="D5202" s="104" t="s">
        <v>1252</v>
      </c>
      <c r="E5202" s="126" t="s">
        <v>696</v>
      </c>
      <c r="F5202" s="102">
        <v>2</v>
      </c>
      <c r="G5202" s="103">
        <f>I5201*0.2</f>
        <v>28142.529118946546</v>
      </c>
      <c r="H5202" s="104">
        <v>1</v>
      </c>
      <c r="I5202" s="103">
        <f>H5202*G5202</f>
        <v>28142.529118946546</v>
      </c>
    </row>
    <row r="5203" spans="2:9" ht="19.5" customHeight="1" x14ac:dyDescent="0.2">
      <c r="B5203" s="452" t="s">
        <v>1034</v>
      </c>
      <c r="C5203" s="104" t="s">
        <v>2159</v>
      </c>
      <c r="D5203" s="104" t="s">
        <v>2160</v>
      </c>
      <c r="E5203" s="126" t="s">
        <v>2065</v>
      </c>
      <c r="F5203" s="102">
        <v>1</v>
      </c>
      <c r="G5203" s="103">
        <f>'LISTA DE INSUMOS'!E18</f>
        <v>245584</v>
      </c>
      <c r="H5203" s="104">
        <v>0.2</v>
      </c>
      <c r="I5203" s="103">
        <f>H5203*G5203*F5203</f>
        <v>49116.800000000003</v>
      </c>
    </row>
    <row r="5204" spans="2:9" ht="19.5" customHeight="1" x14ac:dyDescent="0.2">
      <c r="B5204" s="338" t="s">
        <v>1033</v>
      </c>
      <c r="C5204" s="104" t="s">
        <v>1017</v>
      </c>
      <c r="D5204" s="104" t="s">
        <v>1029</v>
      </c>
      <c r="E5204" s="126" t="s">
        <v>2066</v>
      </c>
      <c r="F5204" s="102">
        <v>0.1</v>
      </c>
      <c r="G5204" s="103">
        <f>I5203</f>
        <v>49116.800000000003</v>
      </c>
      <c r="H5204" s="104">
        <v>1</v>
      </c>
      <c r="I5204" s="103">
        <f>H5204*G5204*F5204</f>
        <v>4911.68</v>
      </c>
    </row>
    <row r="5205" spans="2:9" ht="19.5" customHeight="1" x14ac:dyDescent="0.2">
      <c r="B5205" s="230" t="s">
        <v>1421</v>
      </c>
      <c r="C5205" s="105"/>
      <c r="D5205" s="251" t="s">
        <v>2726</v>
      </c>
      <c r="E5205" s="410" t="s">
        <v>1412</v>
      </c>
      <c r="F5205" s="411"/>
      <c r="G5205" s="412">
        <f>SUM(I5206:I5209)</f>
        <v>186943.12643774442</v>
      </c>
      <c r="H5205" s="105"/>
      <c r="I5205" s="412"/>
    </row>
    <row r="5206" spans="2:9" ht="19.5" customHeight="1" x14ac:dyDescent="0.2">
      <c r="B5206" s="451" t="s">
        <v>1325</v>
      </c>
      <c r="C5206" s="104" t="s">
        <v>2724</v>
      </c>
      <c r="D5206" s="280" t="str">
        <f>'LISTA DE INSUMOS'!B711</f>
        <v>Lamina galvanizada cal 18 1,22*2,44</v>
      </c>
      <c r="E5206" s="126" t="s">
        <v>1412</v>
      </c>
      <c r="F5206" s="102">
        <v>1</v>
      </c>
      <c r="G5206" s="103">
        <f>'LISTA DE INSUMOS'!E711</f>
        <v>119575.35032651207</v>
      </c>
      <c r="H5206" s="104">
        <v>0.57499999999999996</v>
      </c>
      <c r="I5206" s="103">
        <f>H5206*G5206*F5206</f>
        <v>68755.826437744428</v>
      </c>
    </row>
    <row r="5207" spans="2:9" ht="19.5" customHeight="1" x14ac:dyDescent="0.2">
      <c r="B5207" s="452" t="s">
        <v>1034</v>
      </c>
      <c r="C5207" s="104" t="s">
        <v>1019</v>
      </c>
      <c r="D5207" s="104" t="s">
        <v>2160</v>
      </c>
      <c r="E5207" s="126" t="s">
        <v>2065</v>
      </c>
      <c r="F5207" s="102">
        <v>1</v>
      </c>
      <c r="G5207" s="103">
        <f>'LISTA DE INSUMOS'!E18</f>
        <v>245584</v>
      </c>
      <c r="H5207" s="104">
        <v>0.38500000000000001</v>
      </c>
      <c r="I5207" s="103">
        <f>H5207*G5207*F5207</f>
        <v>94549.84</v>
      </c>
    </row>
    <row r="5208" spans="2:9" ht="19.5" customHeight="1" x14ac:dyDescent="0.2">
      <c r="B5208" s="666" t="s">
        <v>1033</v>
      </c>
      <c r="C5208" s="104" t="str">
        <f>'LISTA DE INSUMOS'!A762</f>
        <v>EQU006</v>
      </c>
      <c r="D5208" s="280" t="str">
        <f>'LISTA DE INSUMOS'!B762</f>
        <v>Andamio (% mano obra)</v>
      </c>
      <c r="E5208" s="126" t="str">
        <f>'LISTA DE INSUMOS'!C762</f>
        <v>%MO</v>
      </c>
      <c r="F5208" s="102">
        <v>1</v>
      </c>
      <c r="G5208" s="103">
        <f>I5207</f>
        <v>94549.84</v>
      </c>
      <c r="H5208" s="104">
        <v>0.2</v>
      </c>
      <c r="I5208" s="103">
        <f>H5208*G5208</f>
        <v>18909.968000000001</v>
      </c>
    </row>
    <row r="5209" spans="2:9" ht="19.5" customHeight="1" x14ac:dyDescent="0.2">
      <c r="B5209" s="666"/>
      <c r="C5209" s="104" t="s">
        <v>2117</v>
      </c>
      <c r="D5209" s="104" t="s">
        <v>1029</v>
      </c>
      <c r="E5209" s="126" t="s">
        <v>2066</v>
      </c>
      <c r="F5209" s="102">
        <v>1</v>
      </c>
      <c r="G5209" s="103">
        <f>I5207</f>
        <v>94549.84</v>
      </c>
      <c r="H5209" s="104">
        <v>0.05</v>
      </c>
      <c r="I5209" s="103">
        <f>H5209*G5209*F5209</f>
        <v>4727.4920000000002</v>
      </c>
    </row>
    <row r="5210" spans="2:9" ht="19.5" customHeight="1" x14ac:dyDescent="0.2">
      <c r="B5210" s="230" t="s">
        <v>1419</v>
      </c>
      <c r="C5210" s="105"/>
      <c r="D5210" s="251" t="s">
        <v>2727</v>
      </c>
      <c r="E5210" s="410" t="s">
        <v>1412</v>
      </c>
      <c r="F5210" s="411"/>
      <c r="G5210" s="412">
        <f>SUM(I5211:I5214)</f>
        <v>35234.109599999996</v>
      </c>
      <c r="H5210" s="105"/>
      <c r="I5210" s="412"/>
    </row>
    <row r="5211" spans="2:9" ht="19.5" customHeight="1" x14ac:dyDescent="0.2">
      <c r="B5211" s="451" t="s">
        <v>1325</v>
      </c>
      <c r="C5211" s="104" t="s">
        <v>2728</v>
      </c>
      <c r="D5211" s="280" t="str">
        <f>'LISTA DE INSUMOS'!B48</f>
        <v>Guadua inmunizada longitud promedio = 6 m</v>
      </c>
      <c r="E5211" s="126" t="s">
        <v>2666</v>
      </c>
      <c r="F5211" s="102">
        <v>1</v>
      </c>
      <c r="G5211" s="103">
        <f>'LISTA DE INSUMOS'!E48</f>
        <v>34584.177599999995</v>
      </c>
      <c r="H5211" s="459">
        <f>1/6</f>
        <v>0.16666666666666666</v>
      </c>
      <c r="I5211" s="103">
        <f>H5211*G5211*F5211</f>
        <v>5764.0295999999989</v>
      </c>
    </row>
    <row r="5212" spans="2:9" ht="19.5" customHeight="1" x14ac:dyDescent="0.2">
      <c r="B5212" s="452" t="s">
        <v>1034</v>
      </c>
      <c r="C5212" s="104" t="s">
        <v>2093</v>
      </c>
      <c r="D5212" s="104" t="s">
        <v>2160</v>
      </c>
      <c r="E5212" s="126" t="s">
        <v>2065</v>
      </c>
      <c r="F5212" s="102">
        <v>1</v>
      </c>
      <c r="G5212" s="103">
        <f>'LISTA DE INSUMOS'!E18</f>
        <v>245584</v>
      </c>
      <c r="H5212" s="104">
        <v>0.1</v>
      </c>
      <c r="I5212" s="103">
        <f>H5212*G5212*F5212</f>
        <v>24558.400000000001</v>
      </c>
    </row>
    <row r="5213" spans="2:9" ht="19.5" customHeight="1" x14ac:dyDescent="0.2">
      <c r="B5213" s="666" t="s">
        <v>1033</v>
      </c>
      <c r="C5213" s="104" t="s">
        <v>2081</v>
      </c>
      <c r="D5213" s="280" t="str">
        <f>'LISTA DE INSUMOS'!B762</f>
        <v>Andamio (% mano obra)</v>
      </c>
      <c r="E5213" s="126" t="str">
        <f>'LISTA DE INSUMOS'!C768</f>
        <v>Día</v>
      </c>
      <c r="F5213" s="102">
        <v>1</v>
      </c>
      <c r="G5213" s="103">
        <f>I5212</f>
        <v>24558.400000000001</v>
      </c>
      <c r="H5213" s="104">
        <v>0.1</v>
      </c>
      <c r="I5213" s="103">
        <f>H5213*G5213</f>
        <v>2455.84</v>
      </c>
    </row>
    <row r="5214" spans="2:9" ht="8.25" customHeight="1" x14ac:dyDescent="0.2">
      <c r="B5214" s="666"/>
      <c r="C5214" s="104" t="s">
        <v>2117</v>
      </c>
      <c r="D5214" s="104" t="s">
        <v>1029</v>
      </c>
      <c r="E5214" s="126" t="s">
        <v>2066</v>
      </c>
      <c r="F5214" s="102">
        <v>1</v>
      </c>
      <c r="G5214" s="103">
        <f>I5212</f>
        <v>24558.400000000001</v>
      </c>
      <c r="H5214" s="104">
        <v>0.1</v>
      </c>
      <c r="I5214" s="103">
        <f>H5214*G5214*F5214</f>
        <v>2455.84</v>
      </c>
    </row>
    <row r="5215" spans="2:9" ht="44.25" customHeight="1" x14ac:dyDescent="0.2">
      <c r="B5215" s="230" t="s">
        <v>1875</v>
      </c>
      <c r="C5215" s="105"/>
      <c r="D5215" s="257" t="s">
        <v>2799</v>
      </c>
      <c r="E5215" s="410" t="s">
        <v>1424</v>
      </c>
      <c r="F5215" s="411"/>
      <c r="G5215" s="412">
        <f>SUM(I5216:I5220)</f>
        <v>24104.963228193476</v>
      </c>
      <c r="H5215" s="105"/>
      <c r="I5215" s="412"/>
    </row>
    <row r="5216" spans="2:9" ht="19.5" customHeight="1" x14ac:dyDescent="0.2">
      <c r="B5216" s="451" t="s">
        <v>1325</v>
      </c>
      <c r="C5216" s="104" t="s">
        <v>576</v>
      </c>
      <c r="D5216" s="280" t="str">
        <f>'[2]LISTA DE INSUMOS'!B256</f>
        <v>Imprimante referencia 3501 o similar</v>
      </c>
      <c r="E5216" s="126" t="s">
        <v>1424</v>
      </c>
      <c r="F5216" s="102">
        <v>1</v>
      </c>
      <c r="G5216" s="103">
        <f>'LISTA DE INSUMOS'!E271</f>
        <v>195620.36761516586</v>
      </c>
      <c r="H5216" s="104">
        <v>3.3000000000000002E-2</v>
      </c>
      <c r="I5216" s="103">
        <f>H5216*G5216*F5216</f>
        <v>6455.4721313004738</v>
      </c>
    </row>
    <row r="5217" spans="2:9" ht="19.5" customHeight="1" x14ac:dyDescent="0.2">
      <c r="B5217" s="451"/>
      <c r="C5217" s="104" t="s">
        <v>558</v>
      </c>
      <c r="D5217" s="104" t="s">
        <v>2690</v>
      </c>
      <c r="E5217" s="126" t="s">
        <v>1424</v>
      </c>
      <c r="F5217" s="102">
        <v>1</v>
      </c>
      <c r="G5217" s="103">
        <f>'LISTA DE INSUMOS'!E73</f>
        <v>69711.851420999985</v>
      </c>
      <c r="H5217" s="104">
        <v>3.3000000000000002E-2</v>
      </c>
      <c r="I5217" s="103">
        <f>H5217*G5217*F5217</f>
        <v>2300.4910968929994</v>
      </c>
    </row>
    <row r="5218" spans="2:9" ht="19.5" customHeight="1" x14ac:dyDescent="0.2">
      <c r="B5218" s="452" t="s">
        <v>1034</v>
      </c>
      <c r="C5218" s="104" t="s">
        <v>2159</v>
      </c>
      <c r="D5218" s="104" t="s">
        <v>2160</v>
      </c>
      <c r="E5218" s="126" t="s">
        <v>2065</v>
      </c>
      <c r="F5218" s="102">
        <v>1</v>
      </c>
      <c r="G5218" s="103">
        <f>'LISTA DE INSUMOS'!E18</f>
        <v>245584</v>
      </c>
      <c r="H5218" s="104">
        <v>0.05</v>
      </c>
      <c r="I5218" s="103">
        <f>H5218*G5218*F5218</f>
        <v>12279.2</v>
      </c>
    </row>
    <row r="5219" spans="2:9" ht="19.5" customHeight="1" x14ac:dyDescent="0.2">
      <c r="B5219" s="452"/>
      <c r="C5219" s="104" t="s">
        <v>2696</v>
      </c>
      <c r="D5219" s="104" t="s">
        <v>1030</v>
      </c>
      <c r="E5219" s="126" t="s">
        <v>2066</v>
      </c>
      <c r="F5219" s="102">
        <v>1</v>
      </c>
      <c r="G5219" s="103">
        <f>I5218</f>
        <v>12279.2</v>
      </c>
      <c r="H5219" s="104">
        <v>0.15</v>
      </c>
      <c r="I5219" s="103">
        <f>H5219*G5219*F5219</f>
        <v>1841.88</v>
      </c>
    </row>
    <row r="5220" spans="2:9" ht="19.5" customHeight="1" x14ac:dyDescent="0.2">
      <c r="B5220" s="338" t="s">
        <v>1033</v>
      </c>
      <c r="C5220" s="104" t="s">
        <v>1017</v>
      </c>
      <c r="D5220" s="104" t="s">
        <v>1029</v>
      </c>
      <c r="E5220" s="126" t="s">
        <v>2066</v>
      </c>
      <c r="F5220" s="102">
        <v>0.1</v>
      </c>
      <c r="G5220" s="103">
        <f>I5218</f>
        <v>12279.2</v>
      </c>
      <c r="H5220" s="104">
        <v>1</v>
      </c>
      <c r="I5220" s="103">
        <f>H5220*G5220*F5220</f>
        <v>1227.92</v>
      </c>
    </row>
    <row r="5221" spans="2:9" ht="19.5" customHeight="1" x14ac:dyDescent="0.2">
      <c r="B5221" s="230" t="s">
        <v>2388</v>
      </c>
      <c r="C5221" s="105"/>
      <c r="D5221" s="257" t="s">
        <v>2800</v>
      </c>
      <c r="E5221" s="410" t="s">
        <v>1424</v>
      </c>
      <c r="F5221" s="411"/>
      <c r="G5221" s="412">
        <f>SUM(I5222:I5230)</f>
        <v>105717.40903434274</v>
      </c>
      <c r="H5221" s="105"/>
      <c r="I5221" s="412"/>
    </row>
    <row r="5222" spans="2:9" ht="19.5" customHeight="1" x14ac:dyDescent="0.2">
      <c r="B5222" s="763" t="s">
        <v>1035</v>
      </c>
      <c r="C5222" s="104" t="s">
        <v>2072</v>
      </c>
      <c r="D5222" s="104" t="s">
        <v>2073</v>
      </c>
      <c r="E5222" s="126" t="s">
        <v>1412</v>
      </c>
      <c r="F5222" s="102">
        <v>1</v>
      </c>
      <c r="G5222" s="103">
        <f>'LISTA DE INSUMOS'!E49</f>
        <v>11944.810644542158</v>
      </c>
      <c r="H5222" s="104">
        <v>1.05</v>
      </c>
      <c r="I5222" s="103">
        <f>H5222*G5222*F5222</f>
        <v>12542.051176769266</v>
      </c>
    </row>
    <row r="5223" spans="2:9" ht="19.5" customHeight="1" x14ac:dyDescent="0.2">
      <c r="B5223" s="763"/>
      <c r="C5223" s="104" t="s">
        <v>2087</v>
      </c>
      <c r="D5223" s="104" t="s">
        <v>2088</v>
      </c>
      <c r="E5223" s="126" t="s">
        <v>2069</v>
      </c>
      <c r="F5223" s="102">
        <v>0.2</v>
      </c>
      <c r="G5223" s="103">
        <f>'LISTA DE INSUMOS'!E52</f>
        <v>6690.6972299999998</v>
      </c>
      <c r="H5223" s="104">
        <v>1.03</v>
      </c>
      <c r="I5223" s="103">
        <f t="shared" ref="I5223:I5230" si="55">H5223*G5223*F5223</f>
        <v>1378.2836293800001</v>
      </c>
    </row>
    <row r="5224" spans="2:9" ht="19.5" customHeight="1" x14ac:dyDescent="0.2">
      <c r="B5224" s="763"/>
      <c r="C5224" s="104" t="s">
        <v>558</v>
      </c>
      <c r="D5224" s="104" t="s">
        <v>559</v>
      </c>
      <c r="E5224" s="126" t="s">
        <v>2801</v>
      </c>
      <c r="F5224" s="102">
        <v>1</v>
      </c>
      <c r="G5224" s="103">
        <f>'LISTA DE INSUMOS'!E73</f>
        <v>69711.851420999985</v>
      </c>
      <c r="H5224" s="104">
        <v>3.3000000000000002E-2</v>
      </c>
      <c r="I5224" s="103">
        <f t="shared" si="55"/>
        <v>2300.4910968929994</v>
      </c>
    </row>
    <row r="5225" spans="2:9" ht="19.5" customHeight="1" x14ac:dyDescent="0.2">
      <c r="B5225" s="763"/>
      <c r="C5225" s="104" t="s">
        <v>571</v>
      </c>
      <c r="D5225" s="104" t="s">
        <v>1080</v>
      </c>
      <c r="E5225" s="126" t="s">
        <v>1424</v>
      </c>
      <c r="F5225" s="102">
        <v>1</v>
      </c>
      <c r="G5225" s="103">
        <f>'LISTA DE INSUMOS'!E96</f>
        <v>21910.649999999998</v>
      </c>
      <c r="H5225" s="104">
        <v>0.3</v>
      </c>
      <c r="I5225" s="103">
        <f t="shared" si="55"/>
        <v>6573.1949999999988</v>
      </c>
    </row>
    <row r="5226" spans="2:9" ht="19.5" customHeight="1" x14ac:dyDescent="0.2">
      <c r="B5226" s="763"/>
      <c r="C5226" s="104" t="s">
        <v>572</v>
      </c>
      <c r="D5226" s="104" t="s">
        <v>573</v>
      </c>
      <c r="E5226" s="126" t="s">
        <v>1412</v>
      </c>
      <c r="F5226" s="102">
        <v>2</v>
      </c>
      <c r="G5226" s="103">
        <f>'LISTA DE INSUMOS'!E97</f>
        <v>3668.7599999999998</v>
      </c>
      <c r="H5226" s="104">
        <v>1.05</v>
      </c>
      <c r="I5226" s="103">
        <f t="shared" si="55"/>
        <v>7704.3959999999997</v>
      </c>
    </row>
    <row r="5227" spans="2:9" ht="19.5" customHeight="1" x14ac:dyDescent="0.2">
      <c r="B5227" s="763"/>
      <c r="C5227" s="104" t="s">
        <v>576</v>
      </c>
      <c r="D5227" s="104" t="s">
        <v>577</v>
      </c>
      <c r="E5227" s="126" t="s">
        <v>2801</v>
      </c>
      <c r="F5227" s="102">
        <v>1</v>
      </c>
      <c r="G5227" s="103">
        <f>'LISTA DE INSUMOS'!E271</f>
        <v>195620.36761516586</v>
      </c>
      <c r="H5227" s="104">
        <v>3.3000000000000002E-2</v>
      </c>
      <c r="I5227" s="103">
        <f t="shared" si="55"/>
        <v>6455.4721313004738</v>
      </c>
    </row>
    <row r="5228" spans="2:9" ht="19.5" customHeight="1" x14ac:dyDescent="0.2">
      <c r="B5228" s="452" t="s">
        <v>1034</v>
      </c>
      <c r="C5228" s="104" t="s">
        <v>2159</v>
      </c>
      <c r="D5228" s="104" t="s">
        <v>2160</v>
      </c>
      <c r="E5228" s="126" t="s">
        <v>2065</v>
      </c>
      <c r="F5228" s="102">
        <v>1</v>
      </c>
      <c r="G5228" s="103">
        <f>'LISTA DE INSUMOS'!E18</f>
        <v>245584</v>
      </c>
      <c r="H5228" s="104">
        <v>0.2</v>
      </c>
      <c r="I5228" s="103">
        <f t="shared" si="55"/>
        <v>49116.800000000003</v>
      </c>
    </row>
    <row r="5229" spans="2:9" ht="19.5" customHeight="1" x14ac:dyDescent="0.2">
      <c r="B5229" s="338" t="s">
        <v>1033</v>
      </c>
      <c r="C5229" s="104" t="s">
        <v>1017</v>
      </c>
      <c r="D5229" s="104" t="s">
        <v>1029</v>
      </c>
      <c r="E5229" s="126" t="s">
        <v>2066</v>
      </c>
      <c r="F5229" s="102">
        <v>0.2</v>
      </c>
      <c r="G5229" s="103">
        <f>I5228</f>
        <v>49116.800000000003</v>
      </c>
      <c r="H5229" s="104">
        <v>1</v>
      </c>
      <c r="I5229" s="103">
        <f t="shared" si="55"/>
        <v>9823.36</v>
      </c>
    </row>
    <row r="5230" spans="2:9" ht="19.5" customHeight="1" x14ac:dyDescent="0.2">
      <c r="B5230" s="338"/>
      <c r="C5230" s="104" t="s">
        <v>2081</v>
      </c>
      <c r="D5230" s="104" t="s">
        <v>1030</v>
      </c>
      <c r="E5230" s="126" t="s">
        <v>2066</v>
      </c>
      <c r="F5230" s="102">
        <v>0.2</v>
      </c>
      <c r="G5230" s="103">
        <f>I5228</f>
        <v>49116.800000000003</v>
      </c>
      <c r="H5230" s="104">
        <v>1</v>
      </c>
      <c r="I5230" s="103">
        <f t="shared" si="55"/>
        <v>9823.36</v>
      </c>
    </row>
    <row r="5231" spans="2:9" ht="19.5" customHeight="1" x14ac:dyDescent="0.2">
      <c r="B5231" s="230" t="s">
        <v>3029</v>
      </c>
      <c r="C5231" s="105"/>
      <c r="D5231" s="251" t="s">
        <v>2802</v>
      </c>
      <c r="E5231" s="410" t="s">
        <v>2666</v>
      </c>
      <c r="F5231" s="411"/>
      <c r="G5231" s="412">
        <f>SUM(I5232:I5239)</f>
        <v>82874.24082332768</v>
      </c>
      <c r="H5231" s="105"/>
      <c r="I5231" s="412"/>
    </row>
    <row r="5232" spans="2:9" ht="19.5" customHeight="1" x14ac:dyDescent="0.2">
      <c r="B5232" s="764" t="s">
        <v>1035</v>
      </c>
      <c r="C5232" s="104" t="s">
        <v>2803</v>
      </c>
      <c r="D5232" s="104" t="s">
        <v>2729</v>
      </c>
      <c r="E5232" s="126" t="s">
        <v>2666</v>
      </c>
      <c r="F5232" s="102">
        <v>1</v>
      </c>
      <c r="G5232" s="103">
        <f>'LISTA DE INSUMOS'!E48</f>
        <v>34584.177599999995</v>
      </c>
      <c r="H5232" s="104">
        <v>0.17</v>
      </c>
      <c r="I5232" s="103">
        <f>H5232*G5232*F5232</f>
        <v>5879.3101919999999</v>
      </c>
    </row>
    <row r="5233" spans="2:9" ht="19.5" customHeight="1" x14ac:dyDescent="0.2">
      <c r="B5233" s="764"/>
      <c r="C5233" s="104" t="s">
        <v>2737</v>
      </c>
      <c r="D5233" s="104" t="s">
        <v>2738</v>
      </c>
      <c r="E5233" s="126" t="s">
        <v>1435</v>
      </c>
      <c r="F5233" s="102">
        <v>2</v>
      </c>
      <c r="G5233" s="103">
        <f>'LISTA DE INSUMOS'!E495</f>
        <v>1679.5444101512999</v>
      </c>
      <c r="H5233" s="104">
        <v>1</v>
      </c>
      <c r="I5233" s="103">
        <f t="shared" ref="I5233:I5239" si="56">H5233*G5233*F5233</f>
        <v>3359.0888203025997</v>
      </c>
    </row>
    <row r="5234" spans="2:9" ht="19.5" customHeight="1" x14ac:dyDescent="0.2">
      <c r="B5234" s="764"/>
      <c r="C5234" s="104" t="s">
        <v>2735</v>
      </c>
      <c r="D5234" s="104" t="s">
        <v>2736</v>
      </c>
      <c r="E5234" s="126" t="s">
        <v>2666</v>
      </c>
      <c r="F5234" s="102">
        <v>1</v>
      </c>
      <c r="G5234" s="103">
        <f>'LISTA DE INSUMOS'!E494</f>
        <v>26675.117102402994</v>
      </c>
      <c r="H5234" s="104">
        <v>0.17</v>
      </c>
      <c r="I5234" s="103">
        <f t="shared" si="56"/>
        <v>4534.7699074085094</v>
      </c>
    </row>
    <row r="5235" spans="2:9" ht="19.5" customHeight="1" x14ac:dyDescent="0.2">
      <c r="B5235" s="764"/>
      <c r="C5235" s="104" t="s">
        <v>576</v>
      </c>
      <c r="D5235" s="104" t="s">
        <v>577</v>
      </c>
      <c r="E5235" s="126" t="s">
        <v>1424</v>
      </c>
      <c r="F5235" s="102">
        <v>1</v>
      </c>
      <c r="G5235" s="103">
        <f>'LISTA DE INSUMOS'!E271</f>
        <v>195620.36761516586</v>
      </c>
      <c r="H5235" s="104">
        <v>0.1</v>
      </c>
      <c r="I5235" s="103">
        <f t="shared" si="56"/>
        <v>19562.036761516585</v>
      </c>
    </row>
    <row r="5236" spans="2:9" ht="19.5" customHeight="1" x14ac:dyDescent="0.2">
      <c r="B5236" s="764"/>
      <c r="C5236" s="104" t="s">
        <v>558</v>
      </c>
      <c r="D5236" s="104" t="s">
        <v>2690</v>
      </c>
      <c r="E5236" s="126" t="s">
        <v>1435</v>
      </c>
      <c r="F5236" s="102">
        <v>1</v>
      </c>
      <c r="G5236" s="103">
        <f>'LISTA DE INSUMOS'!E73</f>
        <v>69711.851420999985</v>
      </c>
      <c r="H5236" s="104">
        <v>0.1</v>
      </c>
      <c r="I5236" s="103">
        <f t="shared" si="56"/>
        <v>6971.1851420999992</v>
      </c>
    </row>
    <row r="5237" spans="2:9" ht="19.5" customHeight="1" x14ac:dyDescent="0.2">
      <c r="B5237" s="452" t="s">
        <v>1034</v>
      </c>
      <c r="C5237" s="104" t="s">
        <v>2091</v>
      </c>
      <c r="D5237" s="280" t="str">
        <f>'[2]LISTA DE INSUMOS'!B17</f>
        <v>Cuadrilla D 2 Of + 4 Ay (jornal + prestaciones)</v>
      </c>
      <c r="E5237" s="126" t="s">
        <v>2065</v>
      </c>
      <c r="F5237" s="102">
        <v>1</v>
      </c>
      <c r="G5237" s="103">
        <f>'LISTA DE INSUMOS'!E17</f>
        <v>654890</v>
      </c>
      <c r="H5237" s="104">
        <v>0.05</v>
      </c>
      <c r="I5237" s="103">
        <f t="shared" si="56"/>
        <v>32744.5</v>
      </c>
    </row>
    <row r="5238" spans="2:9" ht="19.5" customHeight="1" x14ac:dyDescent="0.2">
      <c r="B5238" s="338" t="s">
        <v>1033</v>
      </c>
      <c r="C5238" s="104" t="s">
        <v>1017</v>
      </c>
      <c r="D5238" s="104" t="s">
        <v>1029</v>
      </c>
      <c r="E5238" s="126" t="s">
        <v>2066</v>
      </c>
      <c r="F5238" s="102">
        <v>0.1</v>
      </c>
      <c r="G5238" s="103">
        <f>I5237</f>
        <v>32744.5</v>
      </c>
      <c r="H5238" s="104">
        <v>1</v>
      </c>
      <c r="I5238" s="103">
        <f t="shared" si="56"/>
        <v>3274.4500000000003</v>
      </c>
    </row>
    <row r="5239" spans="2:9" ht="19.5" customHeight="1" x14ac:dyDescent="0.2">
      <c r="B5239" s="338"/>
      <c r="C5239" s="104" t="s">
        <v>2081</v>
      </c>
      <c r="D5239" s="104" t="s">
        <v>1030</v>
      </c>
      <c r="E5239" s="126" t="s">
        <v>2066</v>
      </c>
      <c r="F5239" s="102">
        <v>0.2</v>
      </c>
      <c r="G5239" s="103">
        <f>I5237</f>
        <v>32744.5</v>
      </c>
      <c r="H5239" s="104">
        <v>1</v>
      </c>
      <c r="I5239" s="103">
        <f t="shared" si="56"/>
        <v>6548.9000000000005</v>
      </c>
    </row>
    <row r="5240" spans="2:9" ht="85.5" customHeight="1" x14ac:dyDescent="0.2">
      <c r="B5240" s="230" t="s">
        <v>2009</v>
      </c>
      <c r="C5240" s="105"/>
      <c r="D5240" s="257" t="s">
        <v>3241</v>
      </c>
      <c r="E5240" s="410" t="s">
        <v>1424</v>
      </c>
      <c r="F5240" s="411"/>
      <c r="G5240" s="412">
        <f>SUM(I5241:I5250)</f>
        <v>362400.03906240419</v>
      </c>
      <c r="H5240" s="105"/>
      <c r="I5240" s="412"/>
    </row>
    <row r="5241" spans="2:9" ht="19.5" customHeight="1" x14ac:dyDescent="0.2">
      <c r="B5241" s="646" t="s">
        <v>1035</v>
      </c>
      <c r="C5241" s="104" t="s">
        <v>614</v>
      </c>
      <c r="D5241" s="104" t="s">
        <v>615</v>
      </c>
      <c r="E5241" s="126" t="s">
        <v>1435</v>
      </c>
      <c r="F5241" s="102">
        <v>5</v>
      </c>
      <c r="G5241" s="103">
        <f>'LISTA DE INSUMOS'!E354</f>
        <v>3022.7378186543997</v>
      </c>
      <c r="H5241" s="104">
        <v>1.05</v>
      </c>
      <c r="I5241" s="103">
        <f>H5241*G5241*F5241</f>
        <v>15869.3735479356</v>
      </c>
    </row>
    <row r="5242" spans="2:9" ht="19.5" customHeight="1" x14ac:dyDescent="0.2">
      <c r="B5242" s="646"/>
      <c r="C5242" s="104" t="s">
        <v>2072</v>
      </c>
      <c r="D5242" s="104" t="s">
        <v>2073</v>
      </c>
      <c r="E5242" s="126" t="s">
        <v>1412</v>
      </c>
      <c r="F5242" s="102">
        <v>2</v>
      </c>
      <c r="G5242" s="103">
        <f>'LISTA DE INSUMOS'!E49</f>
        <v>11944.810644542158</v>
      </c>
      <c r="H5242" s="104">
        <v>1.03</v>
      </c>
      <c r="I5242" s="103">
        <f t="shared" ref="I5242:I5250" si="57">H5242*G5242*F5242</f>
        <v>24606.309927756847</v>
      </c>
    </row>
    <row r="5243" spans="2:9" ht="19.5" customHeight="1" x14ac:dyDescent="0.2">
      <c r="B5243" s="646"/>
      <c r="C5243" s="104" t="s">
        <v>2087</v>
      </c>
      <c r="D5243" s="104" t="s">
        <v>2088</v>
      </c>
      <c r="E5243" s="126" t="s">
        <v>2069</v>
      </c>
      <c r="F5243" s="102">
        <v>0.15</v>
      </c>
      <c r="G5243" s="103">
        <f>'LISTA DE INSUMOS'!E52</f>
        <v>6690.6972299999998</v>
      </c>
      <c r="H5243" s="104">
        <v>0</v>
      </c>
      <c r="I5243" s="103">
        <f t="shared" si="57"/>
        <v>0</v>
      </c>
    </row>
    <row r="5244" spans="2:9" ht="19.5" customHeight="1" x14ac:dyDescent="0.2">
      <c r="B5244" s="646"/>
      <c r="C5244" s="104" t="s">
        <v>2086</v>
      </c>
      <c r="D5244" s="104" t="s">
        <v>2459</v>
      </c>
      <c r="E5244" s="126" t="s">
        <v>1435</v>
      </c>
      <c r="F5244" s="102">
        <v>1</v>
      </c>
      <c r="G5244" s="103">
        <f>'LISTA DE INSUMOS'!E326</f>
        <v>9180.6293252519972</v>
      </c>
      <c r="H5244" s="104">
        <v>1.03</v>
      </c>
      <c r="I5244" s="103">
        <f t="shared" si="57"/>
        <v>9456.0482050095579</v>
      </c>
    </row>
    <row r="5245" spans="2:9" ht="19.5" customHeight="1" x14ac:dyDescent="0.2">
      <c r="B5245" s="646"/>
      <c r="C5245" s="104" t="s">
        <v>2212</v>
      </c>
      <c r="D5245" s="104" t="s">
        <v>2213</v>
      </c>
      <c r="E5245" s="126" t="s">
        <v>1424</v>
      </c>
      <c r="F5245" s="102">
        <v>1</v>
      </c>
      <c r="G5245" s="103">
        <f>'LISTA DE INSUMOS'!E69</f>
        <v>2533.4825999999998</v>
      </c>
      <c r="H5245" s="104">
        <v>1.03</v>
      </c>
      <c r="I5245" s="103">
        <f t="shared" si="57"/>
        <v>2609.4870779999997</v>
      </c>
    </row>
    <row r="5246" spans="2:9" ht="19.5" customHeight="1" x14ac:dyDescent="0.2">
      <c r="B5246" s="646"/>
      <c r="C5246" s="104" t="s">
        <v>616</v>
      </c>
      <c r="D5246" s="104" t="s">
        <v>110</v>
      </c>
      <c r="E5246" s="126" t="s">
        <v>1424</v>
      </c>
      <c r="F5246" s="102">
        <v>1</v>
      </c>
      <c r="G5246" s="103">
        <f>'LISTA DE INSUMOS'!E366</f>
        <v>19298.090687089498</v>
      </c>
      <c r="H5246" s="104">
        <v>1.03</v>
      </c>
      <c r="I5246" s="103">
        <f t="shared" si="57"/>
        <v>19877.033407702183</v>
      </c>
    </row>
    <row r="5247" spans="2:9" ht="19.5" customHeight="1" x14ac:dyDescent="0.2">
      <c r="B5247" s="262" t="s">
        <v>1310</v>
      </c>
      <c r="C5247" s="104" t="s">
        <v>190</v>
      </c>
      <c r="D5247" s="280" t="str">
        <f>D1465</f>
        <v>Mortero 1:3 impermeabilizado (producción)</v>
      </c>
      <c r="E5247" s="126" t="s">
        <v>1432</v>
      </c>
      <c r="F5247" s="102">
        <v>4.3200000000000001E-3</v>
      </c>
      <c r="G5247" s="103">
        <f>G1465</f>
        <v>583886</v>
      </c>
      <c r="H5247" s="104">
        <v>1.05</v>
      </c>
      <c r="I5247" s="103">
        <f t="shared" si="57"/>
        <v>2648.5068960000003</v>
      </c>
    </row>
    <row r="5248" spans="2:9" ht="19.5" customHeight="1" x14ac:dyDescent="0.2">
      <c r="B5248" s="452" t="s">
        <v>1034</v>
      </c>
      <c r="C5248" s="104" t="s">
        <v>2159</v>
      </c>
      <c r="D5248" s="280" t="str">
        <f>'[2]LISTA DE INSUMOS'!B18</f>
        <v>Cuadrilla E 1 Of + 1 Ay (jornal + prestaciones)</v>
      </c>
      <c r="E5248" s="126" t="s">
        <v>2065</v>
      </c>
      <c r="F5248" s="102">
        <v>1</v>
      </c>
      <c r="G5248" s="103">
        <f>'LISTA DE INSUMOS'!E18</f>
        <v>245584</v>
      </c>
      <c r="H5248" s="104">
        <v>0.39</v>
      </c>
      <c r="I5248" s="103">
        <f t="shared" si="57"/>
        <v>95777.760000000009</v>
      </c>
    </row>
    <row r="5249" spans="2:9" ht="19.5" customHeight="1" x14ac:dyDescent="0.2">
      <c r="B5249" s="638" t="s">
        <v>1033</v>
      </c>
      <c r="C5249" s="104" t="s">
        <v>1017</v>
      </c>
      <c r="D5249" s="104" t="s">
        <v>1029</v>
      </c>
      <c r="E5249" s="126" t="s">
        <v>2066</v>
      </c>
      <c r="F5249" s="102">
        <v>1</v>
      </c>
      <c r="G5249" s="103">
        <f>I5248</f>
        <v>95777.760000000009</v>
      </c>
      <c r="H5249" s="104">
        <v>1</v>
      </c>
      <c r="I5249" s="103">
        <f t="shared" si="57"/>
        <v>95777.760000000009</v>
      </c>
    </row>
    <row r="5250" spans="2:9" ht="19.5" customHeight="1" x14ac:dyDescent="0.2">
      <c r="B5250" s="638"/>
      <c r="C5250" s="104" t="s">
        <v>2081</v>
      </c>
      <c r="D5250" s="104" t="s">
        <v>1030</v>
      </c>
      <c r="E5250" s="126" t="s">
        <v>2066</v>
      </c>
      <c r="F5250" s="102">
        <v>1</v>
      </c>
      <c r="G5250" s="103">
        <f>I5248</f>
        <v>95777.760000000009</v>
      </c>
      <c r="H5250" s="104">
        <v>1</v>
      </c>
      <c r="I5250" s="103">
        <f t="shared" si="57"/>
        <v>95777.760000000009</v>
      </c>
    </row>
    <row r="5251" spans="2:9" ht="19.5" customHeight="1" x14ac:dyDescent="0.2">
      <c r="B5251" s="230" t="s">
        <v>2011</v>
      </c>
      <c r="C5251" s="105"/>
      <c r="D5251" s="462" t="str">
        <f>[2]PRESUPUESTO!B22</f>
        <v>Techo en teja de zinc, No incluye entramado de madera</v>
      </c>
      <c r="E5251" s="410" t="s">
        <v>1424</v>
      </c>
      <c r="F5251" s="411"/>
      <c r="G5251" s="412">
        <f>SUM(I5252:I5257)</f>
        <v>28946.744730222752</v>
      </c>
      <c r="H5251" s="105"/>
      <c r="I5251" s="412"/>
    </row>
    <row r="5252" spans="2:9" ht="19.5" customHeight="1" x14ac:dyDescent="0.2">
      <c r="B5252" s="646" t="s">
        <v>1035</v>
      </c>
      <c r="C5252" s="104" t="s">
        <v>617</v>
      </c>
      <c r="D5252" s="104" t="s">
        <v>3242</v>
      </c>
      <c r="E5252" s="126" t="s">
        <v>1424</v>
      </c>
      <c r="F5252" s="102">
        <v>0.62</v>
      </c>
      <c r="G5252" s="103">
        <f>'LISTA DE INSUMOS'!E410</f>
        <v>17557.802309849998</v>
      </c>
      <c r="H5252" s="104">
        <v>1.03</v>
      </c>
      <c r="I5252" s="103">
        <f t="shared" ref="I5252:I5257" si="58">H5252*G5252*F5252</f>
        <v>11212.412555070208</v>
      </c>
    </row>
    <row r="5253" spans="2:9" ht="19.5" customHeight="1" x14ac:dyDescent="0.2">
      <c r="B5253" s="646"/>
      <c r="C5253" s="104" t="s">
        <v>565</v>
      </c>
      <c r="D5253" s="104" t="s">
        <v>2258</v>
      </c>
      <c r="E5253" s="126" t="s">
        <v>1435</v>
      </c>
      <c r="F5253" s="102">
        <v>2</v>
      </c>
      <c r="G5253" s="103">
        <f>'LISTA DE INSUMOS'!E80</f>
        <v>662.41499999999996</v>
      </c>
      <c r="H5253" s="104">
        <v>1</v>
      </c>
      <c r="I5253" s="103">
        <f t="shared" si="58"/>
        <v>1324.83</v>
      </c>
    </row>
    <row r="5254" spans="2:9" ht="19.5" customHeight="1" x14ac:dyDescent="0.2">
      <c r="B5254" s="646"/>
      <c r="C5254" s="104" t="s">
        <v>566</v>
      </c>
      <c r="D5254" s="104" t="s">
        <v>107</v>
      </c>
      <c r="E5254" s="126" t="s">
        <v>1414</v>
      </c>
      <c r="F5254" s="102">
        <v>0.01</v>
      </c>
      <c r="G5254" s="103">
        <f>'LISTA DE INSUMOS'!E391</f>
        <v>19510.502441994297</v>
      </c>
      <c r="H5254" s="104">
        <v>1.03</v>
      </c>
      <c r="I5254" s="103">
        <f t="shared" si="58"/>
        <v>200.95817515254126</v>
      </c>
    </row>
    <row r="5255" spans="2:9" ht="19.5" customHeight="1" x14ac:dyDescent="0.2">
      <c r="B5255" s="452" t="s">
        <v>1034</v>
      </c>
      <c r="C5255" s="104" t="s">
        <v>2159</v>
      </c>
      <c r="D5255" s="104" t="s">
        <v>2160</v>
      </c>
      <c r="E5255" s="126" t="s">
        <v>2065</v>
      </c>
      <c r="F5255" s="102">
        <v>1</v>
      </c>
      <c r="G5255" s="103">
        <f>'LISTA DE INSUMOS'!E18</f>
        <v>245584</v>
      </c>
      <c r="H5255" s="104">
        <v>5.5E-2</v>
      </c>
      <c r="I5255" s="103">
        <f t="shared" si="58"/>
        <v>13507.12</v>
      </c>
    </row>
    <row r="5256" spans="2:9" ht="19.5" customHeight="1" x14ac:dyDescent="0.2">
      <c r="B5256" s="338" t="s">
        <v>1033</v>
      </c>
      <c r="C5256" s="104" t="s">
        <v>1017</v>
      </c>
      <c r="D5256" s="104" t="s">
        <v>1029</v>
      </c>
      <c r="E5256" s="126" t="s">
        <v>2066</v>
      </c>
      <c r="F5256" s="102">
        <v>0.1</v>
      </c>
      <c r="G5256" s="103">
        <f>I5255</f>
        <v>13507.12</v>
      </c>
      <c r="H5256" s="104">
        <v>1</v>
      </c>
      <c r="I5256" s="103">
        <f t="shared" si="58"/>
        <v>1350.7120000000002</v>
      </c>
    </row>
    <row r="5257" spans="2:9" ht="19.5" customHeight="1" x14ac:dyDescent="0.2">
      <c r="B5257" s="338"/>
      <c r="C5257" s="104" t="s">
        <v>2081</v>
      </c>
      <c r="D5257" s="104" t="s">
        <v>1030</v>
      </c>
      <c r="E5257" s="126" t="s">
        <v>2066</v>
      </c>
      <c r="F5257" s="102">
        <v>0.1</v>
      </c>
      <c r="G5257" s="103">
        <f>I5255</f>
        <v>13507.12</v>
      </c>
      <c r="H5257" s="104">
        <v>1</v>
      </c>
      <c r="I5257" s="103">
        <f t="shared" si="58"/>
        <v>1350.7120000000002</v>
      </c>
    </row>
    <row r="5258" spans="2:9" ht="45.75" customHeight="1" x14ac:dyDescent="0.2">
      <c r="B5258" s="230" t="s">
        <v>2013</v>
      </c>
      <c r="C5258" s="105"/>
      <c r="D5258" s="463" t="s">
        <v>3310</v>
      </c>
      <c r="E5258" s="410" t="s">
        <v>1412</v>
      </c>
      <c r="F5258" s="411"/>
      <c r="G5258" s="412">
        <f>SUM(I5259:I5264)</f>
        <v>24031.513543883761</v>
      </c>
      <c r="H5258" s="105"/>
      <c r="I5258" s="412"/>
    </row>
    <row r="5259" spans="2:9" ht="19.5" customHeight="1" x14ac:dyDescent="0.2">
      <c r="B5259" s="764" t="s">
        <v>1035</v>
      </c>
      <c r="C5259" s="104" t="s">
        <v>1011</v>
      </c>
      <c r="D5259" s="104" t="s">
        <v>1079</v>
      </c>
      <c r="E5259" s="126" t="s">
        <v>1412</v>
      </c>
      <c r="F5259" s="102">
        <v>6</v>
      </c>
      <c r="G5259" s="103">
        <f>'[2]LISTA DE INSUMOS'!E62</f>
        <v>382</v>
      </c>
      <c r="H5259" s="104">
        <v>1</v>
      </c>
      <c r="I5259" s="103">
        <f t="shared" ref="I5259:I5264" si="59">H5259*G5259*F5259</f>
        <v>2292</v>
      </c>
    </row>
    <row r="5260" spans="2:9" ht="19.5" customHeight="1" x14ac:dyDescent="0.2">
      <c r="B5260" s="764"/>
      <c r="C5260" s="104" t="s">
        <v>1012</v>
      </c>
      <c r="D5260" s="280" t="str">
        <f>'LISTA DE INSUMOS'!B62</f>
        <v xml:space="preserve">Poste de madera 8*8" h = 2 m. revoltura media </v>
      </c>
      <c r="E5260" s="126" t="s">
        <v>1435</v>
      </c>
      <c r="F5260" s="102">
        <v>0.53300000000000003</v>
      </c>
      <c r="G5260" s="103">
        <f>'LISTA DE INSUMOS'!E62</f>
        <v>24981.304286399998</v>
      </c>
      <c r="H5260" s="104">
        <v>1.05</v>
      </c>
      <c r="I5260" s="103">
        <f t="shared" si="59"/>
        <v>13980.786943883761</v>
      </c>
    </row>
    <row r="5261" spans="2:9" ht="19.5" customHeight="1" x14ac:dyDescent="0.2">
      <c r="B5261" s="764"/>
      <c r="C5261" s="104" t="s">
        <v>974</v>
      </c>
      <c r="D5261" s="104" t="s">
        <v>975</v>
      </c>
      <c r="E5261" s="126" t="s">
        <v>1414</v>
      </c>
      <c r="F5261" s="102">
        <v>0.06</v>
      </c>
      <c r="G5261" s="103">
        <f>'LISTA DE INSUMOS'!E196</f>
        <v>14878.859999999999</v>
      </c>
      <c r="H5261" s="104">
        <v>1</v>
      </c>
      <c r="I5261" s="103">
        <f t="shared" si="59"/>
        <v>892.73159999999984</v>
      </c>
    </row>
    <row r="5262" spans="2:9" ht="19.5" customHeight="1" x14ac:dyDescent="0.2">
      <c r="B5262" s="764"/>
      <c r="C5262" s="104" t="s">
        <v>2140</v>
      </c>
      <c r="D5262" s="104" t="s">
        <v>2141</v>
      </c>
      <c r="E5262" s="126" t="s">
        <v>1414</v>
      </c>
      <c r="F5262" s="102">
        <v>0.15</v>
      </c>
      <c r="G5262" s="103">
        <v>4432</v>
      </c>
      <c r="H5262" s="104">
        <v>1</v>
      </c>
      <c r="I5262" s="103">
        <f t="shared" si="59"/>
        <v>664.8</v>
      </c>
    </row>
    <row r="5263" spans="2:9" ht="19.5" customHeight="1" x14ac:dyDescent="0.2">
      <c r="B5263" s="452" t="s">
        <v>1034</v>
      </c>
      <c r="C5263" s="104" t="s">
        <v>2093</v>
      </c>
      <c r="D5263" s="104" t="s">
        <v>2094</v>
      </c>
      <c r="E5263" s="126" t="s">
        <v>2065</v>
      </c>
      <c r="F5263" s="102">
        <v>1</v>
      </c>
      <c r="G5263" s="103">
        <f>'[2]LISTA DE INSUMOS'!E20</f>
        <v>187915</v>
      </c>
      <c r="H5263" s="104">
        <v>0.03</v>
      </c>
      <c r="I5263" s="103">
        <f t="shared" si="59"/>
        <v>5637.45</v>
      </c>
    </row>
    <row r="5264" spans="2:9" ht="19.5" customHeight="1" x14ac:dyDescent="0.2">
      <c r="B5264" s="338" t="s">
        <v>1033</v>
      </c>
      <c r="C5264" s="104" t="s">
        <v>1017</v>
      </c>
      <c r="D5264" s="104" t="s">
        <v>1029</v>
      </c>
      <c r="E5264" s="126" t="s">
        <v>2066</v>
      </c>
      <c r="F5264" s="102">
        <v>0.1</v>
      </c>
      <c r="G5264" s="103">
        <f>I5263</f>
        <v>5637.45</v>
      </c>
      <c r="H5264" s="104">
        <v>1</v>
      </c>
      <c r="I5264" s="103">
        <f t="shared" si="59"/>
        <v>563.745</v>
      </c>
    </row>
    <row r="5265" spans="2:9" ht="40.5" customHeight="1" x14ac:dyDescent="0.2">
      <c r="B5265" s="230" t="s">
        <v>2017</v>
      </c>
      <c r="C5265" s="105"/>
      <c r="D5265" s="463" t="s">
        <v>2804</v>
      </c>
      <c r="E5265" s="410" t="s">
        <v>1424</v>
      </c>
      <c r="F5265" s="411"/>
      <c r="G5265" s="412">
        <f>SUM(I5266:I5270)</f>
        <v>54297.799105348269</v>
      </c>
      <c r="H5265" s="105"/>
      <c r="I5265" s="412"/>
    </row>
    <row r="5266" spans="2:9" ht="19.5" customHeight="1" x14ac:dyDescent="0.2">
      <c r="B5266" s="452" t="s">
        <v>1034</v>
      </c>
      <c r="C5266" s="104" t="s">
        <v>2103</v>
      </c>
      <c r="D5266" s="104" t="s">
        <v>2068</v>
      </c>
      <c r="E5266" s="126" t="s">
        <v>2065</v>
      </c>
      <c r="F5266" s="102">
        <v>1</v>
      </c>
      <c r="G5266" s="103">
        <f>'LISTA DE INSUMOS'!E9</f>
        <v>491167</v>
      </c>
      <c r="H5266" s="287">
        <f>1/15</f>
        <v>6.6666666666666666E-2</v>
      </c>
      <c r="I5266" s="103">
        <f>H5266*G5266*F5266</f>
        <v>32744.466666666667</v>
      </c>
    </row>
    <row r="5267" spans="2:9" ht="19.5" customHeight="1" x14ac:dyDescent="0.2">
      <c r="B5267" s="452"/>
      <c r="C5267" s="104" t="s">
        <v>1015</v>
      </c>
      <c r="D5267" s="104" t="s">
        <v>2524</v>
      </c>
      <c r="E5267" s="126" t="s">
        <v>1016</v>
      </c>
      <c r="F5267" s="102">
        <v>0.2</v>
      </c>
      <c r="G5267" s="103">
        <f>I5266</f>
        <v>32744.466666666667</v>
      </c>
      <c r="H5267" s="104">
        <v>1</v>
      </c>
      <c r="I5267" s="103">
        <f>H5267*G5267*F5267</f>
        <v>6548.8933333333334</v>
      </c>
    </row>
    <row r="5268" spans="2:9" ht="19.5" customHeight="1" x14ac:dyDescent="0.2">
      <c r="B5268" s="338" t="s">
        <v>1033</v>
      </c>
      <c r="C5268" s="104" t="s">
        <v>2081</v>
      </c>
      <c r="D5268" s="104" t="s">
        <v>1030</v>
      </c>
      <c r="E5268" s="126" t="s">
        <v>2066</v>
      </c>
      <c r="F5268" s="102">
        <v>0.2</v>
      </c>
      <c r="G5268" s="103">
        <v>37892</v>
      </c>
      <c r="H5268" s="104">
        <v>1</v>
      </c>
      <c r="I5268" s="103">
        <f>H5268*G5268*F5268</f>
        <v>7578.4000000000005</v>
      </c>
    </row>
    <row r="5269" spans="2:9" ht="19.5" customHeight="1" x14ac:dyDescent="0.2">
      <c r="B5269" s="338"/>
      <c r="C5269" s="104" t="str">
        <f>'LISTA DE INSUMOS'!A820</f>
        <v>EQU065</v>
      </c>
      <c r="D5269" s="280" t="str">
        <f>'LISTA DE INSUMOS'!B820</f>
        <v>eslinga y arnes</v>
      </c>
      <c r="E5269" s="282" t="str">
        <f>'LISTA DE INSUMOS'!C820</f>
        <v>Dia</v>
      </c>
      <c r="F5269" s="102">
        <v>0.2</v>
      </c>
      <c r="G5269" s="103">
        <f>'LISTA DE INSUMOS'!E820</f>
        <v>20757.962193407995</v>
      </c>
      <c r="H5269" s="104">
        <v>1</v>
      </c>
      <c r="I5269" s="103">
        <f>H5269*G5269*F5269</f>
        <v>4151.5924386815996</v>
      </c>
    </row>
    <row r="5270" spans="2:9" ht="19.5" customHeight="1" x14ac:dyDescent="0.2">
      <c r="B5270" s="338"/>
      <c r="C5270" s="104" t="s">
        <v>1017</v>
      </c>
      <c r="D5270" s="104" t="s">
        <v>1029</v>
      </c>
      <c r="E5270" s="126" t="s">
        <v>2066</v>
      </c>
      <c r="F5270" s="102">
        <v>0.1</v>
      </c>
      <c r="G5270" s="103">
        <f>I5266</f>
        <v>32744.466666666667</v>
      </c>
      <c r="H5270" s="104">
        <v>1</v>
      </c>
      <c r="I5270" s="103">
        <f>H5270*G5270*F5270</f>
        <v>3274.4466666666667</v>
      </c>
    </row>
    <row r="5271" spans="2:9" ht="33" customHeight="1" x14ac:dyDescent="0.2">
      <c r="B5271" s="230" t="s">
        <v>2015</v>
      </c>
      <c r="C5271" s="105"/>
      <c r="D5271" s="105" t="s">
        <v>2805</v>
      </c>
      <c r="E5271" s="410" t="s">
        <v>1424</v>
      </c>
      <c r="F5271" s="411"/>
      <c r="G5271" s="412">
        <f>SUM(I5272:I5276)</f>
        <v>21826.669011990925</v>
      </c>
      <c r="H5271" s="105"/>
      <c r="I5271" s="412"/>
    </row>
    <row r="5272" spans="2:9" ht="19.5" customHeight="1" x14ac:dyDescent="0.2">
      <c r="B5272" s="464" t="s">
        <v>1325</v>
      </c>
      <c r="C5272" s="104" t="s">
        <v>576</v>
      </c>
      <c r="D5272" s="104" t="s">
        <v>577</v>
      </c>
      <c r="E5272" s="126" t="s">
        <v>1424</v>
      </c>
      <c r="F5272" s="102">
        <v>1</v>
      </c>
      <c r="G5272" s="103">
        <f>'LISTA DE INSUMOS'!E271</f>
        <v>195620.36761516586</v>
      </c>
      <c r="H5272" s="104">
        <v>3.3000000000000002E-2</v>
      </c>
      <c r="I5272" s="103">
        <f>H5272*G5272*F5272</f>
        <v>6455.4721313004738</v>
      </c>
    </row>
    <row r="5273" spans="2:9" ht="19.5" customHeight="1" x14ac:dyDescent="0.2">
      <c r="B5273" s="464"/>
      <c r="C5273" s="104" t="s">
        <v>978</v>
      </c>
      <c r="D5273" s="280" t="str">
        <f>'[2]LISTA DE INSUMOS'!B251</f>
        <v>Calfos</v>
      </c>
      <c r="E5273" s="126" t="s">
        <v>1424</v>
      </c>
      <c r="F5273" s="102">
        <v>1</v>
      </c>
      <c r="G5273" s="103">
        <f>'LISTA DE INSUMOS'!E266</f>
        <v>672.63274819540788</v>
      </c>
      <c r="H5273" s="104">
        <v>3.3000000000000002E-2</v>
      </c>
      <c r="I5273" s="103">
        <f>H5273*G5273*F5273</f>
        <v>22.196880690448463</v>
      </c>
    </row>
    <row r="5274" spans="2:9" ht="19.5" customHeight="1" x14ac:dyDescent="0.2">
      <c r="B5274" s="452" t="s">
        <v>1034</v>
      </c>
      <c r="C5274" s="104" t="s">
        <v>2159</v>
      </c>
      <c r="D5274" s="104" t="s">
        <v>2160</v>
      </c>
      <c r="E5274" s="126" t="s">
        <v>2065</v>
      </c>
      <c r="F5274" s="102">
        <v>1</v>
      </c>
      <c r="G5274" s="103">
        <f>'LISTA DE INSUMOS'!E18</f>
        <v>245584</v>
      </c>
      <c r="H5274" s="104">
        <v>0.05</v>
      </c>
      <c r="I5274" s="103">
        <f>H5274*G5274*F5274</f>
        <v>12279.2</v>
      </c>
    </row>
    <row r="5275" spans="2:9" ht="19.5" customHeight="1" x14ac:dyDescent="0.2">
      <c r="B5275" s="452"/>
      <c r="C5275" s="104" t="s">
        <v>2696</v>
      </c>
      <c r="D5275" s="104" t="s">
        <v>1030</v>
      </c>
      <c r="E5275" s="126" t="s">
        <v>2066</v>
      </c>
      <c r="F5275" s="102">
        <v>1</v>
      </c>
      <c r="G5275" s="103">
        <f>I5274</f>
        <v>12279.2</v>
      </c>
      <c r="H5275" s="104">
        <v>0.15</v>
      </c>
      <c r="I5275" s="103">
        <f>H5275*G5275*F5275</f>
        <v>1841.88</v>
      </c>
    </row>
    <row r="5276" spans="2:9" ht="19.5" customHeight="1" x14ac:dyDescent="0.2">
      <c r="B5276" s="338" t="s">
        <v>1033</v>
      </c>
      <c r="C5276" s="104" t="s">
        <v>1017</v>
      </c>
      <c r="D5276" s="104" t="s">
        <v>1029</v>
      </c>
      <c r="E5276" s="126" t="s">
        <v>2066</v>
      </c>
      <c r="F5276" s="102">
        <v>0.1</v>
      </c>
      <c r="G5276" s="103">
        <f>I5274</f>
        <v>12279.2</v>
      </c>
      <c r="H5276" s="104">
        <v>1</v>
      </c>
      <c r="I5276" s="103">
        <f>H5276*G5276*F5276</f>
        <v>1227.92</v>
      </c>
    </row>
    <row r="5277" spans="2:9" ht="33" customHeight="1" x14ac:dyDescent="0.2">
      <c r="B5277" s="230" t="s">
        <v>1994</v>
      </c>
      <c r="C5277" s="105"/>
      <c r="D5277" s="257" t="s">
        <v>2731</v>
      </c>
      <c r="E5277" s="410" t="s">
        <v>2665</v>
      </c>
      <c r="F5277" s="411"/>
      <c r="G5277" s="412">
        <f>SUM(I5278:I5281)</f>
        <v>225534.17580731842</v>
      </c>
      <c r="H5277" s="105"/>
      <c r="I5277" s="412"/>
    </row>
    <row r="5278" spans="2:9" ht="19.5" customHeight="1" x14ac:dyDescent="0.2">
      <c r="B5278" s="451" t="s">
        <v>1325</v>
      </c>
      <c r="C5278" s="104" t="str">
        <f>'LISTA DE INSUMOS'!A712</f>
        <v>MAT725</v>
      </c>
      <c r="D5278" s="280" t="str">
        <f>'LISTA DE INSUMOS'!B712</f>
        <v>Lamina marmol 20 cms tipo cocina</v>
      </c>
      <c r="E5278" s="126" t="str">
        <f>'LISTA DE INSUMOS'!C712</f>
        <v>ML</v>
      </c>
      <c r="F5278" s="102">
        <v>1</v>
      </c>
      <c r="G5278" s="103">
        <f>'LISTA DE INSUMOS'!E712</f>
        <v>80439.799802207985</v>
      </c>
      <c r="H5278" s="104">
        <v>1.05</v>
      </c>
      <c r="I5278" s="103">
        <f>H5278*G5278*F5278</f>
        <v>84461.789792318392</v>
      </c>
    </row>
    <row r="5279" spans="2:9" ht="19.5" customHeight="1" x14ac:dyDescent="0.2">
      <c r="B5279" s="451"/>
      <c r="C5279" s="104" t="s">
        <v>2732</v>
      </c>
      <c r="D5279" s="280" t="str">
        <f>'LISTA DE INSUMOS'!B713</f>
        <v>ADHESIVO ESPECIAL PARA INSTALACIÓN DE MÁRMOL 50Kilos</v>
      </c>
      <c r="E5279" s="126" t="s">
        <v>1124</v>
      </c>
      <c r="F5279" s="102">
        <v>0.2</v>
      </c>
      <c r="G5279" s="103">
        <f>'LISTA DE INSUMOS'!E713</f>
        <v>165077.13007499999</v>
      </c>
      <c r="H5279" s="104">
        <v>1</v>
      </c>
      <c r="I5279" s="103">
        <f>H5279*G5279*F5279</f>
        <v>33015.426014999997</v>
      </c>
    </row>
    <row r="5280" spans="2:9" ht="19.5" customHeight="1" x14ac:dyDescent="0.2">
      <c r="B5280" s="452" t="s">
        <v>1034</v>
      </c>
      <c r="C5280" s="104" t="s">
        <v>2159</v>
      </c>
      <c r="D5280" s="104" t="s">
        <v>2160</v>
      </c>
      <c r="E5280" s="126" t="s">
        <v>2065</v>
      </c>
      <c r="F5280" s="102">
        <v>1</v>
      </c>
      <c r="G5280" s="103">
        <f>'LISTA DE INSUMOS'!E18</f>
        <v>245584</v>
      </c>
      <c r="H5280" s="104">
        <v>0.4</v>
      </c>
      <c r="I5280" s="103">
        <f>H5280*G5280*F5280</f>
        <v>98233.600000000006</v>
      </c>
    </row>
    <row r="5281" spans="2:9" ht="19.5" customHeight="1" x14ac:dyDescent="0.2">
      <c r="B5281" s="338" t="s">
        <v>1033</v>
      </c>
      <c r="C5281" s="104" t="s">
        <v>1017</v>
      </c>
      <c r="D5281" s="104" t="s">
        <v>1029</v>
      </c>
      <c r="E5281" s="126" t="s">
        <v>2066</v>
      </c>
      <c r="F5281" s="102">
        <v>0.1</v>
      </c>
      <c r="G5281" s="103">
        <f>I5280</f>
        <v>98233.600000000006</v>
      </c>
      <c r="H5281" s="104">
        <v>1</v>
      </c>
      <c r="I5281" s="103">
        <f>H5281*G5281*F5281</f>
        <v>9823.36</v>
      </c>
    </row>
    <row r="5282" spans="2:9" ht="19.5" customHeight="1" x14ac:dyDescent="0.2">
      <c r="B5282" s="230" t="s">
        <v>2029</v>
      </c>
      <c r="C5282" s="105"/>
      <c r="D5282" s="105" t="s">
        <v>2806</v>
      </c>
      <c r="E5282" s="410" t="s">
        <v>1435</v>
      </c>
      <c r="F5282" s="411"/>
      <c r="G5282" s="412">
        <f>SUM(I5283:I5288)</f>
        <v>45840.341225254502</v>
      </c>
      <c r="H5282" s="105"/>
      <c r="I5282" s="412"/>
    </row>
    <row r="5283" spans="2:9" ht="19.5" customHeight="1" x14ac:dyDescent="0.2">
      <c r="B5283" s="451" t="s">
        <v>1325</v>
      </c>
      <c r="C5283" s="104" t="s">
        <v>977</v>
      </c>
      <c r="D5283" s="104" t="s">
        <v>114</v>
      </c>
      <c r="E5283" s="126" t="s">
        <v>1414</v>
      </c>
      <c r="F5283" s="102">
        <v>1</v>
      </c>
      <c r="G5283" s="103">
        <f>+'LISTA DE INSUMOS'!E207</f>
        <v>5300.1352799999995</v>
      </c>
      <c r="H5283" s="104">
        <v>2E-3</v>
      </c>
      <c r="I5283" s="103">
        <f>G5283*H5283</f>
        <v>10.600270559999998</v>
      </c>
    </row>
    <row r="5284" spans="2:9" ht="19.5" customHeight="1" x14ac:dyDescent="0.2">
      <c r="B5284" s="451"/>
      <c r="C5284" s="104" t="s">
        <v>982</v>
      </c>
      <c r="D5284" s="104" t="s">
        <v>983</v>
      </c>
      <c r="E5284" s="126" t="s">
        <v>1414</v>
      </c>
      <c r="F5284" s="102">
        <v>1</v>
      </c>
      <c r="G5284" s="103">
        <f>+'LISTA DE INSUMOS'!E272</f>
        <v>47590.798034999993</v>
      </c>
      <c r="H5284" s="104">
        <v>2.7000000000000001E-3</v>
      </c>
      <c r="I5284" s="103">
        <f>G5284*H5284</f>
        <v>128.49515469449997</v>
      </c>
    </row>
    <row r="5285" spans="2:9" ht="19.5" customHeight="1" x14ac:dyDescent="0.2">
      <c r="B5285" s="452" t="s">
        <v>2807</v>
      </c>
      <c r="C5285" s="104" t="s">
        <v>2808</v>
      </c>
      <c r="D5285" s="104" t="s">
        <v>2809</v>
      </c>
      <c r="E5285" s="126" t="s">
        <v>1074</v>
      </c>
      <c r="F5285" s="102">
        <v>1</v>
      </c>
      <c r="G5285" s="103">
        <f>+'LISTA DE INSUMOS'!E29</f>
        <v>183242</v>
      </c>
      <c r="H5285" s="104">
        <v>7.4000000000000003E-3</v>
      </c>
      <c r="I5285" s="103">
        <f>G5285*H5285</f>
        <v>1355.9908</v>
      </c>
    </row>
    <row r="5286" spans="2:9" ht="19.5" customHeight="1" x14ac:dyDescent="0.2">
      <c r="B5286" s="452"/>
      <c r="C5286" s="104" t="s">
        <v>1367</v>
      </c>
      <c r="D5286" s="104" t="s">
        <v>2104</v>
      </c>
      <c r="E5286" s="126" t="s">
        <v>1074</v>
      </c>
      <c r="F5286" s="102">
        <v>1</v>
      </c>
      <c r="G5286" s="103">
        <f>+'ANÁLISIS MANO DE OBRA'!E35</f>
        <v>412454</v>
      </c>
      <c r="H5286" s="104">
        <v>0.05</v>
      </c>
      <c r="I5286" s="103">
        <f>H5286*G5286*F5286+3</f>
        <v>20625.7</v>
      </c>
    </row>
    <row r="5287" spans="2:9" ht="19.5" customHeight="1" x14ac:dyDescent="0.2">
      <c r="B5287" s="338" t="s">
        <v>1033</v>
      </c>
      <c r="C5287" s="104" t="s">
        <v>1017</v>
      </c>
      <c r="D5287" s="104" t="s">
        <v>1029</v>
      </c>
      <c r="E5287" s="126" t="s">
        <v>2066</v>
      </c>
      <c r="F5287" s="102">
        <v>1</v>
      </c>
      <c r="G5287" s="103">
        <f>+I5286</f>
        <v>20625.7</v>
      </c>
      <c r="H5287" s="104">
        <v>1</v>
      </c>
      <c r="I5287" s="103">
        <f>H5287*G5287*F5287</f>
        <v>20625.7</v>
      </c>
    </row>
    <row r="5288" spans="2:9" ht="19.5" customHeight="1" x14ac:dyDescent="0.2">
      <c r="B5288" s="338"/>
      <c r="C5288" s="104" t="s">
        <v>187</v>
      </c>
      <c r="D5288" s="104" t="s">
        <v>188</v>
      </c>
      <c r="E5288" s="126" t="s">
        <v>189</v>
      </c>
      <c r="F5288" s="102">
        <v>0.15</v>
      </c>
      <c r="G5288" s="103">
        <f>+I5286</f>
        <v>20625.7</v>
      </c>
      <c r="H5288" s="104">
        <v>1</v>
      </c>
      <c r="I5288" s="103">
        <f>H5288*G5288*F5288</f>
        <v>3093.855</v>
      </c>
    </row>
    <row r="5289" spans="2:9" ht="19.5" customHeight="1" x14ac:dyDescent="0.2">
      <c r="B5289" s="230" t="s">
        <v>2028</v>
      </c>
      <c r="C5289" s="105"/>
      <c r="D5289" s="105" t="s">
        <v>2814</v>
      </c>
      <c r="E5289" s="410" t="s">
        <v>1424</v>
      </c>
      <c r="F5289" s="411"/>
      <c r="G5289" s="412">
        <f>SUM(I5290:I5294)</f>
        <v>42095.081480818793</v>
      </c>
      <c r="H5289" s="105"/>
      <c r="I5289" s="412"/>
    </row>
    <row r="5290" spans="2:9" ht="19.5" customHeight="1" x14ac:dyDescent="0.2">
      <c r="B5290" s="451" t="s">
        <v>1325</v>
      </c>
      <c r="C5290" s="104" t="str">
        <f>'LISTA DE INSUMOS'!A714</f>
        <v>MAT727</v>
      </c>
      <c r="D5290" s="104" t="str">
        <f>'LISTA DE INSUMOS'!B714</f>
        <v>Tela poliéster 10m2 30 gramos/m2</v>
      </c>
      <c r="E5290" s="126" t="s">
        <v>1435</v>
      </c>
      <c r="F5290" s="102">
        <v>1</v>
      </c>
      <c r="G5290" s="103">
        <f>'LISTA DE INSUMOS'!E714</f>
        <v>22358.267336327997</v>
      </c>
      <c r="H5290" s="104">
        <f>1/10</f>
        <v>0.1</v>
      </c>
      <c r="I5290" s="103">
        <f>G5290*H5290*F5290</f>
        <v>2235.8267336327999</v>
      </c>
    </row>
    <row r="5291" spans="2:9" ht="19.5" customHeight="1" x14ac:dyDescent="0.2">
      <c r="B5291" s="451"/>
      <c r="C5291" s="104" t="str">
        <f>'LISTA DE INSUMOS'!A715</f>
        <v>MAT728</v>
      </c>
      <c r="D5291" s="104" t="str">
        <f>'LISTA DE INSUMOS'!B715</f>
        <v>Broncoelástico gris 1 galón</v>
      </c>
      <c r="E5291" s="126" t="s">
        <v>2156</v>
      </c>
      <c r="F5291" s="102">
        <v>1</v>
      </c>
      <c r="G5291" s="103">
        <f>'LISTA DE INSUMOS'!E715</f>
        <v>96102.273735929979</v>
      </c>
      <c r="H5291" s="104">
        <f>1/5</f>
        <v>0.2</v>
      </c>
      <c r="I5291" s="103">
        <f>G5291*H5291*F5291</f>
        <v>19220.454747185995</v>
      </c>
    </row>
    <row r="5292" spans="2:9" ht="19.5" customHeight="1" x14ac:dyDescent="0.2">
      <c r="B5292" s="452" t="s">
        <v>2807</v>
      </c>
      <c r="C5292" s="104" t="s">
        <v>1367</v>
      </c>
      <c r="D5292" s="104" t="s">
        <v>2104</v>
      </c>
      <c r="E5292" s="126" t="s">
        <v>1074</v>
      </c>
      <c r="F5292" s="102">
        <v>1</v>
      </c>
      <c r="G5292" s="103">
        <v>238140</v>
      </c>
      <c r="H5292" s="220">
        <f>1/15</f>
        <v>6.6666666666666666E-2</v>
      </c>
      <c r="I5292" s="103">
        <f>G5292*H5292*F5292</f>
        <v>15876</v>
      </c>
    </row>
    <row r="5293" spans="2:9" ht="19.5" customHeight="1" x14ac:dyDescent="0.2">
      <c r="B5293" s="338" t="s">
        <v>1033</v>
      </c>
      <c r="C5293" s="104" t="s">
        <v>1017</v>
      </c>
      <c r="D5293" s="104" t="s">
        <v>1029</v>
      </c>
      <c r="E5293" s="126" t="s">
        <v>2066</v>
      </c>
      <c r="F5293" s="102">
        <v>0.1</v>
      </c>
      <c r="G5293" s="103">
        <f>I5292</f>
        <v>15876</v>
      </c>
      <c r="H5293" s="104">
        <v>1</v>
      </c>
      <c r="I5293" s="103">
        <f>G5293*H5293*F5293</f>
        <v>1587.6000000000001</v>
      </c>
    </row>
    <row r="5294" spans="2:9" ht="19.5" customHeight="1" x14ac:dyDescent="0.2">
      <c r="B5294" s="338"/>
      <c r="C5294" s="104" t="str">
        <f>'LISTA DE INSUMOS'!A762</f>
        <v>EQU006</v>
      </c>
      <c r="D5294" s="280" t="str">
        <f>'LISTA DE INSUMOS'!B762</f>
        <v>Andamio (% mano obra)</v>
      </c>
      <c r="E5294" s="126" t="str">
        <f>'LISTA DE INSUMOS'!C762</f>
        <v>%MO</v>
      </c>
      <c r="F5294" s="102">
        <v>0.2</v>
      </c>
      <c r="G5294" s="103">
        <f>I5292</f>
        <v>15876</v>
      </c>
      <c r="H5294" s="104">
        <v>1</v>
      </c>
      <c r="I5294" s="103">
        <f>G5294*H5294*F5294</f>
        <v>3175.2000000000003</v>
      </c>
    </row>
    <row r="5295" spans="2:9" ht="30.75" customHeight="1" x14ac:dyDescent="0.2">
      <c r="B5295" s="230" t="s">
        <v>2027</v>
      </c>
      <c r="C5295" s="105"/>
      <c r="D5295" s="463" t="s">
        <v>2815</v>
      </c>
      <c r="E5295" s="410" t="s">
        <v>1412</v>
      </c>
      <c r="F5295" s="411"/>
      <c r="G5295" s="412">
        <f>SUM(I5296:I5303)</f>
        <v>209599.23813418008</v>
      </c>
      <c r="H5295" s="105"/>
      <c r="I5295" s="412"/>
    </row>
    <row r="5296" spans="2:9" ht="19.5" customHeight="1" x14ac:dyDescent="0.2">
      <c r="B5296" s="451"/>
      <c r="C5296" s="104" t="s">
        <v>503</v>
      </c>
      <c r="D5296" s="104" t="s">
        <v>504</v>
      </c>
      <c r="E5296" s="126" t="s">
        <v>1424</v>
      </c>
      <c r="F5296" s="102">
        <v>2.1</v>
      </c>
      <c r="G5296" s="103">
        <f>+'LISTA DE INSUMOS'!E180</f>
        <v>43792.809428939989</v>
      </c>
      <c r="H5296" s="104">
        <v>0</v>
      </c>
      <c r="I5296" s="103">
        <f>G5296*F5296</f>
        <v>91964.899800773986</v>
      </c>
    </row>
    <row r="5297" spans="2:43" ht="19.5" customHeight="1" x14ac:dyDescent="0.2">
      <c r="B5297" s="451" t="s">
        <v>1325</v>
      </c>
      <c r="C5297" s="104" t="s">
        <v>2140</v>
      </c>
      <c r="D5297" s="104" t="s">
        <v>2141</v>
      </c>
      <c r="E5297" s="126" t="s">
        <v>1414</v>
      </c>
      <c r="F5297" s="102">
        <v>0.13</v>
      </c>
      <c r="G5297" s="103">
        <f>+'LISTA DE INSUMOS'!E190</f>
        <v>10174.934703779998</v>
      </c>
      <c r="H5297" s="104">
        <v>0</v>
      </c>
      <c r="I5297" s="103">
        <f>G5297*F5297</f>
        <v>1322.7415114913997</v>
      </c>
      <c r="AQ5297" s="511"/>
    </row>
    <row r="5298" spans="2:43" ht="19.5" customHeight="1" x14ac:dyDescent="0.2">
      <c r="B5298" s="451"/>
      <c r="C5298" s="104" t="s">
        <v>507</v>
      </c>
      <c r="D5298" s="104" t="s">
        <v>508</v>
      </c>
      <c r="E5298" s="126" t="s">
        <v>1414</v>
      </c>
      <c r="F5298" s="102">
        <v>0.15</v>
      </c>
      <c r="G5298" s="103">
        <f>+'LISTA DE INSUMOS'!E213</f>
        <v>14247.017999999998</v>
      </c>
      <c r="H5298" s="104">
        <v>1.03</v>
      </c>
      <c r="I5298" s="103">
        <f>H5298*G5298*F5298</f>
        <v>2201.1642809999998</v>
      </c>
    </row>
    <row r="5299" spans="2:43" ht="19.5" customHeight="1" x14ac:dyDescent="0.2">
      <c r="B5299" s="451"/>
      <c r="C5299" s="104" t="s">
        <v>509</v>
      </c>
      <c r="D5299" s="104" t="s">
        <v>1007</v>
      </c>
      <c r="E5299" s="126" t="s">
        <v>1435</v>
      </c>
      <c r="F5299" s="102">
        <v>0.6</v>
      </c>
      <c r="G5299" s="103">
        <f>+'LISTA DE INSUMOS'!E346</f>
        <v>93963.050801333971</v>
      </c>
      <c r="H5299" s="104">
        <v>0</v>
      </c>
      <c r="I5299" s="103">
        <f>G5299*F5299</f>
        <v>56377.830480800381</v>
      </c>
    </row>
    <row r="5300" spans="2:43" ht="19.5" customHeight="1" x14ac:dyDescent="0.2">
      <c r="B5300" s="452" t="s">
        <v>1034</v>
      </c>
      <c r="C5300" s="104" t="s">
        <v>2103</v>
      </c>
      <c r="D5300" s="104" t="s">
        <v>2068</v>
      </c>
      <c r="E5300" s="126" t="s">
        <v>2065</v>
      </c>
      <c r="F5300" s="102">
        <v>1</v>
      </c>
      <c r="G5300" s="103">
        <f>+'ANÁLISIS MANO DE OBRA'!E34</f>
        <v>491167</v>
      </c>
      <c r="H5300" s="104">
        <f>1/10</f>
        <v>0.1</v>
      </c>
      <c r="I5300" s="103">
        <f>H5300*G5300*F5300</f>
        <v>49116.700000000004</v>
      </c>
    </row>
    <row r="5301" spans="2:43" ht="19.5" customHeight="1" x14ac:dyDescent="0.2">
      <c r="B5301" s="338" t="s">
        <v>1033</v>
      </c>
      <c r="C5301" s="104" t="s">
        <v>1017</v>
      </c>
      <c r="D5301" s="104" t="s">
        <v>1029</v>
      </c>
      <c r="E5301" s="126" t="s">
        <v>2066</v>
      </c>
      <c r="F5301" s="102">
        <v>0.1</v>
      </c>
      <c r="G5301" s="103">
        <f>I5300</f>
        <v>49116.700000000004</v>
      </c>
      <c r="H5301" s="104">
        <v>0</v>
      </c>
      <c r="I5301" s="103">
        <f>G5301*F5301</f>
        <v>4911.670000000001</v>
      </c>
    </row>
    <row r="5302" spans="2:43" ht="19.5" customHeight="1" x14ac:dyDescent="0.2">
      <c r="B5302" s="338"/>
      <c r="C5302" s="104" t="s">
        <v>2081</v>
      </c>
      <c r="D5302" s="104" t="s">
        <v>1030</v>
      </c>
      <c r="E5302" s="126" t="s">
        <v>2066</v>
      </c>
      <c r="F5302" s="102">
        <v>0.05</v>
      </c>
      <c r="G5302" s="103">
        <f>I5300</f>
        <v>49116.700000000004</v>
      </c>
      <c r="H5302" s="104">
        <v>0</v>
      </c>
      <c r="I5302" s="103">
        <f>G5302*F5302</f>
        <v>2455.8350000000005</v>
      </c>
    </row>
    <row r="5303" spans="2:43" ht="19.5" customHeight="1" x14ac:dyDescent="0.2">
      <c r="B5303" s="338"/>
      <c r="C5303" s="104" t="s">
        <v>923</v>
      </c>
      <c r="D5303" s="104" t="s">
        <v>1097</v>
      </c>
      <c r="E5303" s="126" t="s">
        <v>2065</v>
      </c>
      <c r="F5303" s="102">
        <v>1</v>
      </c>
      <c r="G5303" s="103">
        <f>+'LISTA DE INSUMOS'!E796</f>
        <v>43693.897103999996</v>
      </c>
      <c r="H5303" s="220">
        <v>2.8571428571428571E-2</v>
      </c>
      <c r="I5303" s="103">
        <f>H5303*G5303*F5303</f>
        <v>1248.3970601142855</v>
      </c>
    </row>
    <row r="5304" spans="2:43" ht="19.5" customHeight="1" x14ac:dyDescent="0.2">
      <c r="B5304" s="230" t="s">
        <v>2026</v>
      </c>
      <c r="C5304" s="105"/>
      <c r="D5304" s="463" t="s">
        <v>2818</v>
      </c>
      <c r="E5304" s="410" t="s">
        <v>1424</v>
      </c>
      <c r="F5304" s="411"/>
      <c r="G5304" s="412">
        <f>SUM(I5305:I5308)</f>
        <v>33715.144304535206</v>
      </c>
      <c r="H5304" s="105"/>
      <c r="I5304" s="412"/>
    </row>
    <row r="5305" spans="2:43" ht="19.5" customHeight="1" x14ac:dyDescent="0.2">
      <c r="B5305" s="451" t="s">
        <v>1325</v>
      </c>
      <c r="C5305" s="104" t="str">
        <f>'LISTA DE INSUMOS'!A716</f>
        <v>MAT729</v>
      </c>
      <c r="D5305" s="104" t="str">
        <f>'LISTA DE INSUMOS'!B716</f>
        <v>Frescasa con foil Fiberglass</v>
      </c>
      <c r="E5305" s="126" t="s">
        <v>1424</v>
      </c>
      <c r="F5305" s="102">
        <v>1</v>
      </c>
      <c r="G5305" s="103">
        <f>'LISTA DE INSUMOS'!E716</f>
        <v>30473.6048045352</v>
      </c>
      <c r="H5305" s="104">
        <v>0</v>
      </c>
      <c r="I5305" s="103">
        <f>G5305*F5305</f>
        <v>30473.6048045352</v>
      </c>
    </row>
    <row r="5306" spans="2:43" ht="19.5" customHeight="1" x14ac:dyDescent="0.2">
      <c r="B5306" s="452" t="s">
        <v>1034</v>
      </c>
      <c r="C5306" s="104" t="s">
        <v>2103</v>
      </c>
      <c r="D5306" s="104" t="s">
        <v>2068</v>
      </c>
      <c r="E5306" s="126" t="s">
        <v>2065</v>
      </c>
      <c r="F5306" s="102">
        <v>1</v>
      </c>
      <c r="G5306" s="103">
        <v>281873</v>
      </c>
      <c r="H5306" s="104">
        <f>1/100</f>
        <v>0.01</v>
      </c>
      <c r="I5306" s="103">
        <f>H5306*G5306*F5306</f>
        <v>2818.73</v>
      </c>
    </row>
    <row r="5307" spans="2:43" ht="19.5" customHeight="1" x14ac:dyDescent="0.2">
      <c r="B5307" s="338" t="s">
        <v>1033</v>
      </c>
      <c r="C5307" s="104" t="s">
        <v>1017</v>
      </c>
      <c r="D5307" s="104" t="s">
        <v>1029</v>
      </c>
      <c r="E5307" s="126" t="s">
        <v>2066</v>
      </c>
      <c r="F5307" s="102">
        <v>0.1</v>
      </c>
      <c r="G5307" s="103">
        <f>I5306</f>
        <v>2818.73</v>
      </c>
      <c r="H5307" s="104">
        <v>0</v>
      </c>
      <c r="I5307" s="103">
        <f>G5307*F5307</f>
        <v>281.87299999999999</v>
      </c>
    </row>
    <row r="5308" spans="2:43" ht="19.5" customHeight="1" x14ac:dyDescent="0.2">
      <c r="B5308" s="338"/>
      <c r="C5308" s="104" t="s">
        <v>2081</v>
      </c>
      <c r="D5308" s="104" t="s">
        <v>1030</v>
      </c>
      <c r="E5308" s="126" t="s">
        <v>2066</v>
      </c>
      <c r="F5308" s="102">
        <v>0.05</v>
      </c>
      <c r="G5308" s="103">
        <f>I5306</f>
        <v>2818.73</v>
      </c>
      <c r="H5308" s="104">
        <v>0</v>
      </c>
      <c r="I5308" s="103">
        <f>G5308*F5308</f>
        <v>140.9365</v>
      </c>
    </row>
    <row r="5309" spans="2:43" ht="34.5" customHeight="1" x14ac:dyDescent="0.2">
      <c r="B5309" s="230" t="s">
        <v>2025</v>
      </c>
      <c r="C5309" s="105"/>
      <c r="D5309" s="476" t="s">
        <v>2850</v>
      </c>
      <c r="E5309" s="410" t="str">
        <f>'[3]Análisis Unitario'!E5138</f>
        <v>M2</v>
      </c>
      <c r="F5309" s="411"/>
      <c r="G5309" s="412">
        <f>SUM(I5310:I5316)</f>
        <v>1237.8633463985686</v>
      </c>
      <c r="H5309" s="105"/>
      <c r="I5309" s="412"/>
    </row>
    <row r="5310" spans="2:43" ht="19.5" customHeight="1" x14ac:dyDescent="0.2">
      <c r="B5310" s="451" t="str">
        <f>'[3]Análisis Unitario'!B5139</f>
        <v>MAT</v>
      </c>
      <c r="C5310" s="104" t="str">
        <f>'LISTA DE INSUMOS'!A207</f>
        <v>MAT167</v>
      </c>
      <c r="D5310" s="280" t="str">
        <f>'LISTA DE INSUMOS'!B207</f>
        <v>Fertilizante Tipo DAP,10-30-10, Triple Quince</v>
      </c>
      <c r="E5310" s="126" t="str">
        <f>'[3]Análisis Unitario'!E5139</f>
        <v>Kg</v>
      </c>
      <c r="F5310" s="102">
        <f>'[3]Análisis Unitario'!F5139</f>
        <v>1</v>
      </c>
      <c r="G5310" s="103">
        <f>'LISTA DE INSUMOS'!E207</f>
        <v>5300.1352799999995</v>
      </c>
      <c r="H5310" s="104">
        <f>'[3]Análisis Unitario'!H5139</f>
        <v>0.01</v>
      </c>
      <c r="I5310" s="103">
        <f>G5310*F5310*H5310</f>
        <v>53.001352799999999</v>
      </c>
    </row>
    <row r="5311" spans="2:43" ht="19.5" customHeight="1" x14ac:dyDescent="0.2">
      <c r="B5311" s="451"/>
      <c r="C5311" s="104" t="str">
        <f>'LISTA DE INSUMOS'!A272</f>
        <v>MAT242</v>
      </c>
      <c r="D5311" s="280" t="str">
        <f>'LISTA DE INSUMOS'!B272</f>
        <v>Insecticida</v>
      </c>
      <c r="E5311" s="126" t="str">
        <f>'[3]Análisis Unitario'!E5140</f>
        <v>Kg</v>
      </c>
      <c r="F5311" s="102">
        <f>'[3]Análisis Unitario'!F5140</f>
        <v>1</v>
      </c>
      <c r="G5311" s="103">
        <f>'LISTA DE INSUMOS'!E272</f>
        <v>47590.798034999993</v>
      </c>
      <c r="H5311" s="104">
        <v>1.6999999999999999E-3</v>
      </c>
      <c r="I5311" s="103">
        <f>G5311*F5311*H5311</f>
        <v>80.904356659499982</v>
      </c>
    </row>
    <row r="5312" spans="2:43" ht="19.5" customHeight="1" x14ac:dyDescent="0.2">
      <c r="B5312" s="452" t="str">
        <f>'[3]Análisis Unitario'!B5141</f>
        <v>MO</v>
      </c>
      <c r="C5312" s="104" t="str">
        <f>'LISTA DE INSUMOS'!A29</f>
        <v>MOB025</v>
      </c>
      <c r="D5312" s="280" t="str">
        <f>'LISTA DE INSUMOS'!B29</f>
        <v>asistencia tècnica manejo zonas verdes</v>
      </c>
      <c r="E5312" s="126" t="str">
        <f>'[3]Análisis Unitario'!E5141</f>
        <v>Dia</v>
      </c>
      <c r="F5312" s="102">
        <f>'[3]Análisis Unitario'!F5141</f>
        <v>1</v>
      </c>
      <c r="G5312" s="103">
        <f>'LISTA DE INSUMOS'!E29</f>
        <v>183242</v>
      </c>
      <c r="H5312" s="104">
        <v>7.5000000000000002E-4</v>
      </c>
      <c r="I5312" s="103">
        <f>H5312*G5312*F5312</f>
        <v>137.4315</v>
      </c>
    </row>
    <row r="5313" spans="2:9" ht="19.5" customHeight="1" x14ac:dyDescent="0.2">
      <c r="B5313" s="452"/>
      <c r="C5313" s="104" t="str">
        <f>'LISTA DE INSUMOS'!A10</f>
        <v>MOB007</v>
      </c>
      <c r="D5313" s="280" t="str">
        <f>'LISTA DE INSUMOS'!B10</f>
        <v>Cuadrilla B 1 Min + 2 Ay (jornal + prestaciones)</v>
      </c>
      <c r="E5313" s="126" t="str">
        <f>'[3]Análisis Unitario'!E5142</f>
        <v>Dia</v>
      </c>
      <c r="F5313" s="102">
        <f>'[3]Análisis Unitario'!F5142</f>
        <v>1</v>
      </c>
      <c r="G5313" s="103">
        <f>'LISTA DE INSUMOS'!E10</f>
        <v>412454</v>
      </c>
      <c r="H5313" s="104">
        <v>2E-3</v>
      </c>
      <c r="I5313" s="103">
        <f>H5313*G5313*F5313</f>
        <v>824.90800000000002</v>
      </c>
    </row>
    <row r="5314" spans="2:9" ht="19.5" customHeight="1" x14ac:dyDescent="0.2">
      <c r="B5314" s="338" t="str">
        <f>'[3]Análisis Unitario'!B5143</f>
        <v>EQUIPO</v>
      </c>
      <c r="C5314" s="104" t="str">
        <f>'LISTA DE INSUMOS'!A758</f>
        <v>EQU002</v>
      </c>
      <c r="D5314" s="280" t="str">
        <f>'LISTA DE INSUMOS'!B758</f>
        <v>Herramienta menor (% mano obra)</v>
      </c>
      <c r="E5314" s="126" t="str">
        <f>'[3]Análisis Unitario'!E5143</f>
        <v>%MO</v>
      </c>
      <c r="F5314" s="102">
        <f>'[3]Análisis Unitario'!F5143</f>
        <v>0.05</v>
      </c>
      <c r="G5314" s="103">
        <f>I5313</f>
        <v>824.90800000000002</v>
      </c>
      <c r="H5314" s="104">
        <f>'[3]Análisis Unitario'!H5143</f>
        <v>1</v>
      </c>
      <c r="I5314" s="103">
        <f>H5314*G5314*F5314</f>
        <v>41.245400000000004</v>
      </c>
    </row>
    <row r="5315" spans="2:9" ht="19.5" customHeight="1" x14ac:dyDescent="0.2">
      <c r="B5315" s="338"/>
      <c r="C5315" s="104" t="str">
        <f>'LISTA DE INSUMOS'!A771</f>
        <v>EQU014</v>
      </c>
      <c r="D5315" s="280" t="str">
        <f>'LISTA DE INSUMOS'!B771</f>
        <v>Guadaña</v>
      </c>
      <c r="E5315" s="126" t="str">
        <f>'[3]Análisis Unitario'!E5144</f>
        <v>Un</v>
      </c>
      <c r="F5315" s="102">
        <f>'[3]Análisis Unitario'!F5144</f>
        <v>1</v>
      </c>
      <c r="G5315" s="103">
        <f>'LISTA DE INSUMOS'!E771</f>
        <v>44603.822511190796</v>
      </c>
      <c r="H5315" s="104">
        <v>1.8E-3</v>
      </c>
      <c r="I5315" s="103">
        <f>H5315*G5315*F5315</f>
        <v>80.286880520143427</v>
      </c>
    </row>
    <row r="5316" spans="2:9" ht="19.5" customHeight="1" x14ac:dyDescent="0.2">
      <c r="B5316" s="338"/>
      <c r="C5316" s="104" t="str">
        <f>'[3]Análisis Unitario'!C5145</f>
        <v>EQU053</v>
      </c>
      <c r="D5316" s="104" t="str">
        <f>'[3]Análisis Unitario'!D5145</f>
        <v>Transporte de materiales</v>
      </c>
      <c r="E5316" s="126" t="str">
        <f>'[3]Análisis Unitario'!E5145</f>
        <v>%Mat.</v>
      </c>
      <c r="F5316" s="102">
        <f>'[3]Análisis Unitario'!F5145</f>
        <v>0.15</v>
      </c>
      <c r="G5316" s="103">
        <f>I5310+I5311</f>
        <v>133.90570945949997</v>
      </c>
      <c r="H5316" s="104">
        <f>'[3]Análisis Unitario'!H5145</f>
        <v>1</v>
      </c>
      <c r="I5316" s="103">
        <f>H5316*G5316*F5316</f>
        <v>20.085856418924994</v>
      </c>
    </row>
    <row r="5317" spans="2:9" ht="59.25" customHeight="1" x14ac:dyDescent="0.2">
      <c r="B5317" s="230" t="s">
        <v>2037</v>
      </c>
      <c r="C5317" s="105"/>
      <c r="D5317" s="463" t="s">
        <v>2858</v>
      </c>
      <c r="E5317" s="410" t="str">
        <f>'[3]Análisis Unitario'!E5170</f>
        <v>Hect</v>
      </c>
      <c r="F5317" s="411"/>
      <c r="G5317" s="412">
        <f>SUM(I5318:I5324)</f>
        <v>934233.17452390003</v>
      </c>
      <c r="H5317" s="105"/>
      <c r="I5317" s="412"/>
    </row>
    <row r="5318" spans="2:9" ht="19.5" customHeight="1" x14ac:dyDescent="0.2">
      <c r="B5318" s="451" t="str">
        <f>'[3]Análisis Unitario'!B5171</f>
        <v>MAT</v>
      </c>
      <c r="C5318" s="104" t="str">
        <f>'LISTA DE INSUMOS'!A207</f>
        <v>MAT167</v>
      </c>
      <c r="D5318" s="280" t="str">
        <f>'LISTA DE INSUMOS'!B207</f>
        <v>Fertilizante Tipo DAP,10-30-10, Triple Quince</v>
      </c>
      <c r="E5318" s="126" t="str">
        <f>'[3]Análisis Unitario'!E5171</f>
        <v>Kg</v>
      </c>
      <c r="F5318" s="102">
        <f>'[3]Análisis Unitario'!F5171</f>
        <v>1</v>
      </c>
      <c r="G5318" s="103">
        <f>'LISTA DE INSUMOS'!E207</f>
        <v>5300.1352799999995</v>
      </c>
      <c r="H5318" s="104">
        <f>'[3]Análisis Unitario'!H5171</f>
        <v>0.5</v>
      </c>
      <c r="I5318" s="103">
        <f t="shared" ref="I5318:I5338" si="60">H5318*G5318*F5318</f>
        <v>2650.0676399999998</v>
      </c>
    </row>
    <row r="5319" spans="2:9" ht="19.5" customHeight="1" x14ac:dyDescent="0.2">
      <c r="B5319" s="451"/>
      <c r="C5319" s="104" t="str">
        <f>'LISTA DE INSUMOS'!A718</f>
        <v>MAT731</v>
      </c>
      <c r="D5319" s="280" t="str">
        <f>'LISTA DE INSUMOS'!B718</f>
        <v xml:space="preserve">Plántulas especies forestales altura max: 0,4 </v>
      </c>
      <c r="E5319" s="126" t="str">
        <f>'[3]Análisis Unitario'!E5172</f>
        <v>Un</v>
      </c>
      <c r="F5319" s="102">
        <f>'[3]Análisis Unitario'!F5172</f>
        <v>1</v>
      </c>
      <c r="G5319" s="103">
        <f>'LISTA DE INSUMOS'!E718</f>
        <v>2248.3173857759998</v>
      </c>
      <c r="H5319" s="104">
        <f>'[3]Análisis Unitario'!H5172</f>
        <v>150</v>
      </c>
      <c r="I5319" s="103">
        <f t="shared" si="60"/>
        <v>337247.60786639998</v>
      </c>
    </row>
    <row r="5320" spans="2:9" ht="19.5" customHeight="1" x14ac:dyDescent="0.2">
      <c r="B5320" s="451"/>
      <c r="C5320" s="104" t="str">
        <f>'LISTA DE INSUMOS'!A272</f>
        <v>MAT242</v>
      </c>
      <c r="D5320" s="280" t="str">
        <f>'LISTA DE INSUMOS'!B272</f>
        <v>Insecticida</v>
      </c>
      <c r="E5320" s="126" t="str">
        <f>'[3]Análisis Unitario'!E5173</f>
        <v>Kg</v>
      </c>
      <c r="F5320" s="102">
        <f>'[3]Análisis Unitario'!F5173</f>
        <v>1</v>
      </c>
      <c r="G5320" s="103">
        <f>'LISTA DE INSUMOS'!E272</f>
        <v>47590.798034999993</v>
      </c>
      <c r="H5320" s="104">
        <f>'[3]Análisis Unitario'!H5173</f>
        <v>0.5</v>
      </c>
      <c r="I5320" s="103">
        <f t="shared" si="60"/>
        <v>23795.399017499996</v>
      </c>
    </row>
    <row r="5321" spans="2:9" ht="19.5" customHeight="1" x14ac:dyDescent="0.2">
      <c r="B5321" s="452" t="str">
        <f>'[3]Análisis Unitario'!B5174</f>
        <v>MO</v>
      </c>
      <c r="C5321" s="104" t="str">
        <f>'LISTA DE INSUMOS'!A29</f>
        <v>MOB025</v>
      </c>
      <c r="D5321" s="104" t="str">
        <f>'[3]Análisis Unitario'!D5174</f>
        <v>Asistencia técnica manejo zonas verdes</v>
      </c>
      <c r="E5321" s="126" t="str">
        <f>'[3]Análisis Unitario'!E5174</f>
        <v>Dia</v>
      </c>
      <c r="F5321" s="102">
        <f>'[3]Análisis Unitario'!F5174</f>
        <v>1</v>
      </c>
      <c r="G5321" s="103">
        <f>'LISTA DE INSUMOS'!E29</f>
        <v>183242</v>
      </c>
      <c r="H5321" s="104">
        <v>0.3</v>
      </c>
      <c r="I5321" s="103">
        <f t="shared" si="60"/>
        <v>54972.6</v>
      </c>
    </row>
    <row r="5322" spans="2:9" ht="19.5" customHeight="1" x14ac:dyDescent="0.2">
      <c r="B5322" s="452"/>
      <c r="C5322" s="104" t="str">
        <f>'LISTA DE INSUMOS'!A10</f>
        <v>MOB007</v>
      </c>
      <c r="D5322" s="280" t="str">
        <f>'LISTA DE INSUMOS'!B10</f>
        <v>Cuadrilla B 1 Min + 2 Ay (jornal + prestaciones)</v>
      </c>
      <c r="E5322" s="126" t="str">
        <f>'[3]Análisis Unitario'!E5175</f>
        <v>Dia</v>
      </c>
      <c r="F5322" s="102">
        <f>'[3]Análisis Unitario'!F5175</f>
        <v>1</v>
      </c>
      <c r="G5322" s="103">
        <f>'LISTA DE INSUMOS'!E10</f>
        <v>412454</v>
      </c>
      <c r="H5322" s="104">
        <v>1</v>
      </c>
      <c r="I5322" s="103">
        <f t="shared" si="60"/>
        <v>412454</v>
      </c>
    </row>
    <row r="5323" spans="2:9" ht="19.5" customHeight="1" x14ac:dyDescent="0.2">
      <c r="B5323" s="338" t="str">
        <f>'[3]Análisis Unitario'!B5176</f>
        <v>EQUIPO</v>
      </c>
      <c r="C5323" s="104" t="str">
        <f>'[3]Análisis Unitario'!C5176</f>
        <v>EQU002</v>
      </c>
      <c r="D5323" s="104" t="str">
        <f>'[3]Análisis Unitario'!D5176</f>
        <v>Herramienta menor (% mano obra)</v>
      </c>
      <c r="E5323" s="126" t="str">
        <f>'[3]Análisis Unitario'!E5176</f>
        <v>%MO</v>
      </c>
      <c r="F5323" s="102">
        <f>'[3]Análisis Unitario'!F5176</f>
        <v>0.1</v>
      </c>
      <c r="G5323" s="103">
        <f>+I5322</f>
        <v>412454</v>
      </c>
      <c r="H5323" s="104">
        <f>'[3]Análisis Unitario'!H5176</f>
        <v>1</v>
      </c>
      <c r="I5323" s="103">
        <f t="shared" si="60"/>
        <v>41245.4</v>
      </c>
    </row>
    <row r="5324" spans="2:9" ht="19.5" customHeight="1" x14ac:dyDescent="0.2">
      <c r="B5324" s="338"/>
      <c r="C5324" s="104" t="str">
        <f>'[3]Análisis Unitario'!C5177</f>
        <v>EQU053</v>
      </c>
      <c r="D5324" s="104" t="str">
        <f>'[3]Análisis Unitario'!D5177</f>
        <v>Transporte de materiales</v>
      </c>
      <c r="E5324" s="126" t="str">
        <f>'[3]Análisis Unitario'!E5177</f>
        <v>%Mat.</v>
      </c>
      <c r="F5324" s="102">
        <f>'[3]Análisis Unitario'!F5177</f>
        <v>0.15</v>
      </c>
      <c r="G5324" s="103">
        <f>+I5322</f>
        <v>412454</v>
      </c>
      <c r="H5324" s="104">
        <f>'[3]Análisis Unitario'!H5177</f>
        <v>1</v>
      </c>
      <c r="I5324" s="103">
        <f t="shared" si="60"/>
        <v>61868.1</v>
      </c>
    </row>
    <row r="5325" spans="2:9" ht="19.5" hidden="1" customHeight="1" x14ac:dyDescent="0.2">
      <c r="B5325" s="338" t="s">
        <v>3277</v>
      </c>
      <c r="D5325" s="104" t="s">
        <v>3278</v>
      </c>
      <c r="E5325" s="126" t="s">
        <v>1603</v>
      </c>
      <c r="G5325" s="103">
        <v>12099398.935000001</v>
      </c>
    </row>
    <row r="5326" spans="2:9" ht="19.5" hidden="1" customHeight="1" x14ac:dyDescent="0.2">
      <c r="B5326" s="338" t="s">
        <v>2807</v>
      </c>
      <c r="C5326" s="104" t="s">
        <v>3039</v>
      </c>
      <c r="D5326" s="104" t="s">
        <v>2809</v>
      </c>
      <c r="E5326" s="126" t="s">
        <v>1074</v>
      </c>
      <c r="F5326" s="102">
        <v>1</v>
      </c>
      <c r="G5326" s="103">
        <v>128726</v>
      </c>
      <c r="H5326" s="104">
        <v>10</v>
      </c>
      <c r="I5326" s="103">
        <v>1287260</v>
      </c>
    </row>
    <row r="5327" spans="2:9" ht="19.5" hidden="1" customHeight="1" x14ac:dyDescent="0.2">
      <c r="B5327" s="338"/>
      <c r="C5327" s="104" t="s">
        <v>2103</v>
      </c>
      <c r="D5327" s="104" t="s">
        <v>2068</v>
      </c>
      <c r="E5327" s="126" t="s">
        <v>1074</v>
      </c>
      <c r="F5327" s="102">
        <v>1</v>
      </c>
      <c r="G5327" s="103">
        <f>+'ANÁLISIS MANO DE OBRA'!E34</f>
        <v>491167</v>
      </c>
      <c r="H5327" s="104">
        <v>30</v>
      </c>
      <c r="I5327" s="103">
        <v>10211370</v>
      </c>
    </row>
    <row r="5328" spans="2:9" ht="19.5" hidden="1" customHeight="1" x14ac:dyDescent="0.2">
      <c r="B5328" s="338" t="s">
        <v>1033</v>
      </c>
      <c r="C5328" s="104" t="s">
        <v>1017</v>
      </c>
      <c r="D5328" s="104" t="s">
        <v>1029</v>
      </c>
      <c r="E5328" s="126" t="s">
        <v>2066</v>
      </c>
      <c r="F5328" s="102">
        <v>0.1</v>
      </c>
      <c r="G5328" s="103">
        <v>340379</v>
      </c>
      <c r="H5328" s="104">
        <v>10</v>
      </c>
      <c r="I5328" s="103">
        <v>340379</v>
      </c>
    </row>
    <row r="5329" spans="2:9" ht="19.5" hidden="1" customHeight="1" x14ac:dyDescent="0.2">
      <c r="B5329" s="338"/>
      <c r="C5329" s="104" t="s">
        <v>187</v>
      </c>
      <c r="D5329" s="104" t="s">
        <v>3279</v>
      </c>
      <c r="E5329" s="126" t="s">
        <v>189</v>
      </c>
      <c r="F5329" s="102">
        <v>1.4999999999999999E-4</v>
      </c>
      <c r="G5329" s="103">
        <v>340379</v>
      </c>
      <c r="H5329" s="104">
        <v>5100</v>
      </c>
      <c r="I5329" s="103">
        <v>260389.93499999997</v>
      </c>
    </row>
    <row r="5330" spans="2:9" ht="45.75" customHeight="1" x14ac:dyDescent="0.2">
      <c r="B5330" s="230" t="s">
        <v>3030</v>
      </c>
      <c r="C5330" s="105"/>
      <c r="D5330" s="476" t="s">
        <v>2851</v>
      </c>
      <c r="E5330" s="410" t="str">
        <f>'[3]Análisis Unitario'!E5178</f>
        <v>ML</v>
      </c>
      <c r="F5330" s="411"/>
      <c r="G5330" s="412">
        <f>SUM(I5331:I5338)</f>
        <v>3213.5025653882994</v>
      </c>
      <c r="H5330" s="105"/>
      <c r="I5330" s="412"/>
    </row>
    <row r="5331" spans="2:9" ht="19.5" customHeight="1" x14ac:dyDescent="0.2">
      <c r="B5331" s="451" t="str">
        <f>'[3]Análisis Unitario'!B5179</f>
        <v>MAT</v>
      </c>
      <c r="C5331" s="104" t="str">
        <f>'LISTA DE INSUMOS'!A207</f>
        <v>MAT167</v>
      </c>
      <c r="D5331" s="280" t="str">
        <f>'LISTA DE INSUMOS'!B207</f>
        <v>Fertilizante Tipo DAP,10-30-10, Triple Quince</v>
      </c>
      <c r="E5331" s="126" t="str">
        <f>'[3]Análisis Unitario'!E5179</f>
        <v>Kg</v>
      </c>
      <c r="F5331" s="102">
        <f>'[3]Análisis Unitario'!F5179</f>
        <v>1</v>
      </c>
      <c r="G5331" s="103">
        <f>'LISTA DE INSUMOS'!E207</f>
        <v>5300.1352799999995</v>
      </c>
      <c r="H5331" s="104">
        <f>'[3]Análisis Unitario'!H5179</f>
        <v>2E-3</v>
      </c>
      <c r="I5331" s="103">
        <f t="shared" si="60"/>
        <v>10.600270559999998</v>
      </c>
    </row>
    <row r="5332" spans="2:9" ht="19.5" customHeight="1" x14ac:dyDescent="0.2">
      <c r="B5332" s="451"/>
      <c r="C5332" s="104" t="str">
        <f>'LISTA DE INSUMOS'!A51</f>
        <v>MAT020</v>
      </c>
      <c r="D5332" s="280" t="str">
        <f>'LISTA DE INSUMOS'!B51</f>
        <v>Guadua basa longitud promedio = 5 m</v>
      </c>
      <c r="E5332" s="126" t="str">
        <f>'[3]Análisis Unitario'!E5180</f>
        <v>Un</v>
      </c>
      <c r="F5332" s="102">
        <f>'[3]Análisis Unitario'!F5180</f>
        <v>1</v>
      </c>
      <c r="G5332" s="103">
        <f>'LISTA DE INSUMOS'!E51</f>
        <v>8662.3499999999985</v>
      </c>
      <c r="H5332" s="104">
        <f>'[3]Análisis Unitario'!H5180</f>
        <v>0.1</v>
      </c>
      <c r="I5332" s="103">
        <f t="shared" si="60"/>
        <v>866.2349999999999</v>
      </c>
    </row>
    <row r="5333" spans="2:9" ht="19.5" customHeight="1" x14ac:dyDescent="0.2">
      <c r="B5333" s="451"/>
      <c r="C5333" s="104" t="str">
        <f>'LISTA DE INSUMOS'!A717</f>
        <v>MAT730</v>
      </c>
      <c r="D5333" s="104" t="str">
        <f>'LISTA DE INSUMOS'!B717</f>
        <v>Plàntulas para jardìn</v>
      </c>
      <c r="E5333" s="126" t="str">
        <f>'[3]Análisis Unitario'!E5181</f>
        <v>Un</v>
      </c>
      <c r="F5333" s="102">
        <f>'[3]Análisis Unitario'!F5181</f>
        <v>1</v>
      </c>
      <c r="G5333" s="103">
        <f>'LISTA DE INSUMOS'!E717</f>
        <v>4371.7282501199998</v>
      </c>
      <c r="H5333" s="104">
        <f>'[3]Análisis Unitario'!H5181</f>
        <v>0.1</v>
      </c>
      <c r="I5333" s="103">
        <f t="shared" si="60"/>
        <v>437.17282501199998</v>
      </c>
    </row>
    <row r="5334" spans="2:9" ht="19.5" customHeight="1" x14ac:dyDescent="0.2">
      <c r="B5334" s="451"/>
      <c r="C5334" s="104" t="str">
        <f>'LISTA DE INSUMOS'!A272</f>
        <v>MAT242</v>
      </c>
      <c r="D5334" s="280" t="str">
        <f>'LISTA DE INSUMOS'!B272</f>
        <v>Insecticida</v>
      </c>
      <c r="E5334" s="126" t="str">
        <f>'[3]Análisis Unitario'!E5182</f>
        <v>Kg</v>
      </c>
      <c r="F5334" s="102">
        <f>'[3]Análisis Unitario'!F5182</f>
        <v>1</v>
      </c>
      <c r="G5334" s="103">
        <f>'LISTA DE INSUMOS'!E272</f>
        <v>47590.798034999993</v>
      </c>
      <c r="H5334" s="104">
        <f>'[3]Análisis Unitario'!H5182</f>
        <v>2E-3</v>
      </c>
      <c r="I5334" s="103">
        <f t="shared" si="60"/>
        <v>95.181596069999983</v>
      </c>
    </row>
    <row r="5335" spans="2:9" ht="19.5" customHeight="1" x14ac:dyDescent="0.2">
      <c r="B5335" s="452" t="str">
        <f>'[3]Análisis Unitario'!B5183</f>
        <v>MO</v>
      </c>
      <c r="C5335" s="104" t="str">
        <f>'LISTA DE INSUMOS'!A29</f>
        <v>MOB025</v>
      </c>
      <c r="D5335" s="280" t="str">
        <f>'LISTA DE INSUMOS'!B29</f>
        <v>asistencia tècnica manejo zonas verdes</v>
      </c>
      <c r="E5335" s="126" t="str">
        <f>'[3]Análisis Unitario'!E5183</f>
        <v>Dia</v>
      </c>
      <c r="F5335" s="102">
        <f>'[3]Análisis Unitario'!F5183</f>
        <v>1</v>
      </c>
      <c r="G5335" s="103">
        <f>'LISTA DE INSUMOS'!E29</f>
        <v>183242</v>
      </c>
      <c r="H5335" s="104">
        <f>'[3]Análisis Unitario'!H5183</f>
        <v>6.9999999999999999E-4</v>
      </c>
      <c r="I5335" s="103">
        <f t="shared" si="60"/>
        <v>128.26939999999999</v>
      </c>
    </row>
    <row r="5336" spans="2:9" ht="19.5" customHeight="1" x14ac:dyDescent="0.2">
      <c r="B5336" s="452"/>
      <c r="C5336" s="104" t="str">
        <f>'LISTA DE INSUMOS'!A10</f>
        <v>MOB007</v>
      </c>
      <c r="D5336" s="280" t="str">
        <f>'LISTA DE INSUMOS'!B10</f>
        <v>Cuadrilla B 1 Min + 2 Ay (jornal + prestaciones)</v>
      </c>
      <c r="E5336" s="126" t="str">
        <f>'[3]Análisis Unitario'!E5184</f>
        <v>Dia</v>
      </c>
      <c r="F5336" s="102">
        <f>'[3]Análisis Unitario'!F5184</f>
        <v>1</v>
      </c>
      <c r="G5336" s="103">
        <f>'LISTA DE INSUMOS'!E10</f>
        <v>412454</v>
      </c>
      <c r="H5336" s="104">
        <f>'[3]Análisis Unitario'!H5184</f>
        <v>3.2000000000000002E-3</v>
      </c>
      <c r="I5336" s="103">
        <f t="shared" si="60"/>
        <v>1319.8528000000001</v>
      </c>
    </row>
    <row r="5337" spans="2:9" ht="19.5" customHeight="1" x14ac:dyDescent="0.2">
      <c r="B5337" s="338" t="str">
        <f>'[3]Análisis Unitario'!B5185</f>
        <v>EQUIPO</v>
      </c>
      <c r="C5337" s="104" t="str">
        <f>'[3]Análisis Unitario'!C5185</f>
        <v>EQU002</v>
      </c>
      <c r="D5337" s="104" t="str">
        <f>'[3]Análisis Unitario'!D5185</f>
        <v>Herramienta menor (% mano obra)</v>
      </c>
      <c r="E5337" s="126" t="str">
        <f>'[3]Análisis Unitario'!E5185</f>
        <v>%MO</v>
      </c>
      <c r="F5337" s="102">
        <f>'[3]Análisis Unitario'!F5185</f>
        <v>0.1</v>
      </c>
      <c r="G5337" s="103">
        <f>I5336+I5335</f>
        <v>1448.1222</v>
      </c>
      <c r="H5337" s="104">
        <f>'[3]Análisis Unitario'!H5185</f>
        <v>1</v>
      </c>
      <c r="I5337" s="103">
        <f t="shared" si="60"/>
        <v>144.81222</v>
      </c>
    </row>
    <row r="5338" spans="2:9" ht="19.5" customHeight="1" x14ac:dyDescent="0.2">
      <c r="B5338" s="338"/>
      <c r="C5338" s="104" t="str">
        <f>'[3]Análisis Unitario'!C5186</f>
        <v>EQU053</v>
      </c>
      <c r="D5338" s="104" t="str">
        <f>'[3]Análisis Unitario'!D5186</f>
        <v>Transporte de materiales</v>
      </c>
      <c r="E5338" s="126" t="str">
        <f>'[3]Análisis Unitario'!E5186</f>
        <v>%Mat.</v>
      </c>
      <c r="F5338" s="102">
        <f>'[3]Análisis Unitario'!F5186</f>
        <v>0.15</v>
      </c>
      <c r="G5338" s="103">
        <f>I5334+I5333+I5332+I5331</f>
        <v>1409.1896916419996</v>
      </c>
      <c r="H5338" s="104">
        <f>'[3]Análisis Unitario'!H5186</f>
        <v>1</v>
      </c>
      <c r="I5338" s="103">
        <f t="shared" si="60"/>
        <v>211.37845374629993</v>
      </c>
    </row>
    <row r="5339" spans="2:9" ht="36.75" customHeight="1" x14ac:dyDescent="0.2">
      <c r="B5339" s="230" t="s">
        <v>3031</v>
      </c>
      <c r="C5339" s="105"/>
      <c r="D5339" s="463" t="s">
        <v>2820</v>
      </c>
      <c r="E5339" s="410" t="s">
        <v>1435</v>
      </c>
      <c r="F5339" s="411"/>
      <c r="G5339" s="412">
        <f>SUM(I5340:I5347)</f>
        <v>62253.078352851728</v>
      </c>
      <c r="H5339" s="105"/>
      <c r="I5339" s="412"/>
    </row>
    <row r="5340" spans="2:9" ht="19.5" customHeight="1" x14ac:dyDescent="0.2">
      <c r="B5340" s="451" t="s">
        <v>1325</v>
      </c>
      <c r="C5340" s="104" t="s">
        <v>2822</v>
      </c>
      <c r="D5340" s="104" t="s">
        <v>2821</v>
      </c>
      <c r="E5340" s="126" t="s">
        <v>1435</v>
      </c>
      <c r="F5340" s="102">
        <v>1</v>
      </c>
      <c r="G5340" s="103">
        <v>26500</v>
      </c>
      <c r="H5340" s="104">
        <v>0</v>
      </c>
      <c r="I5340" s="103">
        <v>26500</v>
      </c>
    </row>
    <row r="5341" spans="2:9" ht="19.5" customHeight="1" x14ac:dyDescent="0.2">
      <c r="B5341" s="451"/>
      <c r="C5341" s="104" t="str">
        <f>'LISTA DE INSUMOS'!A272</f>
        <v>MAT242</v>
      </c>
      <c r="D5341" s="280" t="str">
        <f>'LISTA DE INSUMOS'!B272</f>
        <v>Insecticida</v>
      </c>
      <c r="E5341" s="126" t="s">
        <v>1414</v>
      </c>
      <c r="F5341" s="102">
        <v>1</v>
      </c>
      <c r="G5341" s="103">
        <f>'LISTA DE INSUMOS'!E272</f>
        <v>47590.798034999993</v>
      </c>
      <c r="H5341" s="104">
        <f>0.0017*0.15</f>
        <v>2.5499999999999996E-4</v>
      </c>
      <c r="I5341" s="103">
        <f>H5341*G5341*F5341</f>
        <v>12.135653498924997</v>
      </c>
    </row>
    <row r="5342" spans="2:9" ht="19.5" customHeight="1" x14ac:dyDescent="0.2">
      <c r="B5342" s="451"/>
      <c r="C5342" s="104" t="str">
        <f>'LISTA DE INSUMOS'!A207</f>
        <v>MAT167</v>
      </c>
      <c r="D5342" s="280" t="str">
        <f>'LISTA DE INSUMOS'!B207</f>
        <v>Fertilizante Tipo DAP,10-30-10, Triple Quince</v>
      </c>
      <c r="E5342" s="126" t="s">
        <v>1414</v>
      </c>
      <c r="F5342" s="102">
        <v>2</v>
      </c>
      <c r="G5342" s="103">
        <f>'LISTA DE INSUMOS'!E207</f>
        <v>5300.1352799999995</v>
      </c>
      <c r="H5342" s="104">
        <f>0.0017*0.15</f>
        <v>2.5499999999999996E-4</v>
      </c>
      <c r="I5342" s="103">
        <f>H5342*G5342*F5342</f>
        <v>2.7030689927999996</v>
      </c>
    </row>
    <row r="5343" spans="2:9" ht="19.5" customHeight="1" x14ac:dyDescent="0.2">
      <c r="B5343" s="451"/>
      <c r="C5343" s="104" t="str">
        <f>'LISTA DE INSUMOS'!A717</f>
        <v>MAT730</v>
      </c>
      <c r="D5343" s="104" t="str">
        <f>'LISTA DE INSUMOS'!B717</f>
        <v>Plàntulas para jardìn</v>
      </c>
      <c r="E5343" s="126" t="s">
        <v>1414</v>
      </c>
      <c r="F5343" s="102">
        <v>3</v>
      </c>
      <c r="G5343" s="103">
        <f>'LISTA DE INSUMOS'!E717</f>
        <v>4371.7282501199998</v>
      </c>
      <c r="H5343" s="104">
        <v>0</v>
      </c>
      <c r="I5343" s="103">
        <f>G5343*F5343</f>
        <v>13115.18475036</v>
      </c>
    </row>
    <row r="5344" spans="2:9" ht="19.5" customHeight="1" x14ac:dyDescent="0.2">
      <c r="B5344" s="452" t="s">
        <v>2807</v>
      </c>
      <c r="C5344" s="104" t="str">
        <f>'LISTA DE INSUMOS'!A29</f>
        <v>MOB025</v>
      </c>
      <c r="D5344" s="280" t="str">
        <f>'LISTA DE INSUMOS'!B29</f>
        <v>asistencia tècnica manejo zonas verdes</v>
      </c>
      <c r="E5344" s="126" t="s">
        <v>1074</v>
      </c>
      <c r="F5344" s="102">
        <v>1</v>
      </c>
      <c r="G5344" s="103">
        <f>'LISTA DE INSUMOS'!E29</f>
        <v>183242</v>
      </c>
      <c r="H5344" s="104">
        <v>5.0000000000000001E-3</v>
      </c>
      <c r="I5344" s="103">
        <f>H5344*G5344*F5344</f>
        <v>916.21</v>
      </c>
    </row>
    <row r="5345" spans="2:46" ht="19.5" customHeight="1" x14ac:dyDescent="0.2">
      <c r="B5345" s="452"/>
      <c r="C5345" s="104" t="str">
        <f>'LISTA DE INSUMOS'!A10</f>
        <v>MOB007</v>
      </c>
      <c r="D5345" s="280" t="str">
        <f>'LISTA DE INSUMOS'!B10</f>
        <v>Cuadrilla B 1 Min + 2 Ay (jornal + prestaciones)</v>
      </c>
      <c r="E5345" s="126" t="s">
        <v>1074</v>
      </c>
      <c r="F5345" s="102">
        <v>1</v>
      </c>
      <c r="G5345" s="103">
        <f>'LISTA DE INSUMOS'!E10</f>
        <v>412454</v>
      </c>
      <c r="H5345" s="220">
        <v>0.05</v>
      </c>
      <c r="I5345" s="103">
        <f>H5345*G5345*F5345</f>
        <v>20622.7</v>
      </c>
    </row>
    <row r="5346" spans="2:46" ht="19.5" customHeight="1" x14ac:dyDescent="0.2">
      <c r="B5346" s="338" t="s">
        <v>1033</v>
      </c>
      <c r="C5346" s="104" t="s">
        <v>1017</v>
      </c>
      <c r="D5346" s="104" t="s">
        <v>1029</v>
      </c>
      <c r="E5346" s="126" t="s">
        <v>2066</v>
      </c>
      <c r="F5346" s="102">
        <v>0.05</v>
      </c>
      <c r="G5346" s="103">
        <f>I5345</f>
        <v>20622.7</v>
      </c>
      <c r="H5346" s="104">
        <v>1</v>
      </c>
      <c r="I5346" s="103">
        <f>H5346*G5346*F5346</f>
        <v>1031.135</v>
      </c>
    </row>
    <row r="5347" spans="2:46" ht="19.5" customHeight="1" x14ac:dyDescent="0.2">
      <c r="B5347" s="338"/>
      <c r="C5347" s="104" t="s">
        <v>187</v>
      </c>
      <c r="D5347" s="104" t="s">
        <v>188</v>
      </c>
      <c r="E5347" s="126" t="s">
        <v>189</v>
      </c>
      <c r="F5347" s="102">
        <v>0.15</v>
      </c>
      <c r="G5347" s="103">
        <f>I5340+I5341+I5342+I5343</f>
        <v>39630.023472851724</v>
      </c>
      <c r="H5347" s="104">
        <v>1</v>
      </c>
      <c r="I5347" s="103">
        <v>53.009880000000003</v>
      </c>
      <c r="AO5347" s="465"/>
      <c r="AP5347" s="465"/>
      <c r="AQ5347" s="466"/>
      <c r="AR5347" s="466"/>
      <c r="AS5347" s="466"/>
      <c r="AT5347" s="466"/>
    </row>
    <row r="5348" spans="2:46" ht="31.5" customHeight="1" x14ac:dyDescent="0.2">
      <c r="B5348" s="230" t="s">
        <v>2033</v>
      </c>
      <c r="C5348" s="105"/>
      <c r="D5348" s="463" t="s">
        <v>2828</v>
      </c>
      <c r="E5348" s="410" t="str">
        <f>E581</f>
        <v>Kg</v>
      </c>
      <c r="F5348" s="105"/>
      <c r="G5348" s="412">
        <f>SUM(I5349:I5356)</f>
        <v>27953.797925830178</v>
      </c>
      <c r="H5348" s="105"/>
      <c r="I5348" s="105"/>
      <c r="AO5348" s="467"/>
      <c r="AP5348" s="467"/>
      <c r="AQ5348" s="467"/>
      <c r="AR5348" s="467"/>
      <c r="AS5348" s="467"/>
      <c r="AT5348" s="468"/>
    </row>
    <row r="5349" spans="2:46" ht="19.5" customHeight="1" x14ac:dyDescent="0.2">
      <c r="B5349" s="451" t="str">
        <f>B582</f>
        <v>MAT</v>
      </c>
      <c r="C5349" s="280" t="str">
        <f>'LISTA DE INSUMOS'!A725</f>
        <v>MAT738</v>
      </c>
      <c r="D5349" s="280" t="str">
        <f>'LISTA DE INSUMOS'!B725</f>
        <v xml:space="preserve">Perlinerìa metàlica Cal 14 </v>
      </c>
      <c r="E5349" s="282" t="str">
        <f>E582</f>
        <v>Kg</v>
      </c>
      <c r="F5349" s="102">
        <v>0.4</v>
      </c>
      <c r="G5349" s="103">
        <f>'LISTA DE INSUMOS'!E725</f>
        <v>9830.9161730933974</v>
      </c>
      <c r="H5349" s="280">
        <v>1.03</v>
      </c>
      <c r="I5349" s="103">
        <f>H5349*G5349*F5349</f>
        <v>4050.3374633144799</v>
      </c>
    </row>
    <row r="5350" spans="2:46" ht="19.5" customHeight="1" x14ac:dyDescent="0.2">
      <c r="B5350" s="451"/>
      <c r="C5350" s="280" t="str">
        <f>'LISTA DE INSUMOS'!A725</f>
        <v>MAT738</v>
      </c>
      <c r="D5350" s="280" t="str">
        <f>'LISTA DE INSUMOS'!B726</f>
        <v xml:space="preserve">Vigas IP alma llena </v>
      </c>
      <c r="E5350" s="282" t="str">
        <f>E583</f>
        <v>Kg</v>
      </c>
      <c r="F5350" s="102">
        <v>0.4</v>
      </c>
      <c r="G5350" s="103">
        <f>'LISTA DE INSUMOS'!E726</f>
        <v>8076.9534468314978</v>
      </c>
      <c r="H5350" s="280">
        <v>1.03</v>
      </c>
      <c r="I5350" s="103">
        <f>H5350*G5350*F5350</f>
        <v>3327.7048200945774</v>
      </c>
    </row>
    <row r="5351" spans="2:46" ht="19.5" customHeight="1" x14ac:dyDescent="0.2">
      <c r="B5351" s="451"/>
      <c r="C5351" s="280" t="str">
        <f>'LISTA DE INSUMOS'!A727</f>
        <v>MAT740</v>
      </c>
      <c r="D5351" s="280" t="str">
        <f>'LISTA DE INSUMOS'!B727</f>
        <v xml:space="preserve">Soldadura </v>
      </c>
      <c r="E5351" s="282" t="str">
        <f>E583</f>
        <v>Kg</v>
      </c>
      <c r="F5351" s="102">
        <v>0.03</v>
      </c>
      <c r="G5351" s="103">
        <f>'LISTA DE INSUMOS'!E727</f>
        <v>34146.459425024092</v>
      </c>
      <c r="H5351" s="280">
        <v>1</v>
      </c>
      <c r="I5351" s="103">
        <f>F5351*G5351*H5351</f>
        <v>1024.3937827507227</v>
      </c>
    </row>
    <row r="5352" spans="2:46" ht="19.5" customHeight="1" x14ac:dyDescent="0.2">
      <c r="B5352" s="451"/>
      <c r="C5352" s="280" t="str">
        <f>'LISTA DE INSUMOS'!A153</f>
        <v>MAT112</v>
      </c>
      <c r="D5352" s="280" t="str">
        <f>'LISTA DE INSUMOS'!B153</f>
        <v>Pintura esmalte para exteriores</v>
      </c>
      <c r="E5352" s="282" t="str">
        <f>'LISTA DE INSUMOS'!C153</f>
        <v>Gl</v>
      </c>
      <c r="F5352" s="102">
        <v>2.02</v>
      </c>
      <c r="G5352" s="103">
        <f>'LISTA DE INSUMOS'!E153</f>
        <v>99769.889999999985</v>
      </c>
      <c r="H5352" s="280">
        <f>H584</f>
        <v>8.3333333333333332E-3</v>
      </c>
      <c r="I5352" s="103">
        <f>G5352*H5352</f>
        <v>831.41574999999989</v>
      </c>
    </row>
    <row r="5353" spans="2:46" ht="19.5" customHeight="1" x14ac:dyDescent="0.2">
      <c r="B5353" s="452" t="str">
        <f t="shared" ref="B5353:G5353" si="61">B584</f>
        <v>M . O</v>
      </c>
      <c r="C5353" s="280" t="str">
        <f t="shared" si="61"/>
        <v>MOB015</v>
      </c>
      <c r="D5353" s="280" t="str">
        <f t="shared" si="61"/>
        <v>Cuadrilla E 1 Of + 1 Ay (jornal + prestaciones)</v>
      </c>
      <c r="E5353" s="282" t="str">
        <f t="shared" si="61"/>
        <v>Día</v>
      </c>
      <c r="F5353" s="102">
        <f t="shared" si="61"/>
        <v>1</v>
      </c>
      <c r="G5353" s="103">
        <f t="shared" si="61"/>
        <v>245584</v>
      </c>
      <c r="H5353" s="280">
        <v>3.2000000000000001E-2</v>
      </c>
      <c r="I5353" s="103">
        <f>G5353*H5353</f>
        <v>7858.6880000000001</v>
      </c>
    </row>
    <row r="5354" spans="2:46" ht="19.5" customHeight="1" x14ac:dyDescent="0.2">
      <c r="B5354" s="338" t="s">
        <v>1033</v>
      </c>
      <c r="C5354" s="280" t="str">
        <f>C586</f>
        <v>EQU002</v>
      </c>
      <c r="D5354" s="280" t="str">
        <f>D586</f>
        <v>Herramienta menor (% mano obra)</v>
      </c>
      <c r="E5354" s="282" t="str">
        <f>E586</f>
        <v>%MO</v>
      </c>
      <c r="F5354" s="102">
        <v>0.25</v>
      </c>
      <c r="G5354" s="103">
        <f>I5353</f>
        <v>7858.6880000000001</v>
      </c>
      <c r="H5354" s="280">
        <f>H586</f>
        <v>0</v>
      </c>
      <c r="I5354" s="103">
        <f>G5354*F5354</f>
        <v>1964.672</v>
      </c>
    </row>
    <row r="5355" spans="2:46" ht="19.5" customHeight="1" x14ac:dyDescent="0.2">
      <c r="B5355" s="338"/>
      <c r="C5355" s="280" t="s">
        <v>3145</v>
      </c>
      <c r="D5355" s="280" t="s">
        <v>3150</v>
      </c>
      <c r="E5355" s="282" t="s">
        <v>1074</v>
      </c>
      <c r="F5355" s="102">
        <v>0.05</v>
      </c>
      <c r="G5355" s="103">
        <f>'LISTA DE INSUMOS'!E820</f>
        <v>20757.962193407995</v>
      </c>
      <c r="H5355" s="280">
        <v>1</v>
      </c>
      <c r="I5355" s="103">
        <f>H5355*G5355*F5355</f>
        <v>1037.8981096703999</v>
      </c>
    </row>
    <row r="5356" spans="2:46" ht="19.5" customHeight="1" x14ac:dyDescent="0.2">
      <c r="B5356" s="338"/>
      <c r="C5356" s="280" t="str">
        <f>'LISTA DE INSUMOS'!A762</f>
        <v>EQU006</v>
      </c>
      <c r="D5356" s="280" t="str">
        <f>'LISTA DE INSUMOS'!B762</f>
        <v>Andamio (% mano obra)</v>
      </c>
      <c r="E5356" s="282" t="str">
        <f>'LISTA DE INSUMOS'!C762</f>
        <v>%MO</v>
      </c>
      <c r="F5356" s="102">
        <v>1</v>
      </c>
      <c r="G5356" s="103">
        <f>I5353</f>
        <v>7858.6880000000001</v>
      </c>
      <c r="H5356" s="280">
        <f>H587</f>
        <v>0</v>
      </c>
      <c r="I5356" s="103">
        <f>G5356*F5356</f>
        <v>7858.6880000000001</v>
      </c>
    </row>
    <row r="5357" spans="2:46" ht="19.5" customHeight="1" x14ac:dyDescent="0.2">
      <c r="B5357" s="230" t="s">
        <v>2030</v>
      </c>
      <c r="C5357" s="262"/>
      <c r="D5357" s="469" t="s">
        <v>2848</v>
      </c>
      <c r="E5357" s="410" t="s">
        <v>1424</v>
      </c>
      <c r="F5357" s="410"/>
      <c r="G5357" s="412">
        <f>SUM(I5358:I5363)</f>
        <v>116707.47388594288</v>
      </c>
      <c r="H5357" s="262"/>
      <c r="I5357" s="262"/>
    </row>
    <row r="5358" spans="2:46" ht="19.5" customHeight="1" x14ac:dyDescent="0.2">
      <c r="B5358" s="451" t="s">
        <v>1325</v>
      </c>
      <c r="C5358" s="104" t="str">
        <f>'LISTA DE INSUMOS'!A83</f>
        <v>MAT045-1</v>
      </c>
      <c r="D5358" s="280" t="str">
        <f>'LISTA DE INSUMOS'!B83</f>
        <v>Teja PVC espesor 1,3mm o similar</v>
      </c>
      <c r="E5358" s="126" t="s">
        <v>1435</v>
      </c>
      <c r="F5358" s="102">
        <v>1</v>
      </c>
      <c r="G5358" s="103">
        <f>'LISTA DE INSUMOS'!E492</f>
        <v>79496.508225749989</v>
      </c>
      <c r="H5358" s="104">
        <v>1.03</v>
      </c>
      <c r="I5358" s="103">
        <f>H5358*G5358*F5358</f>
        <v>81881.403472522492</v>
      </c>
    </row>
    <row r="5359" spans="2:46" ht="19.5" customHeight="1" x14ac:dyDescent="0.2">
      <c r="B5359" s="451"/>
      <c r="C5359" s="104" t="str">
        <f>'LISTA DE INSUMOS'!A79</f>
        <v>MAT042-1</v>
      </c>
      <c r="D5359" s="280" t="str">
        <f>'LISTA DE INSUMOS'!B79</f>
        <v xml:space="preserve">set de fijaciòn teja </v>
      </c>
      <c r="E5359" s="126" t="s">
        <v>1435</v>
      </c>
      <c r="F5359" s="102">
        <v>3</v>
      </c>
      <c r="G5359" s="103">
        <f>'LISTA DE INSUMOS'!E79</f>
        <v>1397.4408749999998</v>
      </c>
      <c r="H5359" s="104">
        <v>1.03</v>
      </c>
      <c r="I5359" s="103">
        <f>H5359*G5359*F5359</f>
        <v>4318.0923037499997</v>
      </c>
    </row>
    <row r="5360" spans="2:46" ht="19.5" customHeight="1" x14ac:dyDescent="0.2">
      <c r="B5360" s="452" t="s">
        <v>1034</v>
      </c>
      <c r="C5360" s="104" t="s">
        <v>2159</v>
      </c>
      <c r="D5360" s="104" t="s">
        <v>2160</v>
      </c>
      <c r="E5360" s="126" t="s">
        <v>2065</v>
      </c>
      <c r="F5360" s="102">
        <v>1</v>
      </c>
      <c r="G5360" s="103">
        <f>'LISTA DE INSUMOS'!E18</f>
        <v>245584</v>
      </c>
      <c r="H5360" s="104">
        <v>0.1</v>
      </c>
      <c r="I5360" s="103">
        <f>H5360*G5360*F5360</f>
        <v>24558.400000000001</v>
      </c>
    </row>
    <row r="5361" spans="2:9" ht="19.5" customHeight="1" x14ac:dyDescent="0.2">
      <c r="B5361" s="338" t="s">
        <v>1033</v>
      </c>
      <c r="C5361" s="104" t="s">
        <v>1017</v>
      </c>
      <c r="D5361" s="104" t="s">
        <v>1029</v>
      </c>
      <c r="E5361" s="126" t="s">
        <v>2066</v>
      </c>
      <c r="F5361" s="102">
        <v>0.1</v>
      </c>
      <c r="G5361" s="103">
        <f>I5360</f>
        <v>24558.400000000001</v>
      </c>
      <c r="H5361" s="104">
        <v>0</v>
      </c>
      <c r="I5361" s="103">
        <f>G5361*F5361</f>
        <v>2455.84</v>
      </c>
    </row>
    <row r="5362" spans="2:9" ht="19.5" customHeight="1" x14ac:dyDescent="0.2">
      <c r="B5362" s="338"/>
      <c r="C5362" s="104" t="s">
        <v>3145</v>
      </c>
      <c r="D5362" s="104" t="s">
        <v>3150</v>
      </c>
      <c r="E5362" s="126" t="s">
        <v>1074</v>
      </c>
      <c r="F5362" s="102">
        <v>0.05</v>
      </c>
      <c r="G5362" s="103">
        <f>'LISTA DE INSUMOS'!E820</f>
        <v>20757.962193407995</v>
      </c>
      <c r="H5362" s="104">
        <v>1</v>
      </c>
      <c r="I5362" s="103">
        <f>H5362*G5362*F5362</f>
        <v>1037.8981096703999</v>
      </c>
    </row>
    <row r="5363" spans="2:9" ht="19.5" customHeight="1" x14ac:dyDescent="0.2">
      <c r="B5363" s="338"/>
      <c r="C5363" s="104" t="s">
        <v>2081</v>
      </c>
      <c r="D5363" s="104" t="s">
        <v>1030</v>
      </c>
      <c r="E5363" s="126" t="s">
        <v>2066</v>
      </c>
      <c r="F5363" s="102">
        <v>0.1</v>
      </c>
      <c r="G5363" s="103">
        <f>I5360</f>
        <v>24558.400000000001</v>
      </c>
      <c r="H5363" s="104">
        <v>0</v>
      </c>
      <c r="I5363" s="103">
        <f>G5363*F5363</f>
        <v>2455.84</v>
      </c>
    </row>
    <row r="5364" spans="2:9" ht="33" customHeight="1" x14ac:dyDescent="0.2">
      <c r="B5364" s="230" t="s">
        <v>3032</v>
      </c>
      <c r="C5364" s="262"/>
      <c r="D5364" s="469" t="s">
        <v>2829</v>
      </c>
      <c r="E5364" s="262" t="s">
        <v>1432</v>
      </c>
      <c r="F5364" s="262"/>
      <c r="G5364" s="119">
        <f>SUM(I5365:I5370)</f>
        <v>24747.63799612</v>
      </c>
      <c r="H5364" s="262"/>
      <c r="I5364" s="262"/>
    </row>
    <row r="5365" spans="2:9" ht="19.5" customHeight="1" x14ac:dyDescent="0.2">
      <c r="B5365" s="451" t="s">
        <v>1325</v>
      </c>
      <c r="C5365" s="104" t="str">
        <f>'LISTA DE INSUMOS'!A693</f>
        <v>MAT706</v>
      </c>
      <c r="D5365" s="280" t="str">
        <f>'LISTA DE INSUMOS'!B693</f>
        <v>Material banco prestamo  no incluye transporte</v>
      </c>
      <c r="E5365" s="126" t="s">
        <v>1432</v>
      </c>
      <c r="F5365" s="102">
        <v>1</v>
      </c>
      <c r="G5365" s="103">
        <f>'LISTA DE INSUMOS'!E693</f>
        <v>12146.143349999998</v>
      </c>
      <c r="H5365" s="104">
        <v>1.3</v>
      </c>
      <c r="I5365" s="103">
        <f>H5365*G5365*F5365</f>
        <v>15789.986354999999</v>
      </c>
    </row>
    <row r="5366" spans="2:9" ht="19.5" customHeight="1" x14ac:dyDescent="0.2">
      <c r="B5366" s="451"/>
      <c r="C5366" s="280" t="str">
        <f>B336</f>
        <v>ITE056</v>
      </c>
      <c r="D5366" s="280" t="str">
        <f>D336</f>
        <v xml:space="preserve">Transporte material &lt; 40 Km </v>
      </c>
      <c r="E5366" s="126" t="s">
        <v>1432</v>
      </c>
      <c r="F5366" s="102">
        <v>1</v>
      </c>
      <c r="G5366" s="103">
        <f>G336</f>
        <v>1634</v>
      </c>
      <c r="H5366" s="104">
        <v>1</v>
      </c>
      <c r="I5366" s="103">
        <f>H5366*G5366*F5366</f>
        <v>1634</v>
      </c>
    </row>
    <row r="5367" spans="2:9" ht="19.5" customHeight="1" x14ac:dyDescent="0.2">
      <c r="B5367" s="452" t="s">
        <v>1034</v>
      </c>
      <c r="C5367" s="104" t="s">
        <v>2103</v>
      </c>
      <c r="D5367" s="104" t="s">
        <v>2068</v>
      </c>
      <c r="E5367" s="126" t="s">
        <v>2065</v>
      </c>
      <c r="F5367" s="102">
        <v>1</v>
      </c>
      <c r="G5367" s="103">
        <v>298783</v>
      </c>
      <c r="H5367" s="104">
        <v>0.01</v>
      </c>
      <c r="I5367" s="103">
        <f>H5367*G5367*F5367</f>
        <v>2987.83</v>
      </c>
    </row>
    <row r="5368" spans="2:9" ht="19.5" customHeight="1" x14ac:dyDescent="0.2">
      <c r="B5368" s="338"/>
      <c r="C5368" s="104" t="s">
        <v>1015</v>
      </c>
      <c r="D5368" s="104" t="s">
        <v>2524</v>
      </c>
      <c r="E5368" s="126" t="s">
        <v>1016</v>
      </c>
      <c r="F5368" s="102">
        <v>0.1</v>
      </c>
      <c r="G5368" s="103">
        <f>I5367</f>
        <v>2987.83</v>
      </c>
      <c r="H5368" s="104">
        <v>0</v>
      </c>
      <c r="I5368" s="103">
        <f>G5368*F5368</f>
        <v>298.78300000000002</v>
      </c>
    </row>
    <row r="5369" spans="2:9" ht="19.5" customHeight="1" x14ac:dyDescent="0.2">
      <c r="B5369" s="338" t="s">
        <v>1033</v>
      </c>
      <c r="C5369" s="104" t="s">
        <v>1017</v>
      </c>
      <c r="D5369" s="104" t="s">
        <v>1029</v>
      </c>
      <c r="E5369" s="126" t="s">
        <v>2066</v>
      </c>
      <c r="F5369" s="102">
        <v>0.1</v>
      </c>
      <c r="G5369" s="103">
        <f>I5367</f>
        <v>2987.83</v>
      </c>
      <c r="H5369" s="104">
        <v>0</v>
      </c>
      <c r="I5369" s="103">
        <f>G5369*F5369</f>
        <v>298.78300000000002</v>
      </c>
    </row>
    <row r="5370" spans="2:9" ht="19.5" customHeight="1" x14ac:dyDescent="0.2">
      <c r="B5370" s="338"/>
      <c r="C5370" s="104" t="str">
        <f>'LISTA DE INSUMOS'!A781</f>
        <v>EQU024</v>
      </c>
      <c r="D5370" s="280" t="str">
        <f>'LISTA DE INSUMOS'!B781</f>
        <v>Retroexcavadora de orugas  capacidad 0,9 M3</v>
      </c>
      <c r="E5370" s="126" t="s">
        <v>2065</v>
      </c>
      <c r="F5370" s="102">
        <v>1</v>
      </c>
      <c r="G5370" s="103">
        <f>'LISTA DE INSUMOS'!E781</f>
        <v>186912.78205599997</v>
      </c>
      <c r="H5370" s="104">
        <v>0.02</v>
      </c>
      <c r="I5370" s="103">
        <f>H5370*G5370*F5370</f>
        <v>3738.2556411199994</v>
      </c>
    </row>
    <row r="5371" spans="2:9" ht="39" customHeight="1" x14ac:dyDescent="0.2">
      <c r="B5371" s="230" t="s">
        <v>1515</v>
      </c>
      <c r="C5371" s="410"/>
      <c r="D5371" s="470" t="s">
        <v>2833</v>
      </c>
      <c r="E5371" s="410" t="s">
        <v>1424</v>
      </c>
      <c r="F5371" s="410"/>
      <c r="G5371" s="412">
        <f>SUM(I5372:I5374)</f>
        <v>58908.309599470005</v>
      </c>
      <c r="H5371" s="410"/>
      <c r="I5371" s="410"/>
    </row>
    <row r="5372" spans="2:9" ht="19.5" customHeight="1" x14ac:dyDescent="0.2">
      <c r="B5372" s="451" t="s">
        <v>1325</v>
      </c>
      <c r="C5372" s="104" t="str">
        <f>'LISTA DE INSUMOS'!A73</f>
        <v>MAT040</v>
      </c>
      <c r="D5372" s="280" t="str">
        <f>'LISTA DE INSUMOS'!B73</f>
        <v>Barniz intemperie brillante</v>
      </c>
      <c r="E5372" s="126" t="s">
        <v>2156</v>
      </c>
      <c r="F5372" s="102">
        <v>1</v>
      </c>
      <c r="G5372" s="103">
        <f>'LISTA DE INSUMOS'!E73</f>
        <v>69711.851420999985</v>
      </c>
      <c r="H5372" s="104">
        <v>7.0000000000000007E-2</v>
      </c>
      <c r="I5372" s="103">
        <f>H5372*G5372*F5372</f>
        <v>4879.8295994699993</v>
      </c>
    </row>
    <row r="5373" spans="2:9" ht="19.5" customHeight="1" x14ac:dyDescent="0.2">
      <c r="B5373" s="452" t="s">
        <v>1034</v>
      </c>
      <c r="C5373" s="104" t="str">
        <f>'LISTA DE INSUMOS'!A18</f>
        <v>MOB015</v>
      </c>
      <c r="D5373" s="280" t="str">
        <f>'LISTA DE INSUMOS'!B18</f>
        <v>Cuadrilla E 1 Of + 1 Ay (jornal + prestaciones)</v>
      </c>
      <c r="E5373" s="126" t="s">
        <v>1424</v>
      </c>
      <c r="F5373" s="102">
        <v>1</v>
      </c>
      <c r="G5373" s="103">
        <f>'LISTA DE INSUMOS'!E18</f>
        <v>245584</v>
      </c>
      <c r="H5373" s="104">
        <v>0.2</v>
      </c>
      <c r="I5373" s="103">
        <f>H5373*G5373</f>
        <v>49116.800000000003</v>
      </c>
    </row>
    <row r="5374" spans="2:9" ht="19.5" customHeight="1" x14ac:dyDescent="0.2">
      <c r="B5374" s="338" t="s">
        <v>1033</v>
      </c>
      <c r="C5374" s="104" t="s">
        <v>1017</v>
      </c>
      <c r="D5374" s="104" t="s">
        <v>1029</v>
      </c>
      <c r="E5374" s="126" t="s">
        <v>2066</v>
      </c>
      <c r="F5374" s="102">
        <v>0.1</v>
      </c>
      <c r="G5374" s="103">
        <f>I5373</f>
        <v>49116.800000000003</v>
      </c>
      <c r="H5374" s="104">
        <v>0</v>
      </c>
      <c r="I5374" s="103">
        <f>G5374*F5374</f>
        <v>4911.68</v>
      </c>
    </row>
    <row r="5375" spans="2:9" ht="33.75" customHeight="1" x14ac:dyDescent="0.2">
      <c r="B5375" s="230" t="s">
        <v>1513</v>
      </c>
      <c r="C5375" s="410"/>
      <c r="D5375" s="470" t="s">
        <v>2834</v>
      </c>
      <c r="E5375" s="410" t="s">
        <v>1124</v>
      </c>
      <c r="F5375" s="410"/>
      <c r="G5375" s="412">
        <f>SUM(I5376:I5378)</f>
        <v>836195.82</v>
      </c>
      <c r="H5375" s="410"/>
      <c r="I5375" s="410"/>
    </row>
    <row r="5376" spans="2:9" ht="19.5" customHeight="1" x14ac:dyDescent="0.2">
      <c r="B5376" s="451" t="s">
        <v>1325</v>
      </c>
      <c r="C5376" s="104" t="str">
        <f>'LISTA DE INSUMOS'!A87</f>
        <v>MAT047-1</v>
      </c>
      <c r="D5376" s="280" t="str">
        <f>'LISTA DE INSUMOS'!B87</f>
        <v>Barra de agarre abatible en acero</v>
      </c>
      <c r="E5376" s="126" t="str">
        <f>'LISTA DE INSUMOS'!C87</f>
        <v>Un</v>
      </c>
      <c r="F5376" s="102">
        <v>1</v>
      </c>
      <c r="G5376" s="103">
        <f>'LISTA DE INSUMOS'!E87</f>
        <v>755153.1</v>
      </c>
      <c r="H5376" s="104">
        <v>0</v>
      </c>
      <c r="I5376" s="103">
        <f>G5376*F5376</f>
        <v>755153.1</v>
      </c>
    </row>
    <row r="5377" spans="2:9" ht="19.5" customHeight="1" x14ac:dyDescent="0.2">
      <c r="B5377" s="452" t="s">
        <v>1034</v>
      </c>
      <c r="C5377" s="104" t="str">
        <f>'LISTA DE INSUMOS'!A18</f>
        <v>MOB015</v>
      </c>
      <c r="D5377" s="280" t="str">
        <f>'LISTA DE INSUMOS'!B18</f>
        <v>Cuadrilla E 1 Of + 1 Ay (jornal + prestaciones)</v>
      </c>
      <c r="E5377" s="126" t="s">
        <v>1424</v>
      </c>
      <c r="F5377" s="102">
        <v>1</v>
      </c>
      <c r="G5377" s="103">
        <f>'LISTA DE INSUMOS'!E18</f>
        <v>245584</v>
      </c>
      <c r="H5377" s="104">
        <v>0.3</v>
      </c>
      <c r="I5377" s="103">
        <f>H5377*G5377</f>
        <v>73675.199999999997</v>
      </c>
    </row>
    <row r="5378" spans="2:9" ht="19.5" customHeight="1" x14ac:dyDescent="0.2">
      <c r="B5378" s="338" t="s">
        <v>1033</v>
      </c>
      <c r="C5378" s="104" t="s">
        <v>1017</v>
      </c>
      <c r="D5378" s="104" t="s">
        <v>1029</v>
      </c>
      <c r="E5378" s="126" t="s">
        <v>2066</v>
      </c>
      <c r="F5378" s="102">
        <v>0.1</v>
      </c>
      <c r="G5378" s="103">
        <f>I5377</f>
        <v>73675.199999999997</v>
      </c>
      <c r="H5378" s="104">
        <v>0</v>
      </c>
      <c r="I5378" s="103">
        <f>G5378*F5378</f>
        <v>7367.52</v>
      </c>
    </row>
    <row r="5379" spans="2:9" ht="27" customHeight="1" x14ac:dyDescent="0.2">
      <c r="B5379" s="230" t="s">
        <v>1509</v>
      </c>
      <c r="C5379" s="410"/>
      <c r="D5379" s="473" t="str">
        <f>'LISTA DE INSUMOS'!B615</f>
        <v>Griferia lavamanos automatica</v>
      </c>
      <c r="E5379" s="410" t="s">
        <v>1435</v>
      </c>
      <c r="F5379" s="410"/>
      <c r="G5379" s="474">
        <f>SUM(I5380:I5382)</f>
        <v>335715.01937499997</v>
      </c>
      <c r="H5379" s="410"/>
      <c r="I5379" s="410"/>
    </row>
    <row r="5380" spans="2:9" ht="27" customHeight="1" x14ac:dyDescent="0.2">
      <c r="B5380" s="451" t="s">
        <v>1325</v>
      </c>
      <c r="C5380" s="104" t="str">
        <f>'LISTA DE INSUMOS'!A615</f>
        <v>MAT631-1</v>
      </c>
      <c r="D5380" s="280" t="str">
        <f>'LISTA DE INSUMOS'!B615</f>
        <v>Griferia lavamanos automatica</v>
      </c>
      <c r="E5380" s="280" t="s">
        <v>1435</v>
      </c>
      <c r="F5380" s="471">
        <v>1</v>
      </c>
      <c r="G5380" s="103">
        <f>'LISTA DE INSUMOS'!E615</f>
        <v>317456.01937499997</v>
      </c>
      <c r="H5380" s="472">
        <v>0</v>
      </c>
      <c r="I5380" s="103">
        <f>G5380*F5380</f>
        <v>317456.01937499997</v>
      </c>
    </row>
    <row r="5381" spans="2:9" ht="19.5" customHeight="1" thickBot="1" x14ac:dyDescent="0.25">
      <c r="B5381" s="452" t="s">
        <v>1034</v>
      </c>
      <c r="C5381" s="280" t="s">
        <v>2082</v>
      </c>
      <c r="D5381" s="280" t="s">
        <v>2083</v>
      </c>
      <c r="E5381" s="280" t="s">
        <v>2065</v>
      </c>
      <c r="F5381" s="471">
        <v>1</v>
      </c>
      <c r="G5381" s="103">
        <f>'LISTA DE INSUMOS'!E5</f>
        <v>163723</v>
      </c>
      <c r="H5381" s="472">
        <v>0.2</v>
      </c>
      <c r="I5381" s="103">
        <v>16599</v>
      </c>
    </row>
    <row r="5382" spans="2:9" ht="19.5" customHeight="1" thickTop="1" thickBot="1" x14ac:dyDescent="0.25">
      <c r="B5382" s="255" t="s">
        <v>1033</v>
      </c>
      <c r="C5382" s="280" t="s">
        <v>1017</v>
      </c>
      <c r="D5382" s="280" t="s">
        <v>1029</v>
      </c>
      <c r="E5382" s="280" t="s">
        <v>2066</v>
      </c>
      <c r="F5382" s="471">
        <v>0.1</v>
      </c>
      <c r="G5382" s="103">
        <v>16599</v>
      </c>
      <c r="H5382" s="472">
        <v>0</v>
      </c>
      <c r="I5382" s="103">
        <v>1660</v>
      </c>
    </row>
    <row r="5383" spans="2:9" ht="36" customHeight="1" x14ac:dyDescent="0.2">
      <c r="B5383" s="230" t="s">
        <v>1511</v>
      </c>
      <c r="C5383" s="410"/>
      <c r="D5383" s="470" t="s">
        <v>2836</v>
      </c>
      <c r="E5383" s="410" t="s">
        <v>1435</v>
      </c>
      <c r="F5383" s="410"/>
      <c r="G5383" s="474">
        <f>SUM(I5384:I5386)</f>
        <v>184110.38999999998</v>
      </c>
      <c r="H5383" s="410"/>
      <c r="I5383" s="410"/>
    </row>
    <row r="5384" spans="2:9" ht="19.5" customHeight="1" x14ac:dyDescent="0.2">
      <c r="B5384" s="451" t="s">
        <v>1325</v>
      </c>
      <c r="C5384" s="104" t="str">
        <f>'LISTA DE INSUMOS'!A110</f>
        <v>MAT069-1</v>
      </c>
      <c r="D5384" s="280" t="str">
        <f>'LISTA DE INSUMOS'!B110</f>
        <v xml:space="preserve">Cerradura tipo manija </v>
      </c>
      <c r="E5384" s="280" t="s">
        <v>1435</v>
      </c>
      <c r="F5384" s="471">
        <v>1</v>
      </c>
      <c r="G5384" s="103">
        <f>'LISTA DE INSUMOS'!E110</f>
        <v>149705.78999999998</v>
      </c>
      <c r="H5384" s="472">
        <v>0</v>
      </c>
      <c r="I5384" s="103">
        <f>G5384*F5384</f>
        <v>149705.78999999998</v>
      </c>
    </row>
    <row r="5385" spans="2:9" ht="19.5" customHeight="1" thickBot="1" x14ac:dyDescent="0.25">
      <c r="B5385" s="452" t="s">
        <v>1034</v>
      </c>
      <c r="C5385" s="280" t="str">
        <f>'LISTA DE INSUMOS'!A5</f>
        <v>MOB002</v>
      </c>
      <c r="D5385" s="280" t="str">
        <f>'LISTA DE INSUMOS'!B5</f>
        <v>Oficial (jornal + prestaciones)</v>
      </c>
      <c r="E5385" s="280" t="s">
        <v>2065</v>
      </c>
      <c r="F5385" s="471">
        <v>1</v>
      </c>
      <c r="G5385" s="103">
        <f>'LISTA DE INSUMOS'!E5</f>
        <v>163723</v>
      </c>
      <c r="H5385" s="472">
        <v>0.2</v>
      </c>
      <c r="I5385" s="103">
        <f>H5385*G5385*F5385</f>
        <v>32744.600000000002</v>
      </c>
    </row>
    <row r="5386" spans="2:9" ht="19.5" customHeight="1" thickTop="1" thickBot="1" x14ac:dyDescent="0.25">
      <c r="B5386" s="255" t="s">
        <v>1033</v>
      </c>
      <c r="C5386" s="280" t="s">
        <v>1017</v>
      </c>
      <c r="D5386" s="280" t="s">
        <v>1029</v>
      </c>
      <c r="E5386" s="280" t="s">
        <v>2066</v>
      </c>
      <c r="F5386" s="471">
        <v>0.1</v>
      </c>
      <c r="G5386" s="103">
        <f>I5385</f>
        <v>32744.600000000002</v>
      </c>
      <c r="H5386" s="472">
        <v>0</v>
      </c>
      <c r="I5386" s="103">
        <v>1660</v>
      </c>
    </row>
    <row r="5387" spans="2:9" ht="19.5" customHeight="1" x14ac:dyDescent="0.2">
      <c r="B5387" s="230" t="s">
        <v>3033</v>
      </c>
      <c r="C5387" s="410"/>
      <c r="D5387" s="473" t="str">
        <f>'LISTA DE INSUMOS'!B88</f>
        <v>Barra de agarre de seguridad fija en acero</v>
      </c>
      <c r="E5387" s="410" t="s">
        <v>1124</v>
      </c>
      <c r="F5387" s="410"/>
      <c r="G5387" s="412">
        <f>SUM(I5388:I5390)</f>
        <v>747534.11999999988</v>
      </c>
      <c r="H5387" s="410"/>
      <c r="I5387" s="410"/>
    </row>
    <row r="5388" spans="2:9" ht="19.5" customHeight="1" x14ac:dyDescent="0.2">
      <c r="B5388" s="451" t="s">
        <v>1325</v>
      </c>
      <c r="C5388" s="104" t="str">
        <f>'LISTA DE INSUMOS'!A88</f>
        <v>MAT047-2</v>
      </c>
      <c r="D5388" s="280" t="str">
        <f>'LISTA DE INSUMOS'!B88</f>
        <v>Barra de agarre de seguridad fija en acero</v>
      </c>
      <c r="E5388" s="126" t="str">
        <f>'LISTA DE INSUMOS'!C101</f>
        <v>Un</v>
      </c>
      <c r="F5388" s="102">
        <v>1</v>
      </c>
      <c r="G5388" s="103">
        <f>'LISTA DE INSUMOS'!E88</f>
        <v>666491.39999999991</v>
      </c>
      <c r="H5388" s="104">
        <v>0</v>
      </c>
      <c r="I5388" s="103">
        <f>G5388*F5388</f>
        <v>666491.39999999991</v>
      </c>
    </row>
    <row r="5389" spans="2:9" ht="19.5" customHeight="1" x14ac:dyDescent="0.2">
      <c r="B5389" s="452" t="s">
        <v>1034</v>
      </c>
      <c r="C5389" s="104" t="str">
        <f>'LISTA DE INSUMOS'!A18</f>
        <v>MOB015</v>
      </c>
      <c r="D5389" s="280" t="str">
        <f>'LISTA DE INSUMOS'!B18</f>
        <v>Cuadrilla E 1 Of + 1 Ay (jornal + prestaciones)</v>
      </c>
      <c r="E5389" s="126" t="s">
        <v>1424</v>
      </c>
      <c r="F5389" s="102">
        <v>1</v>
      </c>
      <c r="G5389" s="103">
        <f>'LISTA DE INSUMOS'!E18</f>
        <v>245584</v>
      </c>
      <c r="H5389" s="104">
        <v>0.3</v>
      </c>
      <c r="I5389" s="103">
        <f>H5389*G5389</f>
        <v>73675.199999999997</v>
      </c>
    </row>
    <row r="5390" spans="2:9" ht="19.5" customHeight="1" x14ac:dyDescent="0.2">
      <c r="B5390" s="338" t="s">
        <v>1033</v>
      </c>
      <c r="C5390" s="104" t="s">
        <v>1017</v>
      </c>
      <c r="D5390" s="104" t="s">
        <v>1029</v>
      </c>
      <c r="E5390" s="126" t="s">
        <v>2066</v>
      </c>
      <c r="F5390" s="102">
        <v>0.1</v>
      </c>
      <c r="G5390" s="103">
        <f>I5389</f>
        <v>73675.199999999997</v>
      </c>
      <c r="H5390" s="104">
        <v>0</v>
      </c>
      <c r="I5390" s="103">
        <f>G5390*F5390</f>
        <v>7367.52</v>
      </c>
    </row>
    <row r="5391" spans="2:9" ht="19.5" customHeight="1" x14ac:dyDescent="0.2">
      <c r="B5391" s="230" t="s">
        <v>1489</v>
      </c>
      <c r="C5391" s="410"/>
      <c r="D5391" s="473" t="s">
        <v>2841</v>
      </c>
      <c r="E5391" s="410" t="s">
        <v>1124</v>
      </c>
      <c r="F5391" s="410"/>
      <c r="G5391" s="412">
        <f>SUM(I5392:I5395)</f>
        <v>131485.23780425001</v>
      </c>
      <c r="H5391" s="410"/>
      <c r="I5391" s="410"/>
    </row>
    <row r="5392" spans="2:9" ht="19.5" customHeight="1" x14ac:dyDescent="0.2">
      <c r="B5392" s="451" t="s">
        <v>1325</v>
      </c>
      <c r="C5392" s="104" t="str">
        <f>'LISTA DE INSUMOS'!A98</f>
        <v>MAT057</v>
      </c>
      <c r="D5392" s="280" t="s">
        <v>2842</v>
      </c>
      <c r="E5392" s="126" t="str">
        <f>'LISTA DE INSUMOS'!C110</f>
        <v>Un</v>
      </c>
      <c r="F5392" s="102">
        <v>1</v>
      </c>
      <c r="G5392" s="103">
        <f>'LISTA DE INSUMOS'!E94</f>
        <v>3747.1956429599995</v>
      </c>
      <c r="H5392" s="104">
        <v>0</v>
      </c>
      <c r="I5392" s="103">
        <f>G5392*F5392</f>
        <v>3747.1956429599995</v>
      </c>
    </row>
    <row r="5393" spans="2:9" ht="19.5" customHeight="1" x14ac:dyDescent="0.2">
      <c r="B5393" s="451"/>
      <c r="C5393" s="280">
        <f>B3968</f>
        <v>0</v>
      </c>
      <c r="D5393" s="475" t="str">
        <f>D3968</f>
        <v>Toma corriente doble polo regulado a tierra</v>
      </c>
      <c r="E5393" s="126" t="s">
        <v>1435</v>
      </c>
      <c r="F5393" s="102">
        <v>1</v>
      </c>
      <c r="G5393" s="103">
        <f>G3968</f>
        <v>26954.942161290001</v>
      </c>
      <c r="H5393" s="104">
        <v>1</v>
      </c>
      <c r="I5393" s="103">
        <f>G5393*F5393</f>
        <v>26954.942161290001</v>
      </c>
    </row>
    <row r="5394" spans="2:9" ht="19.5" customHeight="1" x14ac:dyDescent="0.2">
      <c r="B5394" s="452" t="s">
        <v>1034</v>
      </c>
      <c r="C5394" s="104" t="str">
        <f>'LISTA DE INSUMOS'!A29</f>
        <v>MOB025</v>
      </c>
      <c r="D5394" s="280" t="str">
        <f>'LISTA DE INSUMOS'!B29</f>
        <v>asistencia tècnica manejo zonas verdes</v>
      </c>
      <c r="E5394" s="126" t="s">
        <v>1424</v>
      </c>
      <c r="F5394" s="102">
        <v>1</v>
      </c>
      <c r="G5394" s="103">
        <f>'LISTA DE INSUMOS'!E29</f>
        <v>183242</v>
      </c>
      <c r="H5394" s="104">
        <v>0.5</v>
      </c>
      <c r="I5394" s="103">
        <f>H5394*G5394</f>
        <v>91621</v>
      </c>
    </row>
    <row r="5395" spans="2:9" ht="19.5" customHeight="1" x14ac:dyDescent="0.2">
      <c r="B5395" s="338" t="s">
        <v>1033</v>
      </c>
      <c r="C5395" s="104" t="s">
        <v>1017</v>
      </c>
      <c r="D5395" s="104" t="s">
        <v>1029</v>
      </c>
      <c r="E5395" s="126" t="s">
        <v>2066</v>
      </c>
      <c r="F5395" s="102">
        <v>0.1</v>
      </c>
      <c r="G5395" s="103">
        <f>I5394</f>
        <v>91621</v>
      </c>
      <c r="H5395" s="104">
        <v>0</v>
      </c>
      <c r="I5395" s="103">
        <f>G5395*F5395</f>
        <v>9162.1</v>
      </c>
    </row>
    <row r="5396" spans="2:9" ht="19.5" customHeight="1" x14ac:dyDescent="0.2">
      <c r="B5396" s="230" t="s">
        <v>1491</v>
      </c>
      <c r="C5396" s="410"/>
      <c r="D5396" s="473" t="s">
        <v>2845</v>
      </c>
      <c r="E5396" s="410" t="s">
        <v>1124</v>
      </c>
      <c r="F5396" s="410"/>
      <c r="G5396" s="412">
        <f>SUM(I5397:I5402)</f>
        <v>6661826.2738899542</v>
      </c>
      <c r="H5396" s="410"/>
      <c r="I5396" s="410"/>
    </row>
    <row r="5397" spans="2:9" ht="19.5" customHeight="1" x14ac:dyDescent="0.2">
      <c r="B5397" s="451" t="s">
        <v>1325</v>
      </c>
      <c r="C5397" s="280" t="str">
        <f>'LISTA DE INSUMOS'!A444</f>
        <v>MAT460</v>
      </c>
      <c r="D5397" s="280" t="str">
        <f>'LISTA DE INSUMOS'!B444</f>
        <v>Hidrante tipo Columna Seca 4" carrete de 300 mm</v>
      </c>
      <c r="E5397" s="282" t="s">
        <v>1435</v>
      </c>
      <c r="F5397" s="102">
        <v>1</v>
      </c>
      <c r="G5397" s="103">
        <f>'LISTA DE INSUMOS'!E444</f>
        <v>5441603.2798951352</v>
      </c>
      <c r="H5397" s="472">
        <v>0</v>
      </c>
      <c r="I5397" s="103">
        <f>G5397*F5397</f>
        <v>5441603.2798951352</v>
      </c>
    </row>
    <row r="5398" spans="2:9" ht="30.75" customHeight="1" x14ac:dyDescent="0.2">
      <c r="B5398" s="451"/>
      <c r="C5398" s="280" t="s">
        <v>775</v>
      </c>
      <c r="D5398" s="475" t="str">
        <f>'LISTA DE INSUMOS'!B447</f>
        <v>Válvula de 3" sello de bronce extremo liso o junta hidráulica PVC</v>
      </c>
      <c r="E5398" s="282" t="s">
        <v>1435</v>
      </c>
      <c r="F5398" s="102">
        <v>1</v>
      </c>
      <c r="G5398" s="103">
        <f>'LISTA DE INSUMOS'!E447</f>
        <v>851610.87609443069</v>
      </c>
      <c r="H5398" s="472">
        <v>0</v>
      </c>
      <c r="I5398" s="103">
        <f>G5398*F5398</f>
        <v>851610.87609443069</v>
      </c>
    </row>
    <row r="5399" spans="2:9" ht="19.5" customHeight="1" x14ac:dyDescent="0.2">
      <c r="B5399" s="451"/>
      <c r="C5399" s="280" t="str">
        <f>'LISTA DE INSUMOS'!A384</f>
        <v>MAT378</v>
      </c>
      <c r="D5399" s="280" t="str">
        <f>'LISTA DE INSUMOS'!B384</f>
        <v>Tee de HG 2"</v>
      </c>
      <c r="E5399" s="282" t="s">
        <v>1435</v>
      </c>
      <c r="F5399" s="102">
        <v>1</v>
      </c>
      <c r="G5399" s="103">
        <f>'LISTA DE INSUMOS'!E384</f>
        <v>17095.503884368602</v>
      </c>
      <c r="H5399" s="472">
        <v>0</v>
      </c>
      <c r="I5399" s="103">
        <f>G5399*F5399</f>
        <v>17095.503884368602</v>
      </c>
    </row>
    <row r="5400" spans="2:9" ht="19.5" customHeight="1" x14ac:dyDescent="0.2">
      <c r="B5400" s="451"/>
      <c r="C5400" s="280" t="str">
        <f>'LISTA DE INSUMOS'!A385</f>
        <v>MAT378-1</v>
      </c>
      <c r="D5400" s="280" t="str">
        <f>'LISTA DE INSUMOS'!B385</f>
        <v>Accesorios Instalaciòn Hidrante</v>
      </c>
      <c r="E5400" s="282" t="s">
        <v>1435</v>
      </c>
      <c r="F5400" s="102">
        <v>1</v>
      </c>
      <c r="G5400" s="103">
        <f>'LISTA DE INSUMOS'!E385</f>
        <v>169365.82287239999</v>
      </c>
      <c r="H5400" s="472">
        <v>1.05</v>
      </c>
      <c r="I5400" s="103">
        <f>G5400*F5400*H5400</f>
        <v>177834.11401602</v>
      </c>
    </row>
    <row r="5401" spans="2:9" ht="19.5" customHeight="1" x14ac:dyDescent="0.2">
      <c r="B5401" s="452" t="s">
        <v>1034</v>
      </c>
      <c r="C5401" s="280" t="s">
        <v>2093</v>
      </c>
      <c r="D5401" s="280" t="s">
        <v>2094</v>
      </c>
      <c r="E5401" s="282" t="s">
        <v>2065</v>
      </c>
      <c r="F5401" s="102">
        <v>1</v>
      </c>
      <c r="G5401" s="103">
        <f>'LISTA DE INSUMOS'!E20</f>
        <v>327445</v>
      </c>
      <c r="H5401" s="472">
        <v>0.5</v>
      </c>
      <c r="I5401" s="103">
        <f>F5401*G5401*H5401</f>
        <v>163722.5</v>
      </c>
    </row>
    <row r="5402" spans="2:9" ht="19.5" customHeight="1" x14ac:dyDescent="0.2">
      <c r="B5402" s="338" t="s">
        <v>1033</v>
      </c>
      <c r="C5402" s="280" t="s">
        <v>1017</v>
      </c>
      <c r="D5402" s="280" t="s">
        <v>1029</v>
      </c>
      <c r="E5402" s="282" t="s">
        <v>2066</v>
      </c>
      <c r="F5402" s="102">
        <v>0.1</v>
      </c>
      <c r="G5402" s="103">
        <v>99595</v>
      </c>
      <c r="H5402" s="472">
        <v>0</v>
      </c>
      <c r="I5402" s="103">
        <v>9960</v>
      </c>
    </row>
    <row r="5403" spans="2:9" ht="32.25" customHeight="1" x14ac:dyDescent="0.2">
      <c r="B5403" s="230" t="s">
        <v>1492</v>
      </c>
      <c r="C5403" s="105"/>
      <c r="D5403" s="476" t="s">
        <v>2856</v>
      </c>
      <c r="E5403" s="410" t="s">
        <v>1435</v>
      </c>
      <c r="F5403" s="411"/>
      <c r="G5403" s="412">
        <f>SUM(I5404:I5411)</f>
        <v>204695.75761674999</v>
      </c>
      <c r="H5403" s="105">
        <f>G5403/4</f>
        <v>51173.939404187498</v>
      </c>
      <c r="I5403" s="412">
        <f>H5403*1.5</f>
        <v>76760.909106281251</v>
      </c>
    </row>
    <row r="5404" spans="2:9" ht="19.5" customHeight="1" x14ac:dyDescent="0.2">
      <c r="B5404" s="646" t="s">
        <v>1325</v>
      </c>
      <c r="C5404" s="104" t="s">
        <v>977</v>
      </c>
      <c r="D5404" s="104" t="s">
        <v>114</v>
      </c>
      <c r="E5404" s="126" t="s">
        <v>1414</v>
      </c>
      <c r="F5404" s="102">
        <v>1</v>
      </c>
      <c r="G5404" s="103">
        <f>'LISTA DE INSUMOS'!E207</f>
        <v>5300.1352799999995</v>
      </c>
      <c r="H5404" s="459">
        <v>0.5</v>
      </c>
      <c r="I5404" s="103">
        <f>H5404*G5404</f>
        <v>2650.0676399999998</v>
      </c>
    </row>
    <row r="5405" spans="2:9" ht="19.5" customHeight="1" x14ac:dyDescent="0.2">
      <c r="B5405" s="646"/>
      <c r="C5405" s="104" t="str">
        <f>'LISTA DE INSUMOS'!A717</f>
        <v>MAT730</v>
      </c>
      <c r="D5405" s="280" t="s">
        <v>2853</v>
      </c>
      <c r="E5405" s="126" t="s">
        <v>1435</v>
      </c>
      <c r="F5405" s="102">
        <v>1</v>
      </c>
      <c r="G5405" s="103">
        <v>3500</v>
      </c>
      <c r="H5405" s="477">
        <v>10</v>
      </c>
      <c r="I5405" s="103">
        <f>H5405*G5405</f>
        <v>35000</v>
      </c>
    </row>
    <row r="5406" spans="2:9" ht="19.5" customHeight="1" x14ac:dyDescent="0.2">
      <c r="B5406" s="646"/>
      <c r="C5406" s="104" t="str">
        <f>'LISTA DE INSUMOS'!A718</f>
        <v>MAT731</v>
      </c>
      <c r="D5406" s="280" t="str">
        <f>'LISTA DE INSUMOS'!B719</f>
        <v>Piedra blanca ornamentación jardín 10 kilos</v>
      </c>
      <c r="E5406" s="126" t="s">
        <v>1435</v>
      </c>
      <c r="F5406" s="102">
        <v>1</v>
      </c>
      <c r="G5406" s="103">
        <f>'LISTA DE INSUMOS'!E719</f>
        <v>22161.190639500001</v>
      </c>
      <c r="H5406" s="220">
        <v>1.5</v>
      </c>
      <c r="I5406" s="103">
        <f>H5406*G5406</f>
        <v>33241.785959250003</v>
      </c>
    </row>
    <row r="5407" spans="2:9" ht="19.5" customHeight="1" x14ac:dyDescent="0.2">
      <c r="B5407" s="646"/>
      <c r="C5407" s="104" t="s">
        <v>982</v>
      </c>
      <c r="D5407" s="104" t="s">
        <v>983</v>
      </c>
      <c r="E5407" s="126" t="s">
        <v>1414</v>
      </c>
      <c r="F5407" s="102">
        <v>1</v>
      </c>
      <c r="G5407" s="103">
        <f>'LISTA DE INSUMOS'!E272</f>
        <v>47590.798034999993</v>
      </c>
      <c r="H5407" s="459">
        <v>0.5</v>
      </c>
      <c r="I5407" s="103">
        <f>H5407*G5407</f>
        <v>23795.399017499996</v>
      </c>
    </row>
    <row r="5408" spans="2:9" ht="19.5" customHeight="1" x14ac:dyDescent="0.2">
      <c r="B5408" s="762" t="s">
        <v>2807</v>
      </c>
      <c r="C5408" s="104" t="s">
        <v>2808</v>
      </c>
      <c r="D5408" s="280" t="s">
        <v>2809</v>
      </c>
      <c r="E5408" s="126" t="s">
        <v>1074</v>
      </c>
      <c r="F5408" s="102">
        <v>1</v>
      </c>
      <c r="G5408" s="103">
        <v>150000</v>
      </c>
      <c r="H5408" s="459">
        <v>0.30030000000000001</v>
      </c>
      <c r="I5408" s="103">
        <f>H5408*G5408+2</f>
        <v>45047</v>
      </c>
    </row>
    <row r="5409" spans="2:9" ht="19.5" customHeight="1" x14ac:dyDescent="0.2">
      <c r="B5409" s="762"/>
      <c r="C5409" s="104" t="s">
        <v>1367</v>
      </c>
      <c r="D5409" s="280" t="s">
        <v>2104</v>
      </c>
      <c r="E5409" s="126" t="s">
        <v>1074</v>
      </c>
      <c r="F5409" s="102">
        <v>1</v>
      </c>
      <c r="G5409" s="103">
        <f>'LISTA DE INSUMOS'!E10</f>
        <v>412454</v>
      </c>
      <c r="H5409" s="459">
        <v>0.15</v>
      </c>
      <c r="I5409" s="103">
        <f>H5409*G5409</f>
        <v>61868.1</v>
      </c>
    </row>
    <row r="5410" spans="2:9" ht="19.5" customHeight="1" x14ac:dyDescent="0.2">
      <c r="B5410" s="666" t="s">
        <v>1033</v>
      </c>
      <c r="C5410" s="104" t="s">
        <v>1017</v>
      </c>
      <c r="D5410" s="104" t="s">
        <v>1029</v>
      </c>
      <c r="E5410" s="126" t="s">
        <v>2066</v>
      </c>
      <c r="F5410" s="102">
        <v>0.05</v>
      </c>
      <c r="G5410" s="103">
        <f>I5409</f>
        <v>61868.1</v>
      </c>
      <c r="H5410" s="104">
        <v>1</v>
      </c>
      <c r="I5410" s="103">
        <f>H5410*G5410*F5410</f>
        <v>3093.4050000000002</v>
      </c>
    </row>
    <row r="5411" spans="2:9" ht="19.5" customHeight="1" x14ac:dyDescent="0.2">
      <c r="B5411" s="666"/>
      <c r="C5411" s="104" t="s">
        <v>187</v>
      </c>
      <c r="D5411" s="104" t="s">
        <v>188</v>
      </c>
      <c r="E5411" s="126" t="s">
        <v>189</v>
      </c>
      <c r="F5411" s="102">
        <v>0</v>
      </c>
      <c r="G5411" s="103">
        <f>I5409</f>
        <v>61868.1</v>
      </c>
      <c r="H5411" s="104">
        <v>1</v>
      </c>
      <c r="I5411" s="103">
        <f>H5411*G5411*F5411</f>
        <v>0</v>
      </c>
    </row>
    <row r="5412" spans="2:9" ht="21.75" customHeight="1" x14ac:dyDescent="0.2">
      <c r="B5412" s="230" t="s">
        <v>3034</v>
      </c>
      <c r="C5412" s="410"/>
      <c r="D5412" s="470" t="s">
        <v>2857</v>
      </c>
      <c r="E5412" s="410" t="s">
        <v>1424</v>
      </c>
      <c r="F5412" s="410"/>
      <c r="G5412" s="412">
        <f>SUM(I5413:I5418)</f>
        <v>54743.602430362866</v>
      </c>
      <c r="H5412" s="410"/>
      <c r="I5412" s="410"/>
    </row>
    <row r="5413" spans="2:9" ht="19.5" customHeight="1" x14ac:dyDescent="0.2">
      <c r="B5413" s="646" t="s">
        <v>1325</v>
      </c>
      <c r="C5413" s="104" t="s">
        <v>2128</v>
      </c>
      <c r="D5413" s="280" t="str">
        <f>'LISTA DE INSUMOS'!B299</f>
        <v>Afirmado</v>
      </c>
      <c r="E5413" s="126" t="s">
        <v>1432</v>
      </c>
      <c r="F5413" s="102">
        <v>0.15</v>
      </c>
      <c r="G5413" s="103">
        <f>'LISTA DE INSUMOS'!E299</f>
        <v>55402.97659875</v>
      </c>
      <c r="H5413" s="104">
        <v>1.3</v>
      </c>
      <c r="I5413" s="103">
        <f t="shared" ref="I5413:I5418" si="62">H5413*G5413*F5413</f>
        <v>10803.58043675625</v>
      </c>
    </row>
    <row r="5414" spans="2:9" ht="19.5" customHeight="1" x14ac:dyDescent="0.2">
      <c r="B5414" s="646"/>
      <c r="C5414" s="280" t="str">
        <f>B115</f>
        <v>ITE024</v>
      </c>
      <c r="D5414" s="280" t="str">
        <f>D115</f>
        <v>Excavación en material común seco de 0 - 1,5 m manual</v>
      </c>
      <c r="E5414" s="126" t="s">
        <v>1435</v>
      </c>
      <c r="F5414" s="102">
        <v>0.15</v>
      </c>
      <c r="G5414" s="103">
        <f>G115</f>
        <v>32745</v>
      </c>
      <c r="H5414" s="104">
        <v>1.2</v>
      </c>
      <c r="I5414" s="103">
        <f t="shared" si="62"/>
        <v>5894.0999999999995</v>
      </c>
    </row>
    <row r="5415" spans="2:9" ht="19.5" customHeight="1" x14ac:dyDescent="0.2">
      <c r="B5415" s="646"/>
      <c r="C5415" s="104" t="s">
        <v>2823</v>
      </c>
      <c r="D5415" s="104" t="s">
        <v>2825</v>
      </c>
      <c r="E5415" s="126" t="s">
        <v>1435</v>
      </c>
      <c r="F5415" s="102">
        <v>1</v>
      </c>
      <c r="G5415" s="103">
        <v>3500</v>
      </c>
      <c r="H5415" s="459">
        <f>5/1.5</f>
        <v>3.3333333333333335</v>
      </c>
      <c r="I5415" s="103">
        <f t="shared" si="62"/>
        <v>11666.666666666668</v>
      </c>
    </row>
    <row r="5416" spans="2:9" ht="19.5" customHeight="1" x14ac:dyDescent="0.2">
      <c r="B5416" s="452" t="s">
        <v>1034</v>
      </c>
      <c r="C5416" s="104" t="str">
        <f>'LISTA DE INSUMOS'!A9</f>
        <v>MOB006</v>
      </c>
      <c r="D5416" s="280" t="str">
        <f>'LISTA DE INSUMOS'!B9</f>
        <v>Cuadrilla A 1 Of + 4 Ay (jornal + prestaciones)</v>
      </c>
      <c r="E5416" s="126" t="s">
        <v>1074</v>
      </c>
      <c r="F5416" s="102">
        <v>1</v>
      </c>
      <c r="G5416" s="103">
        <f>'LISTA DE INSUMOS'!E9</f>
        <v>491167</v>
      </c>
      <c r="H5416" s="220">
        <f>1/30</f>
        <v>3.3333333333333333E-2</v>
      </c>
      <c r="I5416" s="103">
        <f t="shared" si="62"/>
        <v>16372.233333333334</v>
      </c>
    </row>
    <row r="5417" spans="2:9" ht="19.5" customHeight="1" x14ac:dyDescent="0.2">
      <c r="B5417" s="666" t="s">
        <v>1033</v>
      </c>
      <c r="C5417" s="104" t="s">
        <v>1017</v>
      </c>
      <c r="D5417" s="104" t="s">
        <v>1029</v>
      </c>
      <c r="E5417" s="126" t="s">
        <v>2066</v>
      </c>
      <c r="F5417" s="102">
        <v>0.1</v>
      </c>
      <c r="G5417" s="103">
        <f>I5416</f>
        <v>16372.233333333334</v>
      </c>
      <c r="H5417" s="104">
        <v>1</v>
      </c>
      <c r="I5417" s="103">
        <f t="shared" si="62"/>
        <v>1637.2233333333334</v>
      </c>
    </row>
    <row r="5418" spans="2:9" ht="19.5" customHeight="1" x14ac:dyDescent="0.2">
      <c r="B5418" s="666"/>
      <c r="C5418" s="104" t="str">
        <f>'LISTA DE INSUMOS'!A769</f>
        <v>EQU012</v>
      </c>
      <c r="D5418" s="280" t="str">
        <f>'LISTA DE INSUMOS'!B769</f>
        <v xml:space="preserve">Vibrocompactador manual </v>
      </c>
      <c r="E5418" s="126" t="str">
        <f>'LISTA DE INSUMOS'!C769</f>
        <v>Día</v>
      </c>
      <c r="F5418" s="102">
        <v>1</v>
      </c>
      <c r="G5418" s="103">
        <f>'LISTA DE INSUMOS'!E769</f>
        <v>83697.986602732781</v>
      </c>
      <c r="H5418" s="104">
        <v>0.1</v>
      </c>
      <c r="I5418" s="103">
        <f t="shared" si="62"/>
        <v>8369.7986602732781</v>
      </c>
    </row>
    <row r="5419" spans="2:9" ht="36.75" customHeight="1" x14ac:dyDescent="0.2">
      <c r="B5419" s="230" t="s">
        <v>3046</v>
      </c>
      <c r="C5419" s="230"/>
      <c r="D5419" s="491" t="s">
        <v>3307</v>
      </c>
      <c r="E5419" s="230" t="s">
        <v>1424</v>
      </c>
      <c r="F5419" s="230"/>
      <c r="G5419" s="412">
        <f>SUM(I5420:I5422)</f>
        <v>5483.8795549999995</v>
      </c>
      <c r="H5419" s="230"/>
      <c r="I5419" s="230"/>
    </row>
    <row r="5420" spans="2:9" ht="19.5" customHeight="1" x14ac:dyDescent="0.2">
      <c r="B5420" s="452" t="s">
        <v>1034</v>
      </c>
      <c r="C5420" s="104" t="str">
        <f>'LISTA DE INSUMOS'!A25</f>
        <v>MOB022</v>
      </c>
      <c r="D5420" s="280" t="str">
        <f>'LISTA DE INSUMOS'!B25</f>
        <v>Cuadrilla L 2 Of + 8 Ay (jornal + prestaciones)</v>
      </c>
      <c r="E5420" s="126" t="s">
        <v>2065</v>
      </c>
      <c r="F5420" s="102">
        <v>1</v>
      </c>
      <c r="G5420" s="103">
        <f>'LISTA DE INSUMOS'!E25</f>
        <v>982334</v>
      </c>
      <c r="H5420" s="104">
        <v>5.4999999999999997E-3</v>
      </c>
      <c r="I5420" s="103">
        <f>H5420*G5420*F5420</f>
        <v>5402.8369999999995</v>
      </c>
    </row>
    <row r="5421" spans="2:9" ht="19.5" customHeight="1" x14ac:dyDescent="0.2">
      <c r="B5421" s="666" t="s">
        <v>1033</v>
      </c>
      <c r="C5421" s="104" t="s">
        <v>2696</v>
      </c>
      <c r="D5421" s="104" t="s">
        <v>1030</v>
      </c>
      <c r="E5421" s="126" t="s">
        <v>2065</v>
      </c>
      <c r="F5421" s="102">
        <v>1</v>
      </c>
      <c r="G5421" s="103">
        <f>I5420</f>
        <v>5402.8369999999995</v>
      </c>
      <c r="H5421" s="104">
        <v>8.5000000000000006E-3</v>
      </c>
      <c r="I5421" s="103">
        <f>H5421*G5421*F5421</f>
        <v>45.924114500000002</v>
      </c>
    </row>
    <row r="5422" spans="2:9" ht="19.5" customHeight="1" x14ac:dyDescent="0.2">
      <c r="B5422" s="666"/>
      <c r="C5422" s="104" t="s">
        <v>1017</v>
      </c>
      <c r="D5422" s="104" t="s">
        <v>1029</v>
      </c>
      <c r="E5422" s="126" t="s">
        <v>2066</v>
      </c>
      <c r="F5422" s="102">
        <v>6.4999999999999997E-3</v>
      </c>
      <c r="G5422" s="103">
        <f>I5420</f>
        <v>5402.8369999999995</v>
      </c>
      <c r="H5422" s="104">
        <v>1</v>
      </c>
      <c r="I5422" s="103">
        <f>H5422*G5422*F5422</f>
        <v>35.118440499999998</v>
      </c>
    </row>
    <row r="5423" spans="2:9" ht="19.5" customHeight="1" x14ac:dyDescent="0.2">
      <c r="B5423" s="230" t="s">
        <v>3060</v>
      </c>
      <c r="C5423" s="230"/>
      <c r="D5423" s="493" t="s">
        <v>3058</v>
      </c>
      <c r="E5423" s="230" t="s">
        <v>1435</v>
      </c>
      <c r="F5423" s="230"/>
      <c r="G5423" s="412">
        <f>SUM(I5424:I5427)</f>
        <v>1513738.5913657499</v>
      </c>
      <c r="H5423" s="230"/>
      <c r="I5423" s="230"/>
    </row>
    <row r="5424" spans="2:9" ht="19.5" customHeight="1" x14ac:dyDescent="0.2">
      <c r="B5424" s="646" t="s">
        <v>1325</v>
      </c>
      <c r="C5424" s="104" t="s">
        <v>2811</v>
      </c>
      <c r="D5424" s="280" t="str">
        <f>'LISTA DE INSUMOS'!B728</f>
        <v>Arena de silice o silica</v>
      </c>
      <c r="E5424" s="126" t="s">
        <v>1432</v>
      </c>
      <c r="F5424" s="102">
        <v>1</v>
      </c>
      <c r="G5424" s="103">
        <f>'LISTA DE INSUMOS'!E728</f>
        <v>320106.087015</v>
      </c>
      <c r="H5424" s="104">
        <v>1.05</v>
      </c>
      <c r="I5424" s="103">
        <f>H5424*G5424*F5424</f>
        <v>336111.39136574999</v>
      </c>
    </row>
    <row r="5425" spans="2:9" ht="19.5" customHeight="1" x14ac:dyDescent="0.2">
      <c r="B5425" s="646"/>
      <c r="C5425" s="104" t="s">
        <v>2812</v>
      </c>
      <c r="D5425" s="104" t="s">
        <v>3059</v>
      </c>
      <c r="E5425" s="126" t="s">
        <v>1124</v>
      </c>
      <c r="F5425" s="102">
        <v>6</v>
      </c>
      <c r="G5425" s="103">
        <v>61200</v>
      </c>
      <c r="H5425" s="104">
        <v>1</v>
      </c>
      <c r="I5425" s="103">
        <f t="shared" ref="I5425:I5431" si="63">H5425*G5425*F5425</f>
        <v>367200</v>
      </c>
    </row>
    <row r="5426" spans="2:9" ht="19.5" customHeight="1" x14ac:dyDescent="0.2">
      <c r="B5426" s="452" t="s">
        <v>1034</v>
      </c>
      <c r="C5426" s="104" t="s">
        <v>2159</v>
      </c>
      <c r="D5426" s="280" t="str">
        <f>'LISTA DE INSUMOS'!B18</f>
        <v>Cuadrilla E 1 Of + 1 Ay (jornal + prestaciones)</v>
      </c>
      <c r="E5426" s="126" t="s">
        <v>2065</v>
      </c>
      <c r="F5426" s="102">
        <v>3</v>
      </c>
      <c r="G5426" s="103">
        <f>'LISTA DE INSUMOS'!E18</f>
        <v>245584</v>
      </c>
      <c r="H5426" s="104">
        <v>1</v>
      </c>
      <c r="I5426" s="103">
        <f t="shared" si="63"/>
        <v>736752</v>
      </c>
    </row>
    <row r="5427" spans="2:9" ht="19.5" customHeight="1" x14ac:dyDescent="0.2">
      <c r="B5427" s="338" t="s">
        <v>1033</v>
      </c>
      <c r="C5427" s="104" t="s">
        <v>1017</v>
      </c>
      <c r="D5427" s="104" t="s">
        <v>1029</v>
      </c>
      <c r="E5427" s="126" t="s">
        <v>2066</v>
      </c>
      <c r="F5427" s="102">
        <v>0.1</v>
      </c>
      <c r="G5427" s="103">
        <f>I5426</f>
        <v>736752</v>
      </c>
      <c r="H5427" s="104">
        <v>1</v>
      </c>
      <c r="I5427" s="103">
        <f t="shared" si="63"/>
        <v>73675.199999999997</v>
      </c>
    </row>
    <row r="5428" spans="2:9" ht="41.25" customHeight="1" x14ac:dyDescent="0.2">
      <c r="B5428" s="230" t="s">
        <v>3068</v>
      </c>
      <c r="C5428" s="230"/>
      <c r="D5428" s="491" t="s">
        <v>3067</v>
      </c>
      <c r="E5428" s="230" t="s">
        <v>1435</v>
      </c>
      <c r="F5428" s="230"/>
      <c r="G5428" s="412">
        <f>SUM(I5429:I5431)</f>
        <v>656466.75680629991</v>
      </c>
      <c r="H5428" s="230"/>
      <c r="I5428" s="230"/>
    </row>
    <row r="5429" spans="2:9" ht="27" customHeight="1" x14ac:dyDescent="0.2">
      <c r="B5429" s="492" t="s">
        <v>1325</v>
      </c>
      <c r="C5429" s="104" t="str">
        <f>'LISTA DE INSUMOS'!A730</f>
        <v>MAT743</v>
      </c>
      <c r="D5429" s="475" t="str">
        <f>'LISTA DE INSUMOS'!B730</f>
        <v>Impulsores motobombas de recirculación agua lamina de agua tipo monoblock marca IHM tipo caracol modelo 15H-2TW RSS</v>
      </c>
      <c r="E5429" s="126" t="s">
        <v>1435</v>
      </c>
      <c r="F5429" s="102">
        <v>1</v>
      </c>
      <c r="G5429" s="103">
        <f>'LISTA DE INSUMOS'!E730</f>
        <v>588931.15680629993</v>
      </c>
      <c r="H5429" s="104">
        <v>1</v>
      </c>
      <c r="I5429" s="103">
        <f t="shared" si="63"/>
        <v>588931.15680629993</v>
      </c>
    </row>
    <row r="5430" spans="2:9" ht="19.5" customHeight="1" x14ac:dyDescent="0.2">
      <c r="B5430" s="452" t="s">
        <v>1034</v>
      </c>
      <c r="C5430" s="104" t="s">
        <v>2159</v>
      </c>
      <c r="D5430" s="104" t="s">
        <v>2160</v>
      </c>
      <c r="E5430" s="126" t="s">
        <v>2065</v>
      </c>
      <c r="F5430" s="102">
        <v>1</v>
      </c>
      <c r="G5430" s="103">
        <f>'LISTA DE INSUMOS'!E18</f>
        <v>245584</v>
      </c>
      <c r="H5430" s="104">
        <v>0.25</v>
      </c>
      <c r="I5430" s="103">
        <f t="shared" si="63"/>
        <v>61396</v>
      </c>
    </row>
    <row r="5431" spans="2:9" ht="19.5" customHeight="1" x14ac:dyDescent="0.2">
      <c r="B5431" s="338" t="s">
        <v>1033</v>
      </c>
      <c r="C5431" s="104" t="s">
        <v>1017</v>
      </c>
      <c r="D5431" s="104" t="s">
        <v>1029</v>
      </c>
      <c r="E5431" s="126" t="s">
        <v>2066</v>
      </c>
      <c r="F5431" s="102">
        <v>0.1</v>
      </c>
      <c r="G5431" s="103">
        <f>I5430</f>
        <v>61396</v>
      </c>
      <c r="H5431" s="104">
        <v>1</v>
      </c>
      <c r="I5431" s="103">
        <f t="shared" si="63"/>
        <v>6139.6</v>
      </c>
    </row>
    <row r="5432" spans="2:9" ht="29.25" customHeight="1" x14ac:dyDescent="0.2">
      <c r="B5432" s="230" t="s">
        <v>3069</v>
      </c>
      <c r="C5432" s="230"/>
      <c r="D5432" s="491" t="s">
        <v>3072</v>
      </c>
      <c r="E5432" s="230" t="s">
        <v>1435</v>
      </c>
      <c r="F5432" s="230"/>
      <c r="G5432" s="412">
        <f>SUM(I5433:I5435)</f>
        <v>1047828.2451309199</v>
      </c>
      <c r="H5432" s="230"/>
      <c r="I5432" s="230"/>
    </row>
    <row r="5433" spans="2:9" ht="19.5" customHeight="1" x14ac:dyDescent="0.2">
      <c r="B5433" s="492" t="s">
        <v>1325</v>
      </c>
      <c r="C5433" s="104" t="str">
        <f>'LISTA DE INSUMOS'!A731</f>
        <v>MAT744</v>
      </c>
      <c r="D5433" s="475" t="str">
        <f>'LISTA DE INSUMOS'!B731</f>
        <v>Contactores SCHNEIDER LCD40+Amperaje 40</v>
      </c>
      <c r="E5433" s="126" t="s">
        <v>1435</v>
      </c>
      <c r="F5433" s="102">
        <v>1</v>
      </c>
      <c r="G5433" s="103">
        <f>'LISTA DE INSUMOS'!E731</f>
        <v>1020814.0051309199</v>
      </c>
      <c r="H5433" s="104">
        <v>1</v>
      </c>
      <c r="I5433" s="103">
        <f>H5433*G5433*F5433</f>
        <v>1020814.0051309199</v>
      </c>
    </row>
    <row r="5434" spans="2:9" ht="19.5" customHeight="1" x14ac:dyDescent="0.2">
      <c r="B5434" s="452" t="s">
        <v>1034</v>
      </c>
      <c r="C5434" s="104" t="s">
        <v>2159</v>
      </c>
      <c r="D5434" s="104" t="s">
        <v>2160</v>
      </c>
      <c r="E5434" s="126" t="s">
        <v>2065</v>
      </c>
      <c r="F5434" s="102">
        <v>1</v>
      </c>
      <c r="G5434" s="103">
        <f>'LISTA DE INSUMOS'!E18</f>
        <v>245584</v>
      </c>
      <c r="H5434" s="104">
        <v>0.1</v>
      </c>
      <c r="I5434" s="103">
        <f>H5434*G5434*F5434</f>
        <v>24558.400000000001</v>
      </c>
    </row>
    <row r="5435" spans="2:9" ht="19.5" customHeight="1" x14ac:dyDescent="0.2">
      <c r="B5435" s="338" t="s">
        <v>1033</v>
      </c>
      <c r="C5435" s="104" t="s">
        <v>1017</v>
      </c>
      <c r="D5435" s="104" t="s">
        <v>1029</v>
      </c>
      <c r="E5435" s="126" t="s">
        <v>2066</v>
      </c>
      <c r="F5435" s="102">
        <v>0.1</v>
      </c>
      <c r="G5435" s="103">
        <f>I5434</f>
        <v>24558.400000000001</v>
      </c>
      <c r="H5435" s="104">
        <v>1</v>
      </c>
      <c r="I5435" s="103">
        <f>H5435*G5435*F5435</f>
        <v>2455.84</v>
      </c>
    </row>
    <row r="5436" spans="2:9" ht="19.5" customHeight="1" x14ac:dyDescent="0.2">
      <c r="B5436" s="230" t="s">
        <v>1723</v>
      </c>
      <c r="C5436" s="230"/>
      <c r="D5436" s="493" t="s">
        <v>3073</v>
      </c>
      <c r="E5436" s="230" t="s">
        <v>1435</v>
      </c>
      <c r="F5436" s="230"/>
      <c r="G5436" s="412">
        <f>SUM(I5437:I5440)</f>
        <v>36844.450699982146</v>
      </c>
      <c r="H5436" s="230"/>
      <c r="I5436" s="230"/>
    </row>
    <row r="5437" spans="2:9" ht="19.5" customHeight="1" x14ac:dyDescent="0.2">
      <c r="B5437" s="492" t="s">
        <v>1325</v>
      </c>
      <c r="C5437" s="104" t="str">
        <f>'LISTA DE INSUMOS'!A732</f>
        <v>MAT745</v>
      </c>
      <c r="D5437" s="280" t="str">
        <f>'LISTA DE INSUMOS'!B732</f>
        <v>Pintura alta temperatura</v>
      </c>
      <c r="E5437" s="126" t="s">
        <v>3076</v>
      </c>
      <c r="F5437" s="102">
        <v>1</v>
      </c>
      <c r="G5437" s="103">
        <f>'LISTA DE INSUMOS'!E732</f>
        <v>257965.96049973206</v>
      </c>
      <c r="H5437" s="220">
        <f>1/15</f>
        <v>6.6666666666666666E-2</v>
      </c>
      <c r="I5437" s="103">
        <f>H5437*G5437*F5437</f>
        <v>17197.730699982138</v>
      </c>
    </row>
    <row r="5438" spans="2:9" ht="19.5" customHeight="1" x14ac:dyDescent="0.2">
      <c r="B5438" s="452" t="s">
        <v>1034</v>
      </c>
      <c r="C5438" s="104" t="s">
        <v>2159</v>
      </c>
      <c r="D5438" s="104" t="s">
        <v>2160</v>
      </c>
      <c r="E5438" s="126" t="s">
        <v>2065</v>
      </c>
      <c r="F5438" s="102">
        <v>1</v>
      </c>
      <c r="G5438" s="103">
        <f>'LISTA DE INSUMOS'!E18</f>
        <v>245584</v>
      </c>
      <c r="H5438" s="220">
        <f>1/15</f>
        <v>6.6666666666666666E-2</v>
      </c>
      <c r="I5438" s="103">
        <f>H5438*G5438*F5438</f>
        <v>16372.266666666666</v>
      </c>
    </row>
    <row r="5439" spans="2:9" ht="19.5" customHeight="1" x14ac:dyDescent="0.2">
      <c r="B5439" s="666" t="s">
        <v>1033</v>
      </c>
      <c r="C5439" s="104" t="s">
        <v>1017</v>
      </c>
      <c r="D5439" s="104" t="s">
        <v>1029</v>
      </c>
      <c r="E5439" s="126" t="s">
        <v>2066</v>
      </c>
      <c r="F5439" s="102">
        <v>0.1</v>
      </c>
      <c r="G5439" s="103">
        <f>I5438</f>
        <v>16372.266666666666</v>
      </c>
      <c r="H5439" s="104">
        <v>1</v>
      </c>
      <c r="I5439" s="103">
        <f>H5439*G5439*F5439</f>
        <v>1637.2266666666667</v>
      </c>
    </row>
    <row r="5440" spans="2:9" ht="19.5" customHeight="1" x14ac:dyDescent="0.2">
      <c r="B5440" s="666"/>
      <c r="C5440" s="104" t="str">
        <f>'LISTA DE INSUMOS'!A762</f>
        <v>EQU006</v>
      </c>
      <c r="D5440" s="280" t="str">
        <f>'LISTA DE INSUMOS'!B762</f>
        <v>Andamio (% mano obra)</v>
      </c>
      <c r="E5440" s="126" t="s">
        <v>2066</v>
      </c>
      <c r="F5440" s="102">
        <v>0.1</v>
      </c>
      <c r="G5440" s="103">
        <f>I5438</f>
        <v>16372.266666666666</v>
      </c>
      <c r="H5440" s="104">
        <v>1</v>
      </c>
      <c r="I5440" s="103">
        <f>H5440*G5440*F5440</f>
        <v>1637.2266666666667</v>
      </c>
    </row>
    <row r="5441" spans="2:9" ht="19.5" customHeight="1" x14ac:dyDescent="0.2">
      <c r="B5441" s="230" t="s">
        <v>1727</v>
      </c>
      <c r="C5441" s="230"/>
      <c r="D5441" s="493" t="s">
        <v>3077</v>
      </c>
      <c r="E5441" s="230" t="s">
        <v>1435</v>
      </c>
      <c r="F5441" s="230"/>
      <c r="G5441" s="412">
        <f>SUM(I5442:I5446)</f>
        <v>598173.03710151813</v>
      </c>
      <c r="H5441" s="230"/>
      <c r="I5441" s="230"/>
    </row>
    <row r="5442" spans="2:9" ht="19.5" customHeight="1" x14ac:dyDescent="0.2">
      <c r="B5442" s="492" t="s">
        <v>1325</v>
      </c>
      <c r="C5442" s="104" t="str">
        <f>'LISTA DE INSUMOS'!A445</f>
        <v>MAT461</v>
      </c>
      <c r="D5442" s="280" t="str">
        <f>'LISTA DE INSUMOS'!B445</f>
        <v>Llave de paso tipo Red White de 2"</v>
      </c>
      <c r="E5442" s="126" t="s">
        <v>1435</v>
      </c>
      <c r="F5442" s="102">
        <v>1</v>
      </c>
      <c r="G5442" s="103">
        <f>'LISTA DE INSUMOS'!E445</f>
        <v>300629.981125939</v>
      </c>
      <c r="H5442" s="104">
        <v>1</v>
      </c>
      <c r="I5442" s="103">
        <f>H5442*G5442*F5442</f>
        <v>300629.981125939</v>
      </c>
    </row>
    <row r="5443" spans="2:9" ht="19.5" customHeight="1" x14ac:dyDescent="0.2">
      <c r="B5443" s="492"/>
      <c r="C5443" s="104" t="str">
        <f>'LISTA DE INSUMOS'!A125</f>
        <v>MAT083</v>
      </c>
      <c r="D5443" s="280" t="str">
        <f>'LISTA DE INSUMOS'!B125</f>
        <v>Tubería PVC presión de 2"    rde 21</v>
      </c>
      <c r="E5443" s="126" t="s">
        <v>2666</v>
      </c>
      <c r="F5443" s="102">
        <v>3</v>
      </c>
      <c r="G5443" s="103">
        <f>'LISTA DE INSUMOS'!E125</f>
        <v>24874.2062195088</v>
      </c>
      <c r="H5443" s="104">
        <v>3</v>
      </c>
      <c r="I5443" s="103">
        <f>H5443*G5443*F5443</f>
        <v>223867.85597557918</v>
      </c>
    </row>
    <row r="5444" spans="2:9" ht="19.5" customHeight="1" x14ac:dyDescent="0.2">
      <c r="B5444" s="452" t="s">
        <v>1034</v>
      </c>
      <c r="C5444" s="104" t="s">
        <v>2159</v>
      </c>
      <c r="D5444" s="280" t="str">
        <f>'LISTA DE INSUMOS'!B18</f>
        <v>Cuadrilla E 1 Of + 1 Ay (jornal + prestaciones)</v>
      </c>
      <c r="E5444" s="126" t="s">
        <v>2065</v>
      </c>
      <c r="F5444" s="102">
        <v>1</v>
      </c>
      <c r="G5444" s="103">
        <f>'LISTA DE INSUMOS'!E18</f>
        <v>245584</v>
      </c>
      <c r="H5444" s="104">
        <f>1/4</f>
        <v>0.25</v>
      </c>
      <c r="I5444" s="103">
        <f>H5444*G5444*F5444</f>
        <v>61396</v>
      </c>
    </row>
    <row r="5445" spans="2:9" ht="19.5" customHeight="1" x14ac:dyDescent="0.2">
      <c r="B5445" s="638" t="s">
        <v>1033</v>
      </c>
      <c r="C5445" s="104" t="s">
        <v>485</v>
      </c>
      <c r="D5445" s="104" t="s">
        <v>1029</v>
      </c>
      <c r="E5445" s="126" t="s">
        <v>2066</v>
      </c>
      <c r="F5445" s="102">
        <v>0.1</v>
      </c>
      <c r="G5445" s="103">
        <f>I5444</f>
        <v>61396</v>
      </c>
      <c r="H5445" s="104">
        <v>1</v>
      </c>
      <c r="I5445" s="103">
        <f>H5445*G5445*F5445</f>
        <v>6139.6</v>
      </c>
    </row>
    <row r="5446" spans="2:9" ht="19.5" customHeight="1" x14ac:dyDescent="0.2">
      <c r="B5446" s="638"/>
      <c r="C5446" s="104" t="s">
        <v>1017</v>
      </c>
      <c r="D5446" s="104" t="s">
        <v>1030</v>
      </c>
      <c r="E5446" s="126" t="s">
        <v>2066</v>
      </c>
      <c r="F5446" s="102">
        <v>0.1</v>
      </c>
      <c r="G5446" s="103">
        <f>I5444</f>
        <v>61396</v>
      </c>
      <c r="H5446" s="104">
        <v>1</v>
      </c>
      <c r="I5446" s="103">
        <f>H5446*G5446*F5446</f>
        <v>6139.6</v>
      </c>
    </row>
    <row r="5447" spans="2:9" ht="37.5" customHeight="1" x14ac:dyDescent="0.2">
      <c r="B5447" s="230" t="s">
        <v>3112</v>
      </c>
      <c r="C5447" s="230"/>
      <c r="D5447" s="491" t="s">
        <v>3078</v>
      </c>
      <c r="E5447" s="230" t="s">
        <v>1435</v>
      </c>
      <c r="F5447" s="230"/>
      <c r="G5447" s="412">
        <f>SUM(I5448:I5450)</f>
        <v>646808.86005340004</v>
      </c>
      <c r="H5447" s="230"/>
      <c r="I5447" s="230"/>
    </row>
    <row r="5448" spans="2:9" ht="32.25" customHeight="1" x14ac:dyDescent="0.2">
      <c r="B5448" s="492" t="s">
        <v>1325</v>
      </c>
      <c r="C5448" s="104" t="str">
        <f>'LISTA DE INSUMOS'!A733</f>
        <v>MAT746</v>
      </c>
      <c r="D5448" s="475" t="str">
        <f>'LISTA DE INSUMOS'!B733</f>
        <v>Aireador para acuicultura con inyector agua aire tipo venturi caudal de 30 a 150 l/min</v>
      </c>
      <c r="E5448" s="126" t="s">
        <v>1435</v>
      </c>
      <c r="F5448" s="102">
        <v>1</v>
      </c>
      <c r="G5448" s="103">
        <f>'LISTA DE INSUMOS'!E733</f>
        <v>592780.38005339995</v>
      </c>
      <c r="H5448" s="104">
        <v>1</v>
      </c>
      <c r="I5448" s="103">
        <f>H5448*G5448*F5448</f>
        <v>592780.38005339995</v>
      </c>
    </row>
    <row r="5449" spans="2:9" ht="19.5" customHeight="1" x14ac:dyDescent="0.2">
      <c r="B5449" s="452" t="s">
        <v>1034</v>
      </c>
      <c r="C5449" s="104" t="s">
        <v>2159</v>
      </c>
      <c r="D5449" s="104" t="s">
        <v>2160</v>
      </c>
      <c r="E5449" s="126" t="s">
        <v>2065</v>
      </c>
      <c r="F5449" s="102">
        <v>1</v>
      </c>
      <c r="G5449" s="103">
        <f>'LISTA DE INSUMOS'!E18</f>
        <v>245584</v>
      </c>
      <c r="H5449" s="104">
        <v>0.2</v>
      </c>
      <c r="I5449" s="103">
        <f>H5449*G5449*F5449</f>
        <v>49116.800000000003</v>
      </c>
    </row>
    <row r="5450" spans="2:9" ht="19.5" customHeight="1" x14ac:dyDescent="0.2">
      <c r="B5450" s="338" t="s">
        <v>1033</v>
      </c>
      <c r="C5450" s="104" t="s">
        <v>485</v>
      </c>
      <c r="D5450" s="104" t="s">
        <v>1029</v>
      </c>
      <c r="E5450" s="126" t="s">
        <v>2066</v>
      </c>
      <c r="F5450" s="102">
        <v>0.1</v>
      </c>
      <c r="G5450" s="103">
        <f>I5449</f>
        <v>49116.800000000003</v>
      </c>
      <c r="H5450" s="104">
        <v>1</v>
      </c>
      <c r="I5450" s="103">
        <f>H5450*G5450*F5450</f>
        <v>4911.68</v>
      </c>
    </row>
    <row r="5451" spans="2:9" ht="19.5" customHeight="1" x14ac:dyDescent="0.2">
      <c r="B5451" s="230" t="s">
        <v>3113</v>
      </c>
      <c r="C5451" s="230"/>
      <c r="D5451" s="493" t="s">
        <v>3080</v>
      </c>
      <c r="E5451" s="230" t="s">
        <v>1435</v>
      </c>
      <c r="F5451" s="230"/>
      <c r="G5451" s="412">
        <f>SUM(I5452:I5454)</f>
        <v>4788601.0369088436</v>
      </c>
      <c r="H5451" s="230"/>
      <c r="I5451" s="230"/>
    </row>
    <row r="5452" spans="2:9" ht="29.25" customHeight="1" x14ac:dyDescent="0.2">
      <c r="B5452" s="492" t="s">
        <v>1325</v>
      </c>
      <c r="C5452" s="104" t="s">
        <v>2953</v>
      </c>
      <c r="D5452" s="475" t="str">
        <f>'LISTA DE INSUMOS'!B734</f>
        <v>Tanque hidroneumatico 500 lts con membrana intercambiable, presion maxima 116 PSI y temperatura maxima de 99°C Modelo VT500</v>
      </c>
      <c r="E5452" s="126" t="s">
        <v>1435</v>
      </c>
      <c r="F5452" s="102">
        <v>1</v>
      </c>
      <c r="G5452" s="103">
        <f>'LISTA DE INSUMOS'!E734</f>
        <v>4221301.9969088435</v>
      </c>
      <c r="H5452" s="104">
        <v>1</v>
      </c>
      <c r="I5452" s="103">
        <f>H5452*G5452*F5452</f>
        <v>4221301.9969088435</v>
      </c>
    </row>
    <row r="5453" spans="2:9" ht="19.5" customHeight="1" x14ac:dyDescent="0.2">
      <c r="B5453" s="452" t="s">
        <v>1034</v>
      </c>
      <c r="C5453" s="104" t="s">
        <v>1019</v>
      </c>
      <c r="D5453" s="104" t="s">
        <v>2160</v>
      </c>
      <c r="E5453" s="126" t="s">
        <v>2065</v>
      </c>
      <c r="F5453" s="102">
        <v>2</v>
      </c>
      <c r="G5453" s="103">
        <f>'LISTA DE INSUMOS'!E18</f>
        <v>245584</v>
      </c>
      <c r="H5453" s="104">
        <v>1.05</v>
      </c>
      <c r="I5453" s="103">
        <f>H5453*G5453*F5453</f>
        <v>515726.4</v>
      </c>
    </row>
    <row r="5454" spans="2:9" ht="19.5" customHeight="1" x14ac:dyDescent="0.2">
      <c r="B5454" s="338" t="s">
        <v>1033</v>
      </c>
      <c r="C5454" s="104" t="s">
        <v>2077</v>
      </c>
      <c r="D5454" s="104" t="s">
        <v>1029</v>
      </c>
      <c r="E5454" s="126" t="s">
        <v>2066</v>
      </c>
      <c r="F5454" s="102">
        <v>0.1</v>
      </c>
      <c r="G5454" s="103">
        <f>I5453</f>
        <v>515726.4</v>
      </c>
      <c r="H5454" s="104">
        <v>1</v>
      </c>
      <c r="I5454" s="103">
        <f>H5454*G5454*F5454</f>
        <v>51572.640000000007</v>
      </c>
    </row>
    <row r="5455" spans="2:9" ht="19.5" customHeight="1" x14ac:dyDescent="0.2">
      <c r="B5455" s="230" t="s">
        <v>1494</v>
      </c>
      <c r="C5455" s="230"/>
      <c r="D5455" s="493" t="s">
        <v>3081</v>
      </c>
      <c r="E5455" s="230" t="s">
        <v>1424</v>
      </c>
      <c r="F5455" s="230"/>
      <c r="G5455" s="412">
        <f>SUM(I5456:I5458)</f>
        <v>157173.12000000002</v>
      </c>
      <c r="H5455" s="230"/>
      <c r="I5455" s="230"/>
    </row>
    <row r="5456" spans="2:9" ht="19.5" customHeight="1" x14ac:dyDescent="0.2">
      <c r="B5456" s="452" t="s">
        <v>1034</v>
      </c>
      <c r="C5456" s="104" t="s">
        <v>2079</v>
      </c>
      <c r="D5456" s="280" t="str">
        <f>'LISTA DE INSUMOS'!B21</f>
        <v>Cuadrilla H 4 Ay (jornal + prestaciones)</v>
      </c>
      <c r="E5456" s="126" t="s">
        <v>2065</v>
      </c>
      <c r="F5456" s="102">
        <v>1</v>
      </c>
      <c r="G5456" s="103">
        <f>'LISTA DE INSUMOS'!E21</f>
        <v>327444</v>
      </c>
      <c r="H5456" s="104">
        <f>1/2.5</f>
        <v>0.4</v>
      </c>
      <c r="I5456" s="103">
        <f>H5456*G5456*F5456</f>
        <v>130977.60000000001</v>
      </c>
    </row>
    <row r="5457" spans="2:9" ht="19.5" customHeight="1" x14ac:dyDescent="0.2">
      <c r="B5457" s="638" t="s">
        <v>1033</v>
      </c>
      <c r="C5457" s="104" t="s">
        <v>2118</v>
      </c>
      <c r="D5457" s="104" t="s">
        <v>1029</v>
      </c>
      <c r="E5457" s="126" t="s">
        <v>2066</v>
      </c>
      <c r="F5457" s="102">
        <v>0.1</v>
      </c>
      <c r="G5457" s="103">
        <f>I5456</f>
        <v>130977.60000000001</v>
      </c>
      <c r="H5457" s="104">
        <v>1</v>
      </c>
      <c r="I5457" s="103">
        <f>H5457*G5457*F5457</f>
        <v>13097.760000000002</v>
      </c>
    </row>
    <row r="5458" spans="2:9" ht="19.5" customHeight="1" x14ac:dyDescent="0.2">
      <c r="B5458" s="638"/>
      <c r="C5458" s="104" t="s">
        <v>2081</v>
      </c>
      <c r="D5458" s="104" t="s">
        <v>1030</v>
      </c>
      <c r="E5458" s="126" t="s">
        <v>2066</v>
      </c>
      <c r="F5458" s="102">
        <v>0.1</v>
      </c>
      <c r="G5458" s="103">
        <f>I5456</f>
        <v>130977.60000000001</v>
      </c>
      <c r="H5458" s="104">
        <v>1</v>
      </c>
      <c r="I5458" s="103">
        <f>H5458*G5458*F5458</f>
        <v>13097.760000000002</v>
      </c>
    </row>
    <row r="5459" spans="2:9" ht="19.5" customHeight="1" x14ac:dyDescent="0.2">
      <c r="B5459" s="230" t="s">
        <v>1747</v>
      </c>
      <c r="C5459" s="230"/>
      <c r="D5459" s="493" t="s">
        <v>3082</v>
      </c>
      <c r="E5459" s="230" t="s">
        <v>1435</v>
      </c>
      <c r="F5459" s="230"/>
      <c r="G5459" s="412">
        <f>SUM(I5460:I5461)</f>
        <v>745593.52999999991</v>
      </c>
      <c r="H5459" s="230"/>
      <c r="I5459" s="230"/>
    </row>
    <row r="5460" spans="2:9" ht="19.5" customHeight="1" x14ac:dyDescent="0.2">
      <c r="B5460" s="452" t="s">
        <v>1034</v>
      </c>
      <c r="C5460" s="104" t="str">
        <f>'LISTA DE INSUMOS'!A23</f>
        <v>MOB020</v>
      </c>
      <c r="D5460" s="280" t="str">
        <f>'LISTA DE INSUMOS'!B23</f>
        <v>Cuadrilla J (1 Of eléctrico+1Ay eléctrico) (jornal + prestaciones)</v>
      </c>
      <c r="E5460" s="126" t="s">
        <v>2065</v>
      </c>
      <c r="F5460" s="102">
        <v>1</v>
      </c>
      <c r="G5460" s="103">
        <f>'LISTA DE INSUMOS'!E23</f>
        <v>294701</v>
      </c>
      <c r="H5460" s="104">
        <v>2.2999999999999998</v>
      </c>
      <c r="I5460" s="103">
        <f>H5460*G5460*F5460</f>
        <v>677812.29999999993</v>
      </c>
    </row>
    <row r="5461" spans="2:9" ht="19.5" customHeight="1" x14ac:dyDescent="0.2">
      <c r="B5461" s="338" t="s">
        <v>1033</v>
      </c>
      <c r="C5461" s="104" t="s">
        <v>2125</v>
      </c>
      <c r="D5461" s="104" t="s">
        <v>1029</v>
      </c>
      <c r="E5461" s="126" t="s">
        <v>2066</v>
      </c>
      <c r="F5461" s="102">
        <v>1</v>
      </c>
      <c r="G5461" s="103">
        <f>I5460</f>
        <v>677812.29999999993</v>
      </c>
      <c r="H5461" s="104">
        <v>0.1</v>
      </c>
      <c r="I5461" s="103">
        <f>H5461*G5461*F5461</f>
        <v>67781.23</v>
      </c>
    </row>
    <row r="5462" spans="2:9" ht="19.5" customHeight="1" x14ac:dyDescent="0.2">
      <c r="B5462" s="230" t="s">
        <v>3115</v>
      </c>
      <c r="C5462" s="230"/>
      <c r="D5462" s="493" t="s">
        <v>3083</v>
      </c>
      <c r="E5462" s="230" t="s">
        <v>1435</v>
      </c>
      <c r="F5462" s="230"/>
      <c r="G5462" s="412">
        <f>SUM(I5463:I5464)</f>
        <v>372796.76499999996</v>
      </c>
      <c r="H5462" s="230"/>
      <c r="I5462" s="230"/>
    </row>
    <row r="5463" spans="2:9" ht="19.5" customHeight="1" x14ac:dyDescent="0.2">
      <c r="B5463" s="452" t="s">
        <v>1034</v>
      </c>
      <c r="C5463" s="104" t="str">
        <f>'LISTA DE INSUMOS'!A23</f>
        <v>MOB020</v>
      </c>
      <c r="D5463" s="280" t="str">
        <f>'LISTA DE INSUMOS'!B23</f>
        <v>Cuadrilla J (1 Of eléctrico+1Ay eléctrico) (jornal + prestaciones)</v>
      </c>
      <c r="E5463" s="126" t="s">
        <v>2065</v>
      </c>
      <c r="F5463" s="102">
        <v>1</v>
      </c>
      <c r="G5463" s="103">
        <f>'LISTA DE INSUMOS'!E23</f>
        <v>294701</v>
      </c>
      <c r="H5463" s="104">
        <v>1.1499999999999999</v>
      </c>
      <c r="I5463" s="103">
        <f>H5463*G5463*F5463</f>
        <v>338906.14999999997</v>
      </c>
    </row>
    <row r="5464" spans="2:9" ht="19.5" customHeight="1" x14ac:dyDescent="0.2">
      <c r="B5464" s="338" t="s">
        <v>1033</v>
      </c>
      <c r="C5464" s="104" t="s">
        <v>1072</v>
      </c>
      <c r="D5464" s="104" t="s">
        <v>1029</v>
      </c>
      <c r="E5464" s="126" t="s">
        <v>2066</v>
      </c>
      <c r="F5464" s="102">
        <v>1</v>
      </c>
      <c r="G5464" s="103">
        <f>I5463</f>
        <v>338906.14999999997</v>
      </c>
      <c r="H5464" s="104">
        <v>0.1</v>
      </c>
      <c r="I5464" s="103">
        <f>H5464*G5464*F5464</f>
        <v>33890.614999999998</v>
      </c>
    </row>
    <row r="5465" spans="2:9" ht="19.5" customHeight="1" x14ac:dyDescent="0.2">
      <c r="B5465" s="230" t="s">
        <v>1873</v>
      </c>
      <c r="C5465" s="230"/>
      <c r="D5465" s="493" t="s">
        <v>3084</v>
      </c>
      <c r="E5465" s="230" t="s">
        <v>1435</v>
      </c>
      <c r="F5465" s="230"/>
      <c r="G5465" s="412">
        <f>SUM(I5466:I5467)</f>
        <v>372796.76499999996</v>
      </c>
      <c r="H5465" s="230"/>
      <c r="I5465" s="230"/>
    </row>
    <row r="5466" spans="2:9" ht="19.5" customHeight="1" x14ac:dyDescent="0.2">
      <c r="B5466" s="452" t="s">
        <v>1034</v>
      </c>
      <c r="C5466" s="104" t="str">
        <f>'LISTA DE INSUMOS'!A23</f>
        <v>MOB020</v>
      </c>
      <c r="D5466" s="280" t="str">
        <f>'LISTA DE INSUMOS'!B23</f>
        <v>Cuadrilla J (1 Of eléctrico+1Ay eléctrico) (jornal + prestaciones)</v>
      </c>
      <c r="E5466" s="126" t="s">
        <v>2065</v>
      </c>
      <c r="F5466" s="102">
        <v>1</v>
      </c>
      <c r="G5466" s="103">
        <f>'LISTA DE INSUMOS'!E23</f>
        <v>294701</v>
      </c>
      <c r="H5466" s="104">
        <v>1.1499999999999999</v>
      </c>
      <c r="I5466" s="103">
        <f>H5466*G5466*F5466</f>
        <v>338906.14999999997</v>
      </c>
    </row>
    <row r="5467" spans="2:9" ht="19.5" customHeight="1" x14ac:dyDescent="0.2">
      <c r="B5467" s="338" t="s">
        <v>1033</v>
      </c>
      <c r="C5467" s="104" t="s">
        <v>485</v>
      </c>
      <c r="D5467" s="104" t="s">
        <v>1029</v>
      </c>
      <c r="E5467" s="126" t="s">
        <v>2066</v>
      </c>
      <c r="F5467" s="102">
        <v>1</v>
      </c>
      <c r="G5467" s="103">
        <f>I5466</f>
        <v>338906.14999999997</v>
      </c>
      <c r="H5467" s="104">
        <v>0.1</v>
      </c>
      <c r="I5467" s="103">
        <f>H5467*G5467*F5467</f>
        <v>33890.614999999998</v>
      </c>
    </row>
    <row r="5468" spans="2:9" ht="31.5" customHeight="1" x14ac:dyDescent="0.2">
      <c r="B5468" s="230" t="s">
        <v>3116</v>
      </c>
      <c r="C5468" s="230"/>
      <c r="D5468" s="491" t="s">
        <v>3085</v>
      </c>
      <c r="E5468" s="230" t="s">
        <v>1435</v>
      </c>
      <c r="F5468" s="230"/>
      <c r="G5468" s="412">
        <f>SUM(I5469:I5470)</f>
        <v>162085.54999999999</v>
      </c>
      <c r="H5468" s="230"/>
      <c r="I5468" s="230"/>
    </row>
    <row r="5469" spans="2:9" ht="19.5" customHeight="1" x14ac:dyDescent="0.2">
      <c r="B5469" s="452" t="s">
        <v>1034</v>
      </c>
      <c r="C5469" s="104" t="str">
        <f>'LISTA DE INSUMOS'!A23</f>
        <v>MOB020</v>
      </c>
      <c r="D5469" s="280" t="str">
        <f>'LISTA DE INSUMOS'!B23</f>
        <v>Cuadrilla J (1 Of eléctrico+1Ay eléctrico) (jornal + prestaciones)</v>
      </c>
      <c r="E5469" s="126" t="s">
        <v>2065</v>
      </c>
      <c r="F5469" s="102">
        <v>1</v>
      </c>
      <c r="G5469" s="103">
        <f>'LISTA DE INSUMOS'!E23</f>
        <v>294701</v>
      </c>
      <c r="H5469" s="104">
        <v>0.5</v>
      </c>
      <c r="I5469" s="103">
        <f>H5469*G5469*F5469</f>
        <v>147350.5</v>
      </c>
    </row>
    <row r="5470" spans="2:9" ht="19.5" customHeight="1" x14ac:dyDescent="0.2">
      <c r="B5470" s="338" t="s">
        <v>1033</v>
      </c>
      <c r="C5470" s="104" t="s">
        <v>485</v>
      </c>
      <c r="D5470" s="104" t="s">
        <v>1029</v>
      </c>
      <c r="E5470" s="126" t="s">
        <v>2066</v>
      </c>
      <c r="F5470" s="102">
        <v>1</v>
      </c>
      <c r="G5470" s="103">
        <f>I5469</f>
        <v>147350.5</v>
      </c>
      <c r="H5470" s="104">
        <v>0.1</v>
      </c>
      <c r="I5470" s="103">
        <f>H5470*G5470*F5470</f>
        <v>14735.050000000001</v>
      </c>
    </row>
    <row r="5471" spans="2:9" ht="34.5" customHeight="1" x14ac:dyDescent="0.2">
      <c r="B5471" s="230" t="s">
        <v>1729</v>
      </c>
      <c r="C5471" s="230"/>
      <c r="D5471" s="491" t="s">
        <v>3086</v>
      </c>
      <c r="E5471" s="230" t="s">
        <v>1435</v>
      </c>
      <c r="F5471" s="230"/>
      <c r="G5471" s="412">
        <f>SUM(I5472:I5488)</f>
        <v>9412594.9060348384</v>
      </c>
      <c r="H5471" s="230"/>
      <c r="I5471" s="230"/>
    </row>
    <row r="5472" spans="2:9" ht="19.5" customHeight="1" x14ac:dyDescent="0.2">
      <c r="B5472" s="452" t="s">
        <v>1034</v>
      </c>
      <c r="C5472" s="104" t="str">
        <f>'LISTA DE INSUMOS'!A24</f>
        <v>MOB021</v>
      </c>
      <c r="D5472" s="280" t="str">
        <f>'LISTA DE INSUMOS'!B24</f>
        <v>Cuadrilla K (1Of eléctrico+2Ay eléctricos) (jornal + prestaciones)</v>
      </c>
      <c r="E5472" s="126" t="s">
        <v>2065</v>
      </c>
      <c r="F5472" s="102">
        <v>1</v>
      </c>
      <c r="G5472" s="103">
        <f>'LISTA DE INSUMOS'!E24</f>
        <v>425679</v>
      </c>
      <c r="H5472" s="104">
        <v>3.5</v>
      </c>
      <c r="I5472" s="103">
        <f>H5472*G5472*F5472</f>
        <v>1489876.5</v>
      </c>
    </row>
    <row r="5473" spans="2:9" ht="19.5" customHeight="1" x14ac:dyDescent="0.2">
      <c r="B5473" s="338" t="s">
        <v>1033</v>
      </c>
      <c r="C5473" s="104" t="s">
        <v>1023</v>
      </c>
      <c r="D5473" s="104" t="s">
        <v>1029</v>
      </c>
      <c r="E5473" s="126" t="s">
        <v>2066</v>
      </c>
      <c r="F5473" s="102">
        <v>1</v>
      </c>
      <c r="G5473" s="103">
        <f>I5472</f>
        <v>1489876.5</v>
      </c>
      <c r="H5473" s="104">
        <v>1.6</v>
      </c>
      <c r="I5473" s="103">
        <f t="shared" ref="I5473:I5511" si="64">H5473*G5473*F5473</f>
        <v>2383802.4</v>
      </c>
    </row>
    <row r="5474" spans="2:9" ht="19.5" customHeight="1" x14ac:dyDescent="0.2">
      <c r="B5474" s="646" t="s">
        <v>1325</v>
      </c>
      <c r="C5474" s="104" t="str">
        <f>'LISTA DE INSUMOS'!A735</f>
        <v>MAT748</v>
      </c>
      <c r="D5474" s="280" t="str">
        <f>'LISTA DE INSUMOS'!B735</f>
        <v>Aceite para motor 15w40 diessel</v>
      </c>
      <c r="E5474" s="126" t="s">
        <v>3076</v>
      </c>
      <c r="F5474" s="102">
        <v>1</v>
      </c>
      <c r="G5474" s="103">
        <f>'LISTA DE INSUMOS'!E735</f>
        <v>99643.559123261977</v>
      </c>
      <c r="H5474" s="104">
        <v>24</v>
      </c>
      <c r="I5474" s="103">
        <f t="shared" si="64"/>
        <v>2391445.4189582877</v>
      </c>
    </row>
    <row r="5475" spans="2:9" ht="19.5" customHeight="1" x14ac:dyDescent="0.2">
      <c r="B5475" s="646"/>
      <c r="C5475" s="104" t="str">
        <f>'LISTA DE INSUMOS'!A736</f>
        <v>MAT749</v>
      </c>
      <c r="D5475" s="280" t="str">
        <f>'LISTA DE INSUMOS'!B736</f>
        <v>Filtro de aire AH100</v>
      </c>
      <c r="E5475" s="126" t="s">
        <v>1435</v>
      </c>
      <c r="F5475" s="102">
        <v>1</v>
      </c>
      <c r="G5475" s="103">
        <f>'LISTA DE INSUMOS'!E736</f>
        <v>791785.22192846984</v>
      </c>
      <c r="H5475" s="104">
        <v>1</v>
      </c>
      <c r="I5475" s="103">
        <f t="shared" si="64"/>
        <v>791785.22192846984</v>
      </c>
    </row>
    <row r="5476" spans="2:9" ht="19.5" customHeight="1" x14ac:dyDescent="0.2">
      <c r="B5476" s="646"/>
      <c r="C5476" s="104" t="str">
        <f>'LISTA DE INSUMOS'!A737</f>
        <v>MAT750</v>
      </c>
      <c r="D5476" s="280" t="str">
        <f>'LISTA DE INSUMOS'!B737</f>
        <v>Filtro de aceite LF3000</v>
      </c>
      <c r="E5476" s="126" t="s">
        <v>1435</v>
      </c>
      <c r="F5476" s="102">
        <v>1</v>
      </c>
      <c r="G5476" s="103">
        <f>'LISTA DE INSUMOS'!E737</f>
        <v>130873.59040139997</v>
      </c>
      <c r="H5476" s="104">
        <v>1</v>
      </c>
      <c r="I5476" s="103">
        <f t="shared" si="64"/>
        <v>130873.59040139997</v>
      </c>
    </row>
    <row r="5477" spans="2:9" ht="19.5" customHeight="1" x14ac:dyDescent="0.2">
      <c r="B5477" s="646"/>
      <c r="C5477" s="104" t="str">
        <f>'LISTA DE INSUMOS'!A738</f>
        <v>MAT751</v>
      </c>
      <c r="D5477" s="280" t="str">
        <f>'LISTA DE INSUMOS'!B738</f>
        <v>Filtro de combustible FS1280</v>
      </c>
      <c r="E5477" s="126" t="s">
        <v>1435</v>
      </c>
      <c r="F5477" s="102">
        <v>1</v>
      </c>
      <c r="G5477" s="103">
        <f>'LISTA DE INSUMOS'!E738</f>
        <v>130873.59040139997</v>
      </c>
      <c r="H5477" s="104">
        <v>1</v>
      </c>
      <c r="I5477" s="103">
        <f t="shared" si="64"/>
        <v>130873.59040139997</v>
      </c>
    </row>
    <row r="5478" spans="2:9" ht="19.5" customHeight="1" x14ac:dyDescent="0.2">
      <c r="B5478" s="646"/>
      <c r="C5478" s="104" t="str">
        <f>'LISTA DE INSUMOS'!A739</f>
        <v>MAT752</v>
      </c>
      <c r="D5478" s="280" t="str">
        <f>'LISTA DE INSUMOS'!B739</f>
        <v>Filtro de combustible BF988</v>
      </c>
      <c r="E5478" s="126" t="s">
        <v>1435</v>
      </c>
      <c r="F5478" s="102">
        <v>1</v>
      </c>
      <c r="G5478" s="103">
        <f>'LISTA DE INSUMOS'!E739</f>
        <v>130873.59040139997</v>
      </c>
      <c r="H5478" s="104">
        <v>1</v>
      </c>
      <c r="I5478" s="103">
        <f t="shared" si="64"/>
        <v>130873.59040139997</v>
      </c>
    </row>
    <row r="5479" spans="2:9" ht="19.5" customHeight="1" x14ac:dyDescent="0.2">
      <c r="B5479" s="646"/>
      <c r="C5479" s="104" t="str">
        <f>'LISTA DE INSUMOS'!A740</f>
        <v>MAT753</v>
      </c>
      <c r="D5479" s="280" t="str">
        <f>'LISTA DE INSUMOS'!B740</f>
        <v>Filtro de agua P552171</v>
      </c>
      <c r="E5479" s="126" t="s">
        <v>1435</v>
      </c>
      <c r="F5479" s="102">
        <v>1</v>
      </c>
      <c r="G5479" s="103">
        <f>'LISTA DE INSUMOS'!E740</f>
        <v>114514.39160122498</v>
      </c>
      <c r="H5479" s="104">
        <v>1</v>
      </c>
      <c r="I5479" s="103">
        <f t="shared" si="64"/>
        <v>114514.39160122498</v>
      </c>
    </row>
    <row r="5480" spans="2:9" ht="19.5" customHeight="1" x14ac:dyDescent="0.2">
      <c r="B5480" s="646"/>
      <c r="C5480" s="104" t="str">
        <f>'LISTA DE INSUMOS'!A741</f>
        <v>MAT754</v>
      </c>
      <c r="D5480" s="280" t="str">
        <f>'LISTA DE INSUMOS'!B741</f>
        <v>Rodamiento 6307</v>
      </c>
      <c r="E5480" s="126" t="s">
        <v>1435</v>
      </c>
      <c r="F5480" s="102">
        <v>1</v>
      </c>
      <c r="G5480" s="103">
        <f>'LISTA DE INSUMOS'!E741</f>
        <v>84387.291090822706</v>
      </c>
      <c r="H5480" s="104">
        <v>1</v>
      </c>
      <c r="I5480" s="103">
        <f t="shared" si="64"/>
        <v>84387.291090822706</v>
      </c>
    </row>
    <row r="5481" spans="2:9" ht="19.5" customHeight="1" x14ac:dyDescent="0.2">
      <c r="B5481" s="646"/>
      <c r="C5481" s="104" t="str">
        <f>'LISTA DE INSUMOS'!A742</f>
        <v>MAT755</v>
      </c>
      <c r="D5481" s="280" t="str">
        <f>'LISTA DE INSUMOS'!B742</f>
        <v>Rodamiento 6208</v>
      </c>
      <c r="E5481" s="126" t="s">
        <v>1435</v>
      </c>
      <c r="F5481" s="102">
        <v>1</v>
      </c>
      <c r="G5481" s="103">
        <f>'LISTA DE INSUMOS'!E742</f>
        <v>68054.267008727998</v>
      </c>
      <c r="H5481" s="104">
        <v>2</v>
      </c>
      <c r="I5481" s="103">
        <f t="shared" si="64"/>
        <v>136108.534017456</v>
      </c>
    </row>
    <row r="5482" spans="2:9" ht="19.5" customHeight="1" x14ac:dyDescent="0.2">
      <c r="B5482" s="646"/>
      <c r="C5482" s="104" t="str">
        <f>'LISTA DE INSUMOS'!A743</f>
        <v>MAT756</v>
      </c>
      <c r="D5482" s="280" t="str">
        <f>'LISTA DE INSUMOS'!B743</f>
        <v>Rodamiento 6206</v>
      </c>
      <c r="E5482" s="126" t="s">
        <v>1435</v>
      </c>
      <c r="F5482" s="102">
        <v>1</v>
      </c>
      <c r="G5482" s="103">
        <f>'LISTA DE INSUMOS'!E743</f>
        <v>40832.56020523679</v>
      </c>
      <c r="H5482" s="104">
        <v>2</v>
      </c>
      <c r="I5482" s="103">
        <f t="shared" si="64"/>
        <v>81665.120410473581</v>
      </c>
    </row>
    <row r="5483" spans="2:9" ht="19.5" customHeight="1" x14ac:dyDescent="0.2">
      <c r="B5483" s="646"/>
      <c r="C5483" s="104" t="str">
        <f>'LISTA DE INSUMOS'!A744</f>
        <v>MAT757</v>
      </c>
      <c r="D5483" s="280" t="str">
        <f>'LISTA DE INSUMOS'!B744</f>
        <v>Rodamiento 6205</v>
      </c>
      <c r="E5483" s="126" t="s">
        <v>1435</v>
      </c>
      <c r="F5483" s="102">
        <v>1</v>
      </c>
      <c r="G5483" s="103">
        <f>'LISTA DE INSUMOS'!E744</f>
        <v>31304.962824014878</v>
      </c>
      <c r="H5483" s="104">
        <v>2</v>
      </c>
      <c r="I5483" s="103">
        <f t="shared" si="64"/>
        <v>62609.925648029755</v>
      </c>
    </row>
    <row r="5484" spans="2:9" ht="19.5" customHeight="1" x14ac:dyDescent="0.2">
      <c r="B5484" s="646"/>
      <c r="C5484" s="104" t="str">
        <f>'LISTA DE INSUMOS'!A745</f>
        <v>MAT758</v>
      </c>
      <c r="D5484" s="280" t="str">
        <f>'LISTA DE INSUMOS'!B745</f>
        <v>Rodamiento 6202</v>
      </c>
      <c r="E5484" s="126" t="s">
        <v>1435</v>
      </c>
      <c r="F5484" s="102">
        <v>1</v>
      </c>
      <c r="G5484" s="103">
        <f>'LISTA DE INSUMOS'!E745</f>
        <v>24538.798200262496</v>
      </c>
      <c r="H5484" s="104">
        <v>2</v>
      </c>
      <c r="I5484" s="103">
        <f t="shared" si="64"/>
        <v>49077.596400524992</v>
      </c>
    </row>
    <row r="5485" spans="2:9" ht="19.5" customHeight="1" x14ac:dyDescent="0.2">
      <c r="B5485" s="646"/>
      <c r="C5485" s="104" t="str">
        <f>'LISTA DE INSUMOS'!A746</f>
        <v>MAT759</v>
      </c>
      <c r="D5485" s="280" t="str">
        <f>'LISTA DE INSUMOS'!B746</f>
        <v>Rodamiento 6203</v>
      </c>
      <c r="E5485" s="126" t="s">
        <v>1435</v>
      </c>
      <c r="F5485" s="102">
        <v>1</v>
      </c>
      <c r="G5485" s="103">
        <f>'LISTA DE INSUMOS'!E746</f>
        <v>26174.718080279996</v>
      </c>
      <c r="H5485" s="104">
        <v>2</v>
      </c>
      <c r="I5485" s="103">
        <f t="shared" si="64"/>
        <v>52349.436160559992</v>
      </c>
    </row>
    <row r="5486" spans="2:9" ht="19.5" customHeight="1" x14ac:dyDescent="0.2">
      <c r="B5486" s="646"/>
      <c r="C5486" s="104" t="str">
        <f>'LISTA DE INSUMOS'!A747</f>
        <v>MAT760</v>
      </c>
      <c r="D5486" s="280" t="str">
        <f>'LISTA DE INSUMOS'!B747</f>
        <v>Sellos mecánicos 11/4" RL</v>
      </c>
      <c r="E5486" s="126" t="s">
        <v>1435</v>
      </c>
      <c r="F5486" s="102">
        <v>1</v>
      </c>
      <c r="G5486" s="103">
        <f>'LISTA DE INSUMOS'!E747</f>
        <v>155412.38860166247</v>
      </c>
      <c r="H5486" s="104">
        <v>3</v>
      </c>
      <c r="I5486" s="103">
        <f t="shared" si="64"/>
        <v>466237.16580498742</v>
      </c>
    </row>
    <row r="5487" spans="2:9" ht="19.5" customHeight="1" x14ac:dyDescent="0.2">
      <c r="B5487" s="646"/>
      <c r="C5487" s="104" t="str">
        <f>'LISTA DE INSUMOS'!A748</f>
        <v>MAT761</v>
      </c>
      <c r="D5487" s="280" t="str">
        <f>'LISTA DE INSUMOS'!B748</f>
        <v>Sellos mecánicos 5/8" RL</v>
      </c>
      <c r="E5487" s="126" t="s">
        <v>1435</v>
      </c>
      <c r="F5487" s="102">
        <v>1</v>
      </c>
      <c r="G5487" s="103">
        <f>'LISTA DE INSUMOS'!E748</f>
        <v>114514.39160122498</v>
      </c>
      <c r="H5487" s="104">
        <v>2</v>
      </c>
      <c r="I5487" s="103">
        <f t="shared" si="64"/>
        <v>229028.78320244997</v>
      </c>
    </row>
    <row r="5488" spans="2:9" ht="19.5" customHeight="1" x14ac:dyDescent="0.2">
      <c r="B5488" s="646"/>
      <c r="C5488" s="104" t="str">
        <f>'LISTA DE INSUMOS'!A749</f>
        <v>MAT762</v>
      </c>
      <c r="D5488" s="280" t="str">
        <f>'LISTA DE INSUMOS'!B749</f>
        <v xml:space="preserve">Bujes en bronce para sellos mecánicos </v>
      </c>
      <c r="E5488" s="126" t="s">
        <v>1435</v>
      </c>
      <c r="F5488" s="102">
        <v>1</v>
      </c>
      <c r="G5488" s="103">
        <f>'LISTA DE INSUMOS'!E749</f>
        <v>114514.39160122498</v>
      </c>
      <c r="H5488" s="104">
        <v>6</v>
      </c>
      <c r="I5488" s="103">
        <f t="shared" si="64"/>
        <v>687086.34960734984</v>
      </c>
    </row>
    <row r="5489" spans="2:9" ht="19.5" customHeight="1" x14ac:dyDescent="0.2">
      <c r="B5489" s="230" t="s">
        <v>3128</v>
      </c>
      <c r="C5489" s="230"/>
      <c r="D5489" s="491" t="s">
        <v>3108</v>
      </c>
      <c r="E5489" s="230" t="s">
        <v>1424</v>
      </c>
      <c r="F5489" s="230"/>
      <c r="G5489" s="412">
        <f>SUM(I5490:I5493)</f>
        <v>285643.37213089794</v>
      </c>
      <c r="H5489" s="230"/>
      <c r="I5489" s="230"/>
    </row>
    <row r="5490" spans="2:9" ht="19.5" customHeight="1" x14ac:dyDescent="0.2">
      <c r="B5490" s="492" t="s">
        <v>1325</v>
      </c>
      <c r="C5490" s="104" t="str">
        <f>'LISTA DE INSUMOS'!A750</f>
        <v>MAT763</v>
      </c>
      <c r="D5490" s="280" t="str">
        <f>'LISTA DE INSUMOS'!B750</f>
        <v>Soportes y bases exosto</v>
      </c>
      <c r="E5490" s="126" t="s">
        <v>2156</v>
      </c>
      <c r="F5490" s="102">
        <v>1</v>
      </c>
      <c r="G5490" s="103">
        <f>'LISTA DE INSUMOS'!E750</f>
        <v>270908.33213089796</v>
      </c>
      <c r="H5490" s="104">
        <v>1</v>
      </c>
      <c r="I5490" s="103">
        <f t="shared" si="64"/>
        <v>270908.33213089796</v>
      </c>
    </row>
    <row r="5491" spans="2:9" ht="19.5" customHeight="1" x14ac:dyDescent="0.2">
      <c r="B5491" s="452" t="s">
        <v>1034</v>
      </c>
      <c r="C5491" s="104" t="s">
        <v>2159</v>
      </c>
      <c r="D5491" s="104" t="s">
        <v>2160</v>
      </c>
      <c r="E5491" s="126" t="s">
        <v>2065</v>
      </c>
      <c r="F5491" s="102">
        <v>1</v>
      </c>
      <c r="G5491" s="103">
        <f>'LISTA DE INSUMOS'!E18</f>
        <v>245584</v>
      </c>
      <c r="H5491" s="104">
        <v>0.05</v>
      </c>
      <c r="I5491" s="103">
        <f t="shared" si="64"/>
        <v>12279.2</v>
      </c>
    </row>
    <row r="5492" spans="2:9" ht="19.5" customHeight="1" x14ac:dyDescent="0.2">
      <c r="B5492" s="638" t="s">
        <v>1033</v>
      </c>
      <c r="C5492" s="104" t="s">
        <v>485</v>
      </c>
      <c r="D5492" s="104" t="s">
        <v>1029</v>
      </c>
      <c r="E5492" s="126" t="s">
        <v>2066</v>
      </c>
      <c r="F5492" s="102">
        <v>0.1</v>
      </c>
      <c r="G5492" s="103">
        <f>I5491</f>
        <v>12279.2</v>
      </c>
      <c r="H5492" s="104">
        <v>1</v>
      </c>
      <c r="I5492" s="103">
        <f t="shared" si="64"/>
        <v>1227.92</v>
      </c>
    </row>
    <row r="5493" spans="2:9" ht="19.5" customHeight="1" x14ac:dyDescent="0.2">
      <c r="B5493" s="638"/>
      <c r="C5493" s="104" t="s">
        <v>1017</v>
      </c>
      <c r="D5493" s="104" t="s">
        <v>1030</v>
      </c>
      <c r="E5493" s="126" t="s">
        <v>2066</v>
      </c>
      <c r="F5493" s="102">
        <v>0.1</v>
      </c>
      <c r="G5493" s="103">
        <f>I5491</f>
        <v>12279.2</v>
      </c>
      <c r="H5493" s="104">
        <v>1</v>
      </c>
      <c r="I5493" s="103">
        <f t="shared" si="64"/>
        <v>1227.92</v>
      </c>
    </row>
    <row r="5494" spans="2:9" ht="19.5" customHeight="1" x14ac:dyDescent="0.2">
      <c r="B5494" s="230" t="s">
        <v>3129</v>
      </c>
      <c r="C5494" s="230"/>
      <c r="D5494" s="491" t="s">
        <v>3110</v>
      </c>
      <c r="E5494" s="230" t="s">
        <v>1435</v>
      </c>
      <c r="F5494" s="230"/>
      <c r="G5494" s="412">
        <f>SUM(I5495:I5500)</f>
        <v>824883.48754250002</v>
      </c>
      <c r="H5494" s="230"/>
      <c r="I5494" s="230"/>
    </row>
    <row r="5495" spans="2:9" ht="19.5" customHeight="1" x14ac:dyDescent="0.2">
      <c r="B5495" s="660" t="s">
        <v>1325</v>
      </c>
      <c r="C5495" s="104" t="s">
        <v>1518</v>
      </c>
      <c r="D5495" s="280" t="str">
        <f>D571</f>
        <v>Concreto de 20,7 Mpa (3000 psi) impermeabilizado (producción)</v>
      </c>
      <c r="E5495" s="126" t="s">
        <v>1432</v>
      </c>
      <c r="F5495" s="102">
        <v>1</v>
      </c>
      <c r="G5495" s="103">
        <f>G571</f>
        <v>639576</v>
      </c>
      <c r="H5495" s="104">
        <v>0.55000000000000004</v>
      </c>
      <c r="I5495" s="103">
        <f t="shared" si="64"/>
        <v>351766.80000000005</v>
      </c>
    </row>
    <row r="5496" spans="2:9" ht="19.5" customHeight="1" x14ac:dyDescent="0.2">
      <c r="B5496" s="660"/>
      <c r="C5496" s="104" t="s">
        <v>1533</v>
      </c>
      <c r="D5496" s="280" t="str">
        <f>D581</f>
        <v>Acero Fy = 37.000 psi d=1/4"</v>
      </c>
      <c r="E5496" s="126" t="s">
        <v>1414</v>
      </c>
      <c r="F5496" s="102">
        <v>10</v>
      </c>
      <c r="G5496" s="103">
        <f>G581</f>
        <v>7388</v>
      </c>
      <c r="H5496" s="104">
        <v>1</v>
      </c>
      <c r="I5496" s="103">
        <f t="shared" si="64"/>
        <v>73880</v>
      </c>
    </row>
    <row r="5497" spans="2:9" ht="19.5" customHeight="1" x14ac:dyDescent="0.2">
      <c r="B5497" s="660"/>
      <c r="C5497" s="104" t="str">
        <f>'LISTA DE INSUMOS'!A639</f>
        <v>MAT655</v>
      </c>
      <c r="D5497" s="280" t="str">
        <f>'LISTA DE INSUMOS'!B639</f>
        <v>Cerámica pared Antique 15 x 15 cm.Tipo Alfa o Similar. Color Blanco o Beige</v>
      </c>
      <c r="E5497" s="126" t="s">
        <v>1424</v>
      </c>
      <c r="F5497" s="102">
        <v>1</v>
      </c>
      <c r="G5497" s="103">
        <f>'LISTA DE INSUMOS'!E639</f>
        <v>24844.384124999997</v>
      </c>
      <c r="H5497" s="104">
        <v>6.58</v>
      </c>
      <c r="I5497" s="103">
        <f t="shared" si="64"/>
        <v>163476.04754249999</v>
      </c>
    </row>
    <row r="5498" spans="2:9" ht="19.5" customHeight="1" x14ac:dyDescent="0.2">
      <c r="B5498" s="452" t="s">
        <v>1034</v>
      </c>
      <c r="C5498" s="104" t="s">
        <v>2159</v>
      </c>
      <c r="D5498" s="104" t="s">
        <v>2160</v>
      </c>
      <c r="E5498" s="126" t="s">
        <v>2065</v>
      </c>
      <c r="F5498" s="102">
        <v>1</v>
      </c>
      <c r="G5498" s="103">
        <f>'LISTA DE INSUMOS'!E18</f>
        <v>245584</v>
      </c>
      <c r="H5498" s="104">
        <v>0.8</v>
      </c>
      <c r="I5498" s="103">
        <f t="shared" si="64"/>
        <v>196467.20000000001</v>
      </c>
    </row>
    <row r="5499" spans="2:9" ht="19.5" customHeight="1" x14ac:dyDescent="0.2">
      <c r="B5499" s="638" t="s">
        <v>1033</v>
      </c>
      <c r="C5499" s="104" t="s">
        <v>485</v>
      </c>
      <c r="D5499" s="104" t="s">
        <v>1029</v>
      </c>
      <c r="E5499" s="126" t="s">
        <v>2066</v>
      </c>
      <c r="F5499" s="102">
        <v>0.1</v>
      </c>
      <c r="G5499" s="103">
        <f>I5498</f>
        <v>196467.20000000001</v>
      </c>
      <c r="H5499" s="104">
        <v>1</v>
      </c>
      <c r="I5499" s="103">
        <f t="shared" si="64"/>
        <v>19646.72</v>
      </c>
    </row>
    <row r="5500" spans="2:9" ht="19.5" customHeight="1" x14ac:dyDescent="0.2">
      <c r="B5500" s="638"/>
      <c r="C5500" s="104" t="s">
        <v>1017</v>
      </c>
      <c r="D5500" s="104" t="s">
        <v>1030</v>
      </c>
      <c r="E5500" s="126" t="s">
        <v>2066</v>
      </c>
      <c r="F5500" s="102">
        <v>0.1</v>
      </c>
      <c r="G5500" s="103">
        <f>I5498</f>
        <v>196467.20000000001</v>
      </c>
      <c r="H5500" s="104">
        <v>1</v>
      </c>
      <c r="I5500" s="103">
        <f t="shared" si="64"/>
        <v>19646.72</v>
      </c>
    </row>
    <row r="5501" spans="2:9" ht="19.5" customHeight="1" x14ac:dyDescent="0.2">
      <c r="B5501" s="230" t="s">
        <v>1872</v>
      </c>
      <c r="C5501" s="230"/>
      <c r="D5501" s="491" t="s">
        <v>3243</v>
      </c>
      <c r="E5501" s="230" t="s">
        <v>1435</v>
      </c>
      <c r="F5501" s="230"/>
      <c r="G5501" s="412">
        <f>SUM(I5502:I5507)</f>
        <v>4051001.17091625</v>
      </c>
      <c r="H5501" s="230"/>
      <c r="I5501" s="230"/>
    </row>
    <row r="5502" spans="2:9" ht="19.5" customHeight="1" x14ac:dyDescent="0.2">
      <c r="B5502" s="660" t="s">
        <v>1325</v>
      </c>
      <c r="C5502" s="104" t="s">
        <v>1430</v>
      </c>
      <c r="D5502" s="104" t="s">
        <v>1562</v>
      </c>
      <c r="E5502" s="126" t="s">
        <v>1424</v>
      </c>
      <c r="F5502" s="102">
        <v>1</v>
      </c>
      <c r="G5502" s="103">
        <f>G429</f>
        <v>6549</v>
      </c>
      <c r="H5502" s="104">
        <v>34.21</v>
      </c>
      <c r="I5502" s="103">
        <f t="shared" si="64"/>
        <v>224041.29</v>
      </c>
    </row>
    <row r="5503" spans="2:9" ht="19.5" customHeight="1" x14ac:dyDescent="0.2">
      <c r="B5503" s="660"/>
      <c r="C5503" s="104" t="s">
        <v>1548</v>
      </c>
      <c r="D5503" s="104" t="s">
        <v>1924</v>
      </c>
      <c r="E5503" s="126" t="s">
        <v>1424</v>
      </c>
      <c r="F5503" s="102">
        <v>1</v>
      </c>
      <c r="G5503" s="103">
        <f>G1576</f>
        <v>43950</v>
      </c>
      <c r="H5503" s="104">
        <v>34.21</v>
      </c>
      <c r="I5503" s="103">
        <f t="shared" si="64"/>
        <v>1503529.5</v>
      </c>
    </row>
    <row r="5504" spans="2:9" ht="19.5" customHeight="1" x14ac:dyDescent="0.2">
      <c r="B5504" s="660"/>
      <c r="C5504" s="104" t="s">
        <v>1208</v>
      </c>
      <c r="D5504" s="280" t="str">
        <f>'LISTA DE INSUMOS'!B639</f>
        <v>Cerámica pared Antique 15 x 15 cm.Tipo Alfa o Similar. Color Blanco o Beige</v>
      </c>
      <c r="E5504" s="126" t="s">
        <v>1424</v>
      </c>
      <c r="F5504" s="102">
        <v>1</v>
      </c>
      <c r="G5504" s="103">
        <f>'LISTA DE INSUMOS'!E639</f>
        <v>24844.384124999997</v>
      </c>
      <c r="H5504" s="104">
        <v>34.21</v>
      </c>
      <c r="I5504" s="103">
        <f t="shared" si="64"/>
        <v>849926.38091624994</v>
      </c>
    </row>
    <row r="5505" spans="2:9" ht="19.5" customHeight="1" x14ac:dyDescent="0.2">
      <c r="B5505" s="452" t="s">
        <v>1034</v>
      </c>
      <c r="C5505" s="104" t="s">
        <v>2159</v>
      </c>
      <c r="D5505" s="104" t="s">
        <v>2160</v>
      </c>
      <c r="E5505" s="126" t="s">
        <v>2065</v>
      </c>
      <c r="F5505" s="102">
        <v>1</v>
      </c>
      <c r="G5505" s="103">
        <f>'LISTA DE INSUMOS'!E18</f>
        <v>245584</v>
      </c>
      <c r="H5505" s="104">
        <v>5</v>
      </c>
      <c r="I5505" s="103">
        <f t="shared" si="64"/>
        <v>1227920</v>
      </c>
    </row>
    <row r="5506" spans="2:9" ht="19.5" customHeight="1" x14ac:dyDescent="0.2">
      <c r="B5506" s="638" t="s">
        <v>1033</v>
      </c>
      <c r="C5506" s="104" t="s">
        <v>485</v>
      </c>
      <c r="D5506" s="104" t="s">
        <v>1029</v>
      </c>
      <c r="E5506" s="126" t="s">
        <v>2066</v>
      </c>
      <c r="F5506" s="102">
        <v>0.1</v>
      </c>
      <c r="G5506" s="103">
        <f>I5505</f>
        <v>1227920</v>
      </c>
      <c r="H5506" s="104">
        <v>1</v>
      </c>
      <c r="I5506" s="103">
        <f t="shared" si="64"/>
        <v>122792</v>
      </c>
    </row>
    <row r="5507" spans="2:9" ht="19.5" customHeight="1" x14ac:dyDescent="0.2">
      <c r="B5507" s="638"/>
      <c r="C5507" s="104" t="s">
        <v>1017</v>
      </c>
      <c r="D5507" s="104" t="s">
        <v>1030</v>
      </c>
      <c r="E5507" s="126" t="s">
        <v>2066</v>
      </c>
      <c r="F5507" s="102">
        <v>0.1</v>
      </c>
      <c r="G5507" s="103">
        <f>I5505</f>
        <v>1227920</v>
      </c>
      <c r="H5507" s="104">
        <v>1</v>
      </c>
      <c r="I5507" s="103">
        <f t="shared" si="64"/>
        <v>122792</v>
      </c>
    </row>
    <row r="5508" spans="2:9" ht="19.5" customHeight="1" x14ac:dyDescent="0.2">
      <c r="B5508" s="230" t="s">
        <v>3130</v>
      </c>
      <c r="C5508" s="230"/>
      <c r="D5508" s="491" t="s">
        <v>3111</v>
      </c>
      <c r="E5508" s="230" t="s">
        <v>1435</v>
      </c>
      <c r="F5508" s="230"/>
      <c r="G5508" s="412">
        <f>SUM(I5509:I5511)</f>
        <v>4130463.7464247723</v>
      </c>
      <c r="H5508" s="230"/>
      <c r="I5508" s="230"/>
    </row>
    <row r="5509" spans="2:9" ht="19.5" customHeight="1" x14ac:dyDescent="0.2">
      <c r="B5509" s="660" t="s">
        <v>1325</v>
      </c>
      <c r="C5509" s="104" t="s">
        <v>190</v>
      </c>
      <c r="D5509" s="104" t="s">
        <v>1758</v>
      </c>
      <c r="E5509" s="126" t="s">
        <v>1424</v>
      </c>
      <c r="F5509" s="102">
        <v>1</v>
      </c>
      <c r="G5509" s="103">
        <f>G1465</f>
        <v>583886</v>
      </c>
      <c r="H5509" s="104">
        <v>6.2</v>
      </c>
      <c r="I5509" s="103">
        <f t="shared" si="64"/>
        <v>3620093.2</v>
      </c>
    </row>
    <row r="5510" spans="2:9" ht="19.5" customHeight="1" x14ac:dyDescent="0.2">
      <c r="B5510" s="660"/>
      <c r="C5510" s="104" t="s">
        <v>1430</v>
      </c>
      <c r="D5510" s="104" t="s">
        <v>1562</v>
      </c>
      <c r="E5510" s="126" t="s">
        <v>1424</v>
      </c>
      <c r="F5510" s="102">
        <v>1</v>
      </c>
      <c r="G5510" s="103">
        <f>G429</f>
        <v>6549</v>
      </c>
      <c r="H5510" s="104">
        <v>6.2</v>
      </c>
      <c r="I5510" s="103">
        <f t="shared" si="64"/>
        <v>40603.800000000003</v>
      </c>
    </row>
    <row r="5511" spans="2:9" ht="19.5" customHeight="1" x14ac:dyDescent="0.2">
      <c r="B5511" s="660"/>
      <c r="C5511" s="104" t="s">
        <v>1844</v>
      </c>
      <c r="D5511" s="104" t="s">
        <v>3106</v>
      </c>
      <c r="E5511" s="126" t="s">
        <v>1424</v>
      </c>
      <c r="F5511" s="102">
        <v>1</v>
      </c>
      <c r="G5511" s="103">
        <f>G5436</f>
        <v>36844.450699982146</v>
      </c>
      <c r="H5511" s="104">
        <v>12.75</v>
      </c>
      <c r="I5511" s="103">
        <f t="shared" si="64"/>
        <v>469766.74642477237</v>
      </c>
    </row>
    <row r="5512" spans="2:9" ht="31.5" customHeight="1" x14ac:dyDescent="0.2">
      <c r="B5512" s="230" t="s">
        <v>1872</v>
      </c>
      <c r="C5512" s="230"/>
      <c r="D5512" s="491" t="s">
        <v>3137</v>
      </c>
      <c r="E5512" s="230" t="s">
        <v>1435</v>
      </c>
      <c r="F5512" s="230"/>
      <c r="G5512" s="412">
        <f>SUM(I5513:I5517)</f>
        <v>4336005.3302399991</v>
      </c>
      <c r="H5512" s="230"/>
      <c r="I5512" s="230"/>
    </row>
    <row r="5513" spans="2:9" ht="19.5" customHeight="1" x14ac:dyDescent="0.2">
      <c r="B5513" s="452" t="s">
        <v>1034</v>
      </c>
      <c r="C5513" s="104" t="str">
        <f>'LISTA DE INSUMOS'!A24</f>
        <v>MOB021</v>
      </c>
      <c r="D5513" s="280" t="str">
        <f>'LISTA DE INSUMOS'!B24</f>
        <v>Cuadrilla K (1Of eléctrico+2Ay eléctricos) (jornal + prestaciones)</v>
      </c>
      <c r="E5513" s="126" t="s">
        <v>2065</v>
      </c>
      <c r="F5513" s="102">
        <v>1</v>
      </c>
      <c r="G5513" s="103">
        <f>'LISTA DE INSUMOS'!E26</f>
        <v>383612</v>
      </c>
      <c r="H5513" s="104">
        <v>0.5</v>
      </c>
      <c r="I5513" s="103">
        <f>H5513*G5513*F5513</f>
        <v>191806</v>
      </c>
    </row>
    <row r="5514" spans="2:9" ht="19.5" customHeight="1" x14ac:dyDescent="0.2">
      <c r="B5514" s="660" t="s">
        <v>1325</v>
      </c>
      <c r="C5514" s="104" t="str">
        <f>'LISTA DE INSUMOS'!A751</f>
        <v>MAT764</v>
      </c>
      <c r="D5514" s="280" t="str">
        <f>'LISTA DE INSUMOS'!B751</f>
        <v>Solenoide planta electrica Cumins</v>
      </c>
      <c r="E5514" s="126" t="s">
        <v>1435</v>
      </c>
      <c r="F5514" s="102">
        <v>1</v>
      </c>
      <c r="G5514" s="103">
        <f>'LISTA DE INSUMOS'!E751</f>
        <v>1042497.9627562498</v>
      </c>
      <c r="H5514" s="104">
        <v>1</v>
      </c>
      <c r="I5514" s="103">
        <f>H5514*G5514*F5514</f>
        <v>1042497.9627562498</v>
      </c>
    </row>
    <row r="5515" spans="2:9" ht="19.5" customHeight="1" x14ac:dyDescent="0.2">
      <c r="B5515" s="660"/>
      <c r="C5515" s="104" t="str">
        <f>'LISTA DE INSUMOS'!A752</f>
        <v>MAT765</v>
      </c>
      <c r="D5515" s="280" t="str">
        <f>'LISTA DE INSUMOS'!B752</f>
        <v>Baterìa 8D-1800</v>
      </c>
      <c r="E5515" s="126" t="s">
        <v>1435</v>
      </c>
      <c r="F5515" s="102">
        <v>2</v>
      </c>
      <c r="G5515" s="103">
        <f>'LISTA DE INSUMOS'!E752</f>
        <v>1531670.0837418749</v>
      </c>
      <c r="H5515" s="104">
        <v>1</v>
      </c>
      <c r="I5515" s="103">
        <f>H5515*G5515*F5515</f>
        <v>3063340.1674837498</v>
      </c>
    </row>
    <row r="5516" spans="2:9" ht="19.5" customHeight="1" x14ac:dyDescent="0.2">
      <c r="B5516" s="638" t="s">
        <v>1033</v>
      </c>
      <c r="C5516" s="104" t="s">
        <v>485</v>
      </c>
      <c r="D5516" s="104" t="s">
        <v>1029</v>
      </c>
      <c r="E5516" s="126" t="s">
        <v>2066</v>
      </c>
      <c r="F5516" s="102">
        <v>0.1</v>
      </c>
      <c r="G5516" s="103">
        <f>I5513</f>
        <v>191806</v>
      </c>
      <c r="H5516" s="104">
        <v>1</v>
      </c>
      <c r="I5516" s="103">
        <f>H5516*G5516*F5516</f>
        <v>19180.600000000002</v>
      </c>
    </row>
    <row r="5517" spans="2:9" ht="19.5" customHeight="1" x14ac:dyDescent="0.2">
      <c r="B5517" s="638"/>
      <c r="C5517" s="104" t="s">
        <v>1017</v>
      </c>
      <c r="D5517" s="104" t="s">
        <v>1030</v>
      </c>
      <c r="E5517" s="126" t="s">
        <v>2066</v>
      </c>
      <c r="F5517" s="102">
        <v>0.1</v>
      </c>
      <c r="G5517" s="103">
        <f>I5513</f>
        <v>191806</v>
      </c>
      <c r="H5517" s="104">
        <v>1</v>
      </c>
      <c r="I5517" s="103">
        <f>H5517*G5517*F5517</f>
        <v>19180.600000000002</v>
      </c>
    </row>
    <row r="5518" spans="2:9" ht="30.75" customHeight="1" x14ac:dyDescent="0.2">
      <c r="B5518" s="230" t="s">
        <v>1872</v>
      </c>
      <c r="C5518" s="230"/>
      <c r="D5518" s="493" t="s">
        <v>3138</v>
      </c>
      <c r="E5518" s="230" t="s">
        <v>1435</v>
      </c>
      <c r="F5518" s="230"/>
      <c r="G5518" s="412">
        <f>SUM(I5519:I5522)</f>
        <v>1157581.5627562499</v>
      </c>
      <c r="H5518" s="230"/>
      <c r="I5518" s="230"/>
    </row>
    <row r="5519" spans="2:9" ht="19.5" customHeight="1" x14ac:dyDescent="0.2">
      <c r="B5519" s="452" t="s">
        <v>1034</v>
      </c>
      <c r="C5519" s="104" t="str">
        <f>'LISTA DE INSUMOS'!A24</f>
        <v>MOB021</v>
      </c>
      <c r="D5519" s="280" t="str">
        <f>'LISTA DE INSUMOS'!B24</f>
        <v>Cuadrilla K (1Of eléctrico+2Ay eléctricos) (jornal + prestaciones)</v>
      </c>
      <c r="E5519" s="126" t="s">
        <v>2065</v>
      </c>
      <c r="F5519" s="102">
        <v>1</v>
      </c>
      <c r="G5519" s="103">
        <f>'LISTA DE INSUMOS'!E26</f>
        <v>383612</v>
      </c>
      <c r="H5519" s="104">
        <v>0.25</v>
      </c>
      <c r="I5519" s="103">
        <f>H5519*G5519*F5519</f>
        <v>95903</v>
      </c>
    </row>
    <row r="5520" spans="2:9" ht="19.5" customHeight="1" x14ac:dyDescent="0.2">
      <c r="B5520" s="451" t="s">
        <v>1325</v>
      </c>
      <c r="C5520" s="104" t="str">
        <f>'LISTA DE INSUMOS'!A751</f>
        <v>MAT764</v>
      </c>
      <c r="D5520" s="280" t="str">
        <f>'LISTA DE INSUMOS'!B751</f>
        <v>Solenoide planta electrica Cumins</v>
      </c>
      <c r="E5520" s="126" t="s">
        <v>1435</v>
      </c>
      <c r="F5520" s="102">
        <v>1</v>
      </c>
      <c r="G5520" s="103">
        <f>'LISTA DE INSUMOS'!E751</f>
        <v>1042497.9627562498</v>
      </c>
      <c r="H5520" s="104">
        <v>1</v>
      </c>
      <c r="I5520" s="103">
        <f>H5520*G5520*F5520</f>
        <v>1042497.9627562498</v>
      </c>
    </row>
    <row r="5521" spans="2:41" ht="19.5" customHeight="1" x14ac:dyDescent="0.2">
      <c r="B5521" s="638" t="s">
        <v>1033</v>
      </c>
      <c r="C5521" s="104" t="s">
        <v>485</v>
      </c>
      <c r="D5521" s="104" t="s">
        <v>1029</v>
      </c>
      <c r="E5521" s="126" t="s">
        <v>2066</v>
      </c>
      <c r="F5521" s="102">
        <v>0.1</v>
      </c>
      <c r="G5521" s="103">
        <f>I5519</f>
        <v>95903</v>
      </c>
      <c r="H5521" s="104">
        <v>1</v>
      </c>
      <c r="I5521" s="103">
        <f>H5521*G5521*F5521</f>
        <v>9590.3000000000011</v>
      </c>
    </row>
    <row r="5522" spans="2:41" ht="19.5" customHeight="1" x14ac:dyDescent="0.2">
      <c r="B5522" s="638"/>
      <c r="C5522" s="104" t="s">
        <v>1017</v>
      </c>
      <c r="D5522" s="104" t="s">
        <v>1030</v>
      </c>
      <c r="E5522" s="126" t="s">
        <v>2066</v>
      </c>
      <c r="F5522" s="102">
        <v>0.1</v>
      </c>
      <c r="G5522" s="103">
        <f>I5519</f>
        <v>95903</v>
      </c>
      <c r="H5522" s="104">
        <v>1</v>
      </c>
      <c r="I5522" s="103">
        <f>H5522*G5522*F5522</f>
        <v>9590.3000000000011</v>
      </c>
    </row>
    <row r="5523" spans="2:41" ht="47.25" customHeight="1" x14ac:dyDescent="0.2">
      <c r="B5523" s="230" t="s">
        <v>3130</v>
      </c>
      <c r="C5523" s="230"/>
      <c r="D5523" s="491" t="s">
        <v>3261</v>
      </c>
      <c r="E5523" s="230" t="s">
        <v>1412</v>
      </c>
      <c r="F5523" s="230"/>
      <c r="G5523" s="412">
        <f>SUM(I5524:I5532)</f>
        <v>1286914.4996543799</v>
      </c>
      <c r="H5523" s="230"/>
      <c r="I5523" s="230"/>
    </row>
    <row r="5524" spans="2:41" ht="19.5" customHeight="1" x14ac:dyDescent="0.2">
      <c r="B5524" s="451" t="s">
        <v>1325</v>
      </c>
      <c r="C5524" s="104" t="s">
        <v>570</v>
      </c>
      <c r="D5524" s="104" t="s">
        <v>3262</v>
      </c>
      <c r="E5524" s="126" t="s">
        <v>1435</v>
      </c>
      <c r="F5524" s="102">
        <v>15</v>
      </c>
      <c r="G5524" s="103">
        <f>'LISTA DE INSUMOS'!E756</f>
        <v>24292.286699999997</v>
      </c>
      <c r="H5524" s="104">
        <v>1</v>
      </c>
      <c r="I5524" s="103">
        <f>F5524*G5524*H5524</f>
        <v>364384.30049999995</v>
      </c>
    </row>
    <row r="5525" spans="2:41" ht="19.5" customHeight="1" x14ac:dyDescent="0.2">
      <c r="B5525" s="452" t="s">
        <v>1034</v>
      </c>
      <c r="C5525" s="104" t="s">
        <v>2103</v>
      </c>
      <c r="D5525" s="104" t="s">
        <v>2104</v>
      </c>
      <c r="E5525" s="126" t="s">
        <v>2065</v>
      </c>
      <c r="F5525" s="102">
        <v>1</v>
      </c>
      <c r="G5525" s="103">
        <f>'LISTA DE INSUMOS'!E10</f>
        <v>412454</v>
      </c>
      <c r="H5525" s="104">
        <v>1.6</v>
      </c>
      <c r="I5525" s="103">
        <f>F5525*G5525*H5525</f>
        <v>659926.4</v>
      </c>
    </row>
    <row r="5526" spans="2:41" ht="19.5" customHeight="1" x14ac:dyDescent="0.2">
      <c r="B5526" s="338"/>
      <c r="C5526" s="104" t="s">
        <v>1015</v>
      </c>
      <c r="D5526" s="104" t="s">
        <v>3263</v>
      </c>
      <c r="E5526" s="126" t="s">
        <v>1016</v>
      </c>
      <c r="F5526" s="102">
        <v>1</v>
      </c>
      <c r="G5526" s="103">
        <f>I5525</f>
        <v>659926.4</v>
      </c>
      <c r="H5526" s="104">
        <v>0.2</v>
      </c>
      <c r="I5526" s="103">
        <f t="shared" ref="I5526:I5532" si="65">F5526*G5526*H5526</f>
        <v>131985.28</v>
      </c>
    </row>
    <row r="5527" spans="2:41" ht="19.5" customHeight="1" x14ac:dyDescent="0.2">
      <c r="B5527" s="338" t="s">
        <v>1033</v>
      </c>
      <c r="C5527" s="104" t="s">
        <v>3264</v>
      </c>
      <c r="D5527" s="104" t="s">
        <v>3265</v>
      </c>
      <c r="E5527" s="126" t="s">
        <v>3266</v>
      </c>
      <c r="F5527" s="102">
        <v>1</v>
      </c>
      <c r="G5527" s="103">
        <f>'LISTA DE INSUMOS'!E822</f>
        <v>40846.32475</v>
      </c>
      <c r="H5527" s="104">
        <v>0.8</v>
      </c>
      <c r="I5527" s="103">
        <f t="shared" si="65"/>
        <v>32677.059800000003</v>
      </c>
    </row>
    <row r="5528" spans="2:41" ht="19.5" customHeight="1" x14ac:dyDescent="0.2">
      <c r="B5528" s="338"/>
      <c r="C5528" s="104" t="s">
        <v>3267</v>
      </c>
      <c r="D5528" s="104" t="s">
        <v>3268</v>
      </c>
      <c r="E5528" s="126" t="s">
        <v>3266</v>
      </c>
      <c r="F5528" s="102">
        <v>1</v>
      </c>
      <c r="G5528" s="103">
        <f>I5525</f>
        <v>659926.4</v>
      </c>
      <c r="H5528" s="104">
        <v>0.03</v>
      </c>
      <c r="I5528" s="103">
        <f t="shared" si="65"/>
        <v>19797.792000000001</v>
      </c>
    </row>
    <row r="5529" spans="2:41" ht="19.5" customHeight="1" x14ac:dyDescent="0.2">
      <c r="B5529" s="338"/>
      <c r="C5529" s="104" t="s">
        <v>1017</v>
      </c>
      <c r="D5529" s="104" t="s">
        <v>3269</v>
      </c>
      <c r="E5529" s="126" t="s">
        <v>2066</v>
      </c>
      <c r="F5529" s="102">
        <v>0.05</v>
      </c>
      <c r="G5529" s="103">
        <f>I5525</f>
        <v>659926.4</v>
      </c>
      <c r="H5529" s="104">
        <v>1</v>
      </c>
      <c r="I5529" s="103">
        <f t="shared" si="65"/>
        <v>32996.32</v>
      </c>
    </row>
    <row r="5530" spans="2:41" ht="19.5" customHeight="1" x14ac:dyDescent="0.2">
      <c r="B5530" s="338"/>
      <c r="C5530" s="104" t="s">
        <v>2431</v>
      </c>
      <c r="D5530" s="104" t="s">
        <v>3270</v>
      </c>
      <c r="E5530" s="126" t="s">
        <v>2065</v>
      </c>
      <c r="F5530" s="102">
        <v>1</v>
      </c>
      <c r="G5530" s="103">
        <v>145745</v>
      </c>
      <c r="H5530" s="104">
        <v>0.17</v>
      </c>
      <c r="I5530" s="103">
        <f t="shared" si="65"/>
        <v>24776.65</v>
      </c>
    </row>
    <row r="5531" spans="2:41" ht="19.5" customHeight="1" x14ac:dyDescent="0.2">
      <c r="B5531" s="338"/>
      <c r="C5531" s="104" t="s">
        <v>3271</v>
      </c>
      <c r="D5531" s="104" t="s">
        <v>3272</v>
      </c>
      <c r="E5531" s="126" t="s">
        <v>3273</v>
      </c>
      <c r="F5531" s="102">
        <v>1</v>
      </c>
      <c r="G5531" s="103">
        <f>'LISTA DE INSUMOS'!E773</f>
        <v>38341.394708759995</v>
      </c>
      <c r="H5531" s="104">
        <v>0.5</v>
      </c>
      <c r="I5531" s="103">
        <f t="shared" si="65"/>
        <v>19170.697354379998</v>
      </c>
    </row>
    <row r="5532" spans="2:41" ht="19.5" customHeight="1" x14ac:dyDescent="0.2">
      <c r="B5532" s="338"/>
      <c r="C5532" s="104" t="s">
        <v>3274</v>
      </c>
      <c r="D5532" s="104" t="s">
        <v>3275</v>
      </c>
      <c r="E5532" s="126" t="s">
        <v>3276</v>
      </c>
      <c r="F5532" s="102">
        <v>0.05</v>
      </c>
      <c r="G5532" s="103">
        <v>24000</v>
      </c>
      <c r="H5532" s="104">
        <v>1</v>
      </c>
      <c r="I5532" s="103">
        <f t="shared" si="65"/>
        <v>1200</v>
      </c>
    </row>
    <row r="5533" spans="2:41" ht="19.5" customHeight="1" x14ac:dyDescent="0.2">
      <c r="B5533" s="230" t="s">
        <v>1874</v>
      </c>
      <c r="C5533" s="230"/>
      <c r="D5533" s="491" t="s">
        <v>3299</v>
      </c>
      <c r="E5533" s="230" t="s">
        <v>3300</v>
      </c>
      <c r="F5533" s="230"/>
      <c r="G5533" s="412">
        <f>SUM(I5534)</f>
        <v>3231.2999999999997</v>
      </c>
      <c r="H5533" s="230"/>
      <c r="I5533" s="230"/>
    </row>
    <row r="5534" spans="2:41" ht="19.5" customHeight="1" x14ac:dyDescent="0.2">
      <c r="B5534" s="338" t="str">
        <f>'LISTA DE INSUMOS'!A767</f>
        <v>EQU010-1</v>
      </c>
      <c r="C5534" s="104" t="s">
        <v>2134</v>
      </c>
      <c r="D5534" s="280" t="str">
        <f>'LISTA DE INSUMOS'!B767</f>
        <v xml:space="preserve">Viaje Tracto Camión </v>
      </c>
      <c r="E5534" s="126" t="str">
        <f>'LISTA DE INSUMOS'!C767</f>
        <v>Ton-Km</v>
      </c>
      <c r="F5534" s="102">
        <v>1</v>
      </c>
      <c r="G5534" s="103">
        <f>'LISTA DE INSUMOS'!E767</f>
        <v>3231.2999999999997</v>
      </c>
      <c r="H5534" s="104">
        <v>1</v>
      </c>
      <c r="I5534" s="103">
        <f>H5534*G5534*F5534</f>
        <v>3231.2999999999997</v>
      </c>
    </row>
    <row r="5535" spans="2:41" ht="19.5" customHeight="1" x14ac:dyDescent="0.2">
      <c r="B5535" s="230" t="s">
        <v>2389</v>
      </c>
      <c r="C5535" s="230"/>
      <c r="D5535" s="491" t="s">
        <v>3303</v>
      </c>
      <c r="E5535" s="230" t="s">
        <v>3305</v>
      </c>
      <c r="F5535" s="230"/>
      <c r="G5535" s="412">
        <f>SUM(I5536)</f>
        <v>2273.9166666666665</v>
      </c>
      <c r="H5535" s="230"/>
      <c r="I5535" s="230"/>
      <c r="J5535" s="230"/>
      <c r="K5535" s="230"/>
      <c r="L5535" s="491"/>
      <c r="M5535" s="230"/>
      <c r="N5535" s="230"/>
      <c r="O5535" s="412"/>
      <c r="P5535" s="230"/>
      <c r="Q5535" s="230"/>
      <c r="R5535" s="230"/>
      <c r="S5535" s="230"/>
      <c r="T5535" s="491"/>
      <c r="U5535" s="230"/>
      <c r="V5535" s="230"/>
      <c r="W5535" s="412"/>
      <c r="X5535" s="230"/>
      <c r="Y5535" s="230"/>
      <c r="Z5535" s="230"/>
      <c r="AA5535" s="230"/>
      <c r="AB5535" s="491"/>
      <c r="AC5535" s="230"/>
      <c r="AD5535" s="230"/>
      <c r="AE5535" s="412"/>
      <c r="AF5535" s="230"/>
      <c r="AG5535" s="230"/>
      <c r="AH5535" s="230"/>
      <c r="AI5535" s="230"/>
      <c r="AJ5535" s="491"/>
      <c r="AK5535" s="230"/>
      <c r="AL5535" s="230"/>
      <c r="AM5535" s="412"/>
      <c r="AN5535" s="230"/>
      <c r="AO5535" s="230"/>
    </row>
    <row r="5536" spans="2:41" ht="19.5" customHeight="1" x14ac:dyDescent="0.2">
      <c r="B5536" s="452" t="s">
        <v>2807</v>
      </c>
      <c r="C5536" s="104" t="s">
        <v>2077</v>
      </c>
      <c r="D5536" s="280" t="str">
        <f>'ANÁLISIS MANO DE OBRA'!A60</f>
        <v>Cargue y Descargue Decomisos Madera</v>
      </c>
      <c r="E5536" s="126" t="str">
        <f>'LISTA DE INSUMOS'!C769</f>
        <v>Día</v>
      </c>
      <c r="F5536" s="102">
        <v>1</v>
      </c>
      <c r="G5536" s="103">
        <f>'ANÁLISIS MANO DE OBRA'!E60</f>
        <v>81861</v>
      </c>
      <c r="H5536" s="287">
        <f>1/8/4.5</f>
        <v>2.7777777777777776E-2</v>
      </c>
      <c r="I5536" s="103">
        <f>H5536*G5536*F5536</f>
        <v>2273.9166666666665</v>
      </c>
    </row>
  </sheetData>
  <mergeCells count="893">
    <mergeCell ref="B3702:B3703"/>
    <mergeCell ref="B5404:B5407"/>
    <mergeCell ref="B5259:B5262"/>
    <mergeCell ref="B5241:B5246"/>
    <mergeCell ref="B126:B127"/>
    <mergeCell ref="B128:B130"/>
    <mergeCell ref="B134:B136"/>
    <mergeCell ref="B140:B143"/>
    <mergeCell ref="B173:B174"/>
    <mergeCell ref="B175:B178"/>
    <mergeCell ref="B182:B185"/>
    <mergeCell ref="B198:B199"/>
    <mergeCell ref="B270:B271"/>
    <mergeCell ref="B377:B379"/>
    <mergeCell ref="B383:B389"/>
    <mergeCell ref="B314:B316"/>
    <mergeCell ref="B156:B157"/>
    <mergeCell ref="B152:B153"/>
    <mergeCell ref="B290:B291"/>
    <mergeCell ref="B306:B308"/>
    <mergeCell ref="B346:B350"/>
    <mergeCell ref="B322:B324"/>
    <mergeCell ref="B362:B363"/>
    <mergeCell ref="B373:B374"/>
    <mergeCell ref="B5502:B5504"/>
    <mergeCell ref="B5506:B5507"/>
    <mergeCell ref="B5509:B5511"/>
    <mergeCell ref="B5439:B5440"/>
    <mergeCell ref="B4690:B4701"/>
    <mergeCell ref="B4705:B4716"/>
    <mergeCell ref="B5445:B5446"/>
    <mergeCell ref="B5457:B5458"/>
    <mergeCell ref="B5474:B5488"/>
    <mergeCell ref="B5492:B5493"/>
    <mergeCell ref="B5495:B5497"/>
    <mergeCell ref="B5421:B5422"/>
    <mergeCell ref="B5413:B5415"/>
    <mergeCell ref="B5417:B5418"/>
    <mergeCell ref="B5408:B5409"/>
    <mergeCell ref="B5410:B5411"/>
    <mergeCell ref="B4873:B4875"/>
    <mergeCell ref="B4938:B4941"/>
    <mergeCell ref="B4945:B4946"/>
    <mergeCell ref="B4965:B4969"/>
    <mergeCell ref="B4957:B4961"/>
    <mergeCell ref="B4962:B4963"/>
    <mergeCell ref="B5222:B5227"/>
    <mergeCell ref="B5232:B5236"/>
    <mergeCell ref="B39:B40"/>
    <mergeCell ref="B47:B48"/>
    <mergeCell ref="B79:B80"/>
    <mergeCell ref="B164:B166"/>
    <mergeCell ref="B284:B285"/>
    <mergeCell ref="B162:B163"/>
    <mergeCell ref="B262:B263"/>
    <mergeCell ref="B275:B276"/>
    <mergeCell ref="B256:B257"/>
    <mergeCell ref="B282:B283"/>
    <mergeCell ref="B254:B255"/>
    <mergeCell ref="B120:B121"/>
    <mergeCell ref="B132:B133"/>
    <mergeCell ref="B238:B240"/>
    <mergeCell ref="B145:B146"/>
    <mergeCell ref="B122:B124"/>
    <mergeCell ref="B138:B139"/>
    <mergeCell ref="B147:B150"/>
    <mergeCell ref="B219:B221"/>
    <mergeCell ref="B168:B169"/>
    <mergeCell ref="B187:B188"/>
    <mergeCell ref="B158:B160"/>
    <mergeCell ref="B170:B171"/>
    <mergeCell ref="B192:B193"/>
    <mergeCell ref="B414:B415"/>
    <mergeCell ref="B397:B401"/>
    <mergeCell ref="B264:B265"/>
    <mergeCell ref="B393:B394"/>
    <mergeCell ref="B194:B196"/>
    <mergeCell ref="B189:B190"/>
    <mergeCell ref="B204:B205"/>
    <mergeCell ref="B223:B224"/>
    <mergeCell ref="B206:B209"/>
    <mergeCell ref="B200:B202"/>
    <mergeCell ref="B295:B298"/>
    <mergeCell ref="B351:B352"/>
    <mergeCell ref="B367:B369"/>
    <mergeCell ref="B260:B261"/>
    <mergeCell ref="B268:B269"/>
    <mergeCell ref="B277:B278"/>
    <mergeCell ref="B390:B391"/>
    <mergeCell ref="B180:B181"/>
    <mergeCell ref="B343:B344"/>
    <mergeCell ref="B243:B245"/>
    <mergeCell ref="B247:B248"/>
    <mergeCell ref="B249:B251"/>
    <mergeCell ref="B232:B234"/>
    <mergeCell ref="B356:B357"/>
    <mergeCell ref="B411:B412"/>
    <mergeCell ref="B4345:B4346"/>
    <mergeCell ref="B430:B431"/>
    <mergeCell ref="B420:B422"/>
    <mergeCell ref="B328:B329"/>
    <mergeCell ref="B300:B301"/>
    <mergeCell ref="B225:B226"/>
    <mergeCell ref="B236:B237"/>
    <mergeCell ref="B686:B690"/>
    <mergeCell ref="B660:B663"/>
    <mergeCell ref="B722:B723"/>
    <mergeCell ref="B704:B710"/>
    <mergeCell ref="B672:B673"/>
    <mergeCell ref="B774:B779"/>
    <mergeCell ref="B770:B771"/>
    <mergeCell ref="B745:B746"/>
    <mergeCell ref="B715:B719"/>
    <mergeCell ref="B4853:B4854"/>
    <mergeCell ref="B4848:B4849"/>
    <mergeCell ref="B866:B867"/>
    <mergeCell ref="B919:B920"/>
    <mergeCell ref="B912:B915"/>
    <mergeCell ref="B870:B871"/>
    <mergeCell ref="B437:B443"/>
    <mergeCell ref="B519:B520"/>
    <mergeCell ref="B545:B548"/>
    <mergeCell ref="B536:B539"/>
    <mergeCell ref="B542:B543"/>
    <mergeCell ref="B528:B529"/>
    <mergeCell ref="B479:B480"/>
    <mergeCell ref="B584:B585"/>
    <mergeCell ref="B619:B623"/>
    <mergeCell ref="B532:B533"/>
    <mergeCell ref="B624:B626"/>
    <mergeCell ref="B757:B758"/>
    <mergeCell ref="B444:B447"/>
    <mergeCell ref="B4829:B4830"/>
    <mergeCell ref="B813:B814"/>
    <mergeCell ref="B795:B797"/>
    <mergeCell ref="B695:B699"/>
    <mergeCell ref="B650:B652"/>
    <mergeCell ref="B15:B16"/>
    <mergeCell ref="B7:B8"/>
    <mergeCell ref="B95:B96"/>
    <mergeCell ref="B84:B85"/>
    <mergeCell ref="B91:B92"/>
    <mergeCell ref="B87:B88"/>
    <mergeCell ref="B116:B117"/>
    <mergeCell ref="B31:B32"/>
    <mergeCell ref="B65:B71"/>
    <mergeCell ref="B74:B75"/>
    <mergeCell ref="B77:B78"/>
    <mergeCell ref="B51:B52"/>
    <mergeCell ref="B62:B63"/>
    <mergeCell ref="B43:B44"/>
    <mergeCell ref="B53:B55"/>
    <mergeCell ref="B35:B36"/>
    <mergeCell ref="B82:B83"/>
    <mergeCell ref="B104:B105"/>
    <mergeCell ref="B19:B20"/>
    <mergeCell ref="B109:B110"/>
    <mergeCell ref="B113:B114"/>
    <mergeCell ref="B97:B98"/>
    <mergeCell ref="B100:B101"/>
    <mergeCell ref="B23:B27"/>
    <mergeCell ref="B807:B810"/>
    <mergeCell ref="B802:B805"/>
    <mergeCell ref="B782:B784"/>
    <mergeCell ref="B787:B792"/>
    <mergeCell ref="B800:B801"/>
    <mergeCell ref="B736:B742"/>
    <mergeCell ref="B515:B516"/>
    <mergeCell ref="B604:B606"/>
    <mergeCell ref="B582:B583"/>
    <mergeCell ref="B610:B611"/>
    <mergeCell ref="B612:B615"/>
    <mergeCell ref="B641:B643"/>
    <mergeCell ref="B657:B658"/>
    <mergeCell ref="B761:B767"/>
    <mergeCell ref="B677:B681"/>
    <mergeCell ref="B668:B671"/>
    <mergeCell ref="B630:B634"/>
    <mergeCell ref="B726:B728"/>
    <mergeCell ref="B729:B732"/>
    <mergeCell ref="B733:B734"/>
    <mergeCell ref="B449:B450"/>
    <mergeCell ref="B453:B454"/>
    <mergeCell ref="B599:B603"/>
    <mergeCell ref="B463:B464"/>
    <mergeCell ref="B468:B469"/>
    <mergeCell ref="B472:B473"/>
    <mergeCell ref="B506:B507"/>
    <mergeCell ref="B475:B476"/>
    <mergeCell ref="B488:B489"/>
    <mergeCell ref="B590:B591"/>
    <mergeCell ref="B595:B596"/>
    <mergeCell ref="B563:B566"/>
    <mergeCell ref="B560:B561"/>
    <mergeCell ref="B458:B459"/>
    <mergeCell ref="B569:B570"/>
    <mergeCell ref="B551:B552"/>
    <mergeCell ref="B839:B843"/>
    <mergeCell ref="B999:B1002"/>
    <mergeCell ref="B963:B964"/>
    <mergeCell ref="B972:B973"/>
    <mergeCell ref="B967:B968"/>
    <mergeCell ref="B1010:B1011"/>
    <mergeCell ref="B1005:B1009"/>
    <mergeCell ref="B960:B961"/>
    <mergeCell ref="B935:B940"/>
    <mergeCell ref="B844:B845"/>
    <mergeCell ref="B884:B890"/>
    <mergeCell ref="B958:B959"/>
    <mergeCell ref="B881:B882"/>
    <mergeCell ref="B849:B853"/>
    <mergeCell ref="B931:B932"/>
    <mergeCell ref="B874:B878"/>
    <mergeCell ref="B916:B917"/>
    <mergeCell ref="B907:B909"/>
    <mergeCell ref="B923:B927"/>
    <mergeCell ref="B898:B904"/>
    <mergeCell ref="B1436:B1441"/>
    <mergeCell ref="B1453:B1455"/>
    <mergeCell ref="B1528:B1529"/>
    <mergeCell ref="B1553:B1554"/>
    <mergeCell ref="B1653:B1654"/>
    <mergeCell ref="B1703:B1708"/>
    <mergeCell ref="B1646:B1651"/>
    <mergeCell ref="B1579:B1581"/>
    <mergeCell ref="B1512:B1513"/>
    <mergeCell ref="B1469:B1470"/>
    <mergeCell ref="B1524:B1526"/>
    <mergeCell ref="B1656:B1659"/>
    <mergeCell ref="B1664:B1668"/>
    <mergeCell ref="B1636:B1637"/>
    <mergeCell ref="B1700:B1701"/>
    <mergeCell ref="B1688:B1689"/>
    <mergeCell ref="B1586:B1588"/>
    <mergeCell ref="B1603:B1604"/>
    <mergeCell ref="B1617:B1620"/>
    <mergeCell ref="B1490:B1496"/>
    <mergeCell ref="B1501:B1507"/>
    <mergeCell ref="B1516:B1518"/>
    <mergeCell ref="B1567:B1569"/>
    <mergeCell ref="B1479:B1485"/>
    <mergeCell ref="B1024:B1025"/>
    <mergeCell ref="B1101:B1104"/>
    <mergeCell ref="B1037:B1041"/>
    <mergeCell ref="B1031:B1032"/>
    <mergeCell ref="B1045:B1046"/>
    <mergeCell ref="B862:B863"/>
    <mergeCell ref="B1042:B1043"/>
    <mergeCell ref="B1034:B1035"/>
    <mergeCell ref="B928:B929"/>
    <mergeCell ref="B1027:B1030"/>
    <mergeCell ref="B1021:B1022"/>
    <mergeCell ref="B1098:B1099"/>
    <mergeCell ref="B985:B988"/>
    <mergeCell ref="B1017:B1020"/>
    <mergeCell ref="B991:B996"/>
    <mergeCell ref="B1048:B1052"/>
    <mergeCell ref="B1064:B1065"/>
    <mergeCell ref="B1058:B1061"/>
    <mergeCell ref="B1013:B1014"/>
    <mergeCell ref="B976:B982"/>
    <mergeCell ref="B1067:B1071"/>
    <mergeCell ref="B1053:B1054"/>
    <mergeCell ref="B2364:B2365"/>
    <mergeCell ref="B833:B836"/>
    <mergeCell ref="B826:B827"/>
    <mergeCell ref="B828:B831"/>
    <mergeCell ref="B820:B823"/>
    <mergeCell ref="B2617:B2618"/>
    <mergeCell ref="B2535:B2536"/>
    <mergeCell ref="B2622:B2623"/>
    <mergeCell ref="B2512:B2513"/>
    <mergeCell ref="B1154:B1156"/>
    <mergeCell ref="B1187:B1190"/>
    <mergeCell ref="B1167:B1168"/>
    <mergeCell ref="B1196:B1198"/>
    <mergeCell ref="B1276:B1280"/>
    <mergeCell ref="B1193:B1195"/>
    <mergeCell ref="B1220:B1223"/>
    <mergeCell ref="B1234:B1235"/>
    <mergeCell ref="B1253:B1258"/>
    <mergeCell ref="B1264:B1268"/>
    <mergeCell ref="B1209:B1210"/>
    <mergeCell ref="B1174:B1177"/>
    <mergeCell ref="B1180:B1182"/>
    <mergeCell ref="B1183:B1185"/>
    <mergeCell ref="B1987:B1988"/>
    <mergeCell ref="B2374:B2377"/>
    <mergeCell ref="B2474:B2475"/>
    <mergeCell ref="B2477:B2478"/>
    <mergeCell ref="B2423:B2428"/>
    <mergeCell ref="B2385:B2388"/>
    <mergeCell ref="B2437:B2439"/>
    <mergeCell ref="B2410:B2413"/>
    <mergeCell ref="B2369:B2370"/>
    <mergeCell ref="B2400:B2402"/>
    <mergeCell ref="B2432:B2435"/>
    <mergeCell ref="B2451:B2453"/>
    <mergeCell ref="B2462:B2464"/>
    <mergeCell ref="B2468:B2470"/>
    <mergeCell ref="B2417:B2419"/>
    <mergeCell ref="B2404:B2406"/>
    <mergeCell ref="B2392:B2394"/>
    <mergeCell ref="B2084:B2085"/>
    <mergeCell ref="B2028:B2029"/>
    <mergeCell ref="B2040:B2041"/>
    <mergeCell ref="B2296:B2297"/>
    <mergeCell ref="B1978:B1985"/>
    <mergeCell ref="B2345:B2346"/>
    <mergeCell ref="B2069:B2070"/>
    <mergeCell ref="B2112:B2114"/>
    <mergeCell ref="B2143:B2149"/>
    <mergeCell ref="B2318:B2319"/>
    <mergeCell ref="B2321:B2327"/>
    <mergeCell ref="B2285:B2286"/>
    <mergeCell ref="B2000:B2003"/>
    <mergeCell ref="B2079:B2081"/>
    <mergeCell ref="B2235:B2238"/>
    <mergeCell ref="B2342:B2343"/>
    <mergeCell ref="B2274:B2275"/>
    <mergeCell ref="B2329:B2330"/>
    <mergeCell ref="B2031:B2037"/>
    <mergeCell ref="B2076:B2077"/>
    <mergeCell ref="B2116:B2117"/>
    <mergeCell ref="B1997:B1999"/>
    <mergeCell ref="B3068:B3069"/>
    <mergeCell ref="B2987:B2990"/>
    <mergeCell ref="B3001:B3004"/>
    <mergeCell ref="B2912:B2913"/>
    <mergeCell ref="B2525:B2530"/>
    <mergeCell ref="B2495:B2500"/>
    <mergeCell ref="B2686:B2693"/>
    <mergeCell ref="B2556:B2561"/>
    <mergeCell ref="B1774:B1775"/>
    <mergeCell ref="B1781:B1785"/>
    <mergeCell ref="B1777:B1780"/>
    <mergeCell ref="B1835:B1840"/>
    <mergeCell ref="B2632:B2634"/>
    <mergeCell ref="B2585:B2588"/>
    <mergeCell ref="B2593:B2595"/>
    <mergeCell ref="B2614:B2615"/>
    <mergeCell ref="B2576:B2577"/>
    <mergeCell ref="B2628:B2630"/>
    <mergeCell ref="B2505:B2510"/>
    <mergeCell ref="B2548:B2549"/>
    <mergeCell ref="B2502:B2503"/>
    <mergeCell ref="B2457:B2458"/>
    <mergeCell ref="B2332:B2340"/>
    <mergeCell ref="B1968:B1973"/>
    <mergeCell ref="B3148:B3152"/>
    <mergeCell ref="B3209:B3213"/>
    <mergeCell ref="B2945:B2946"/>
    <mergeCell ref="B2640:B2641"/>
    <mergeCell ref="B2609:B2610"/>
    <mergeCell ref="B2543:B2544"/>
    <mergeCell ref="B2522:B2523"/>
    <mergeCell ref="B2515:B2520"/>
    <mergeCell ref="B2480:B2482"/>
    <mergeCell ref="B2808:B2813"/>
    <mergeCell ref="B2674:B2681"/>
    <mergeCell ref="B2625:B2626"/>
    <mergeCell ref="B2722:B2725"/>
    <mergeCell ref="B2698:B2705"/>
    <mergeCell ref="B2755:B2758"/>
    <mergeCell ref="B2540:B2541"/>
    <mergeCell ref="B2532:B2533"/>
    <mergeCell ref="B2486:B2491"/>
    <mergeCell ref="B2636:B2638"/>
    <mergeCell ref="B2649:B2657"/>
    <mergeCell ref="B3173:B3178"/>
    <mergeCell ref="B3073:B3074"/>
    <mergeCell ref="B3128:B3129"/>
    <mergeCell ref="B3191:B3196"/>
    <mergeCell ref="B3225:B3229"/>
    <mergeCell ref="B2359:B2360"/>
    <mergeCell ref="B3217:B3221"/>
    <mergeCell ref="B3258:B3262"/>
    <mergeCell ref="B2590:B2591"/>
    <mergeCell ref="B2975:B2976"/>
    <mergeCell ref="B2772:B2773"/>
    <mergeCell ref="B2874:B2875"/>
    <mergeCell ref="B2777:B2778"/>
    <mergeCell ref="B2564:B2565"/>
    <mergeCell ref="B2957:B2958"/>
    <mergeCell ref="B2881:B2882"/>
    <mergeCell ref="B2854:B2855"/>
    <mergeCell ref="B2827:B2828"/>
    <mergeCell ref="B3093:B3094"/>
    <mergeCell ref="B3156:B3162"/>
    <mergeCell ref="B3200:B3205"/>
    <mergeCell ref="B3166:B3169"/>
    <mergeCell ref="B3182:B3187"/>
    <mergeCell ref="B3132:B3136"/>
    <mergeCell ref="B3078:B3079"/>
    <mergeCell ref="B3140:B3144"/>
    <mergeCell ref="B3088:B3089"/>
    <mergeCell ref="B3057:B3060"/>
    <mergeCell ref="B3526:B3527"/>
    <mergeCell ref="B3408:B3411"/>
    <mergeCell ref="B3330:B3335"/>
    <mergeCell ref="B3241:B3245"/>
    <mergeCell ref="B3401:B3404"/>
    <mergeCell ref="B3307:B3311"/>
    <mergeCell ref="B3381:B3383"/>
    <mergeCell ref="B3374:B3377"/>
    <mergeCell ref="B3267:B3271"/>
    <mergeCell ref="B3339:B3342"/>
    <mergeCell ref="B3249:B3253"/>
    <mergeCell ref="B3421:B3422"/>
    <mergeCell ref="B3430:B3431"/>
    <mergeCell ref="B3424:B3428"/>
    <mergeCell ref="B3323:B3326"/>
    <mergeCell ref="B3316:B3319"/>
    <mergeCell ref="B3298:B3302"/>
    <mergeCell ref="B3289:B3293"/>
    <mergeCell ref="B3275:B3276"/>
    <mergeCell ref="B3280:B3284"/>
    <mergeCell ref="B3627:B3628"/>
    <mergeCell ref="B3394:B3397"/>
    <mergeCell ref="B3387:B3390"/>
    <mergeCell ref="B3501:B3504"/>
    <mergeCell ref="B3612:B3613"/>
    <mergeCell ref="B3585:B3586"/>
    <mergeCell ref="B3609:B3610"/>
    <mergeCell ref="B3485:B3488"/>
    <mergeCell ref="B3478:B3481"/>
    <mergeCell ref="B3457:B3460"/>
    <mergeCell ref="B3454:B3455"/>
    <mergeCell ref="B3413:B3414"/>
    <mergeCell ref="B3471:B3474"/>
    <mergeCell ref="B3433:B3434"/>
    <mergeCell ref="B3416:B3419"/>
    <mergeCell ref="B3536:B3537"/>
    <mergeCell ref="B3521:B3522"/>
    <mergeCell ref="B3541:B3542"/>
    <mergeCell ref="B3493:B3496"/>
    <mergeCell ref="B3531:B3532"/>
    <mergeCell ref="B3439:B3443"/>
    <mergeCell ref="B3464:B3467"/>
    <mergeCell ref="B3436:B3437"/>
    <mergeCell ref="B3445:B3446"/>
    <mergeCell ref="B3083:B3084"/>
    <mergeCell ref="B3233:B3237"/>
    <mergeCell ref="B2730:B2733"/>
    <mergeCell ref="B2760:B2761"/>
    <mergeCell ref="B2762:B2763"/>
    <mergeCell ref="B2765:B2770"/>
    <mergeCell ref="B2800:B2801"/>
    <mergeCell ref="B2774:B2775"/>
    <mergeCell ref="B2782:B2786"/>
    <mergeCell ref="B2750:B2751"/>
    <mergeCell ref="B2837:B2840"/>
    <mergeCell ref="B2738:B2741"/>
    <mergeCell ref="B2794:B2795"/>
    <mergeCell ref="B3049:B3052"/>
    <mergeCell ref="B3025:B3028"/>
    <mergeCell ref="B3008:B3012"/>
    <mergeCell ref="B2819:B2824"/>
    <mergeCell ref="B3017:B3020"/>
    <mergeCell ref="B2994:B2997"/>
    <mergeCell ref="B2941:B2942"/>
    <mergeCell ref="B2969:B2970"/>
    <mergeCell ref="B2863:B2864"/>
    <mergeCell ref="B2897:B2898"/>
    <mergeCell ref="B2877:B2879"/>
    <mergeCell ref="B3981:B3985"/>
    <mergeCell ref="B3783:B3790"/>
    <mergeCell ref="B2662:B2669"/>
    <mergeCell ref="B3712:B3713"/>
    <mergeCell ref="B3687:B3688"/>
    <mergeCell ref="B3692:B3693"/>
    <mergeCell ref="A9:A10"/>
    <mergeCell ref="B951:B952"/>
    <mergeCell ref="B954:B955"/>
    <mergeCell ref="B893:B895"/>
    <mergeCell ref="B969:B970"/>
    <mergeCell ref="B815:B818"/>
    <mergeCell ref="B749:B754"/>
    <mergeCell ref="B858:B859"/>
    <mergeCell ref="B523:B524"/>
    <mergeCell ref="B525:B526"/>
    <mergeCell ref="B554:B557"/>
    <mergeCell ref="B635:B637"/>
    <mergeCell ref="B654:B655"/>
    <mergeCell ref="B588:B589"/>
    <mergeCell ref="B575:B577"/>
    <mergeCell ref="B511:B512"/>
    <mergeCell ref="B945:B950"/>
    <mergeCell ref="B2645:B2646"/>
    <mergeCell ref="B3555:B3556"/>
    <mergeCell ref="B3448:B3452"/>
    <mergeCell ref="B2710:B2717"/>
    <mergeCell ref="B3992:B3994"/>
    <mergeCell ref="B3561:B3562"/>
    <mergeCell ref="B3579:B3580"/>
    <mergeCell ref="B3597:B3598"/>
    <mergeCell ref="B3573:B3574"/>
    <mergeCell ref="B3567:B3568"/>
    <mergeCell ref="B3549:B3550"/>
    <mergeCell ref="B3603:B3604"/>
    <mergeCell ref="B3591:B3592"/>
    <mergeCell ref="B3632:B3633"/>
    <mergeCell ref="B3759:B3766"/>
    <mergeCell ref="B3637:B3638"/>
    <mergeCell ref="B3647:B3648"/>
    <mergeCell ref="B3717:B3720"/>
    <mergeCell ref="B3672:B3674"/>
    <mergeCell ref="B3868:B3872"/>
    <mergeCell ref="B3964:B3971"/>
    <mergeCell ref="B3906:B3913"/>
    <mergeCell ref="B3677:B3678"/>
    <mergeCell ref="B3682:B3683"/>
    <mergeCell ref="B3975:B3977"/>
    <mergeCell ref="B2903:B2905"/>
    <mergeCell ref="B2834:B2835"/>
    <mergeCell ref="B2981:B2982"/>
    <mergeCell ref="B2963:B2964"/>
    <mergeCell ref="B2917:B2918"/>
    <mergeCell ref="B2844:B2845"/>
    <mergeCell ref="B2933:B2934"/>
    <mergeCell ref="B2868:B2869"/>
    <mergeCell ref="B2927:B2928"/>
    <mergeCell ref="B2951:B2952"/>
    <mergeCell ref="B2920:B2922"/>
    <mergeCell ref="B3041:B3044"/>
    <mergeCell ref="B3033:B3036"/>
    <mergeCell ref="B2816:B2817"/>
    <mergeCell ref="A3984:A3989"/>
    <mergeCell ref="B3723:B3729"/>
    <mergeCell ref="B3891:B3892"/>
    <mergeCell ref="B3928:B3932"/>
    <mergeCell ref="B3882:B3883"/>
    <mergeCell ref="B3937:B3942"/>
    <mergeCell ref="B3841:B3849"/>
    <mergeCell ref="B3734:B3741"/>
    <mergeCell ref="B3876:B3880"/>
    <mergeCell ref="B3821:B3824"/>
    <mergeCell ref="B3861:B3864"/>
    <mergeCell ref="B3746:B3754"/>
    <mergeCell ref="B3798:B3805"/>
    <mergeCell ref="B3810:B3816"/>
    <mergeCell ref="B3854:B3857"/>
    <mergeCell ref="B3917:B3924"/>
    <mergeCell ref="B3829:B3836"/>
    <mergeCell ref="B3771:B3778"/>
    <mergeCell ref="B3952:B3959"/>
    <mergeCell ref="B3885:B3889"/>
    <mergeCell ref="B3934:B3935"/>
    <mergeCell ref="B3707:B3708"/>
    <mergeCell ref="B2015:B2016"/>
    <mergeCell ref="B2011:B2012"/>
    <mergeCell ref="B2205:B2206"/>
    <mergeCell ref="B2219:B2222"/>
    <mergeCell ref="B2232:B2233"/>
    <mergeCell ref="B2065:B2066"/>
    <mergeCell ref="B2101:B2107"/>
    <mergeCell ref="B2193:B2194"/>
    <mergeCell ref="B2182:B2183"/>
    <mergeCell ref="B2224:B2225"/>
    <mergeCell ref="B2202:B2203"/>
    <mergeCell ref="B2125:B2126"/>
    <mergeCell ref="B2072:B2073"/>
    <mergeCell ref="B2058:B2060"/>
    <mergeCell ref="B2090:B2091"/>
    <mergeCell ref="B2173:B2174"/>
    <mergeCell ref="B2122:B2123"/>
    <mergeCell ref="B2134:B2136"/>
    <mergeCell ref="B3617:B3618"/>
    <mergeCell ref="B3622:B3623"/>
    <mergeCell ref="B2567:B2572"/>
    <mergeCell ref="B2553:B2554"/>
    <mergeCell ref="B3697:B3698"/>
    <mergeCell ref="B1949:B1950"/>
    <mergeCell ref="B1789:B1791"/>
    <mergeCell ref="B1750:B1756"/>
    <mergeCell ref="B1766:B1769"/>
    <mergeCell ref="B1763:B1764"/>
    <mergeCell ref="B1861:B1862"/>
    <mergeCell ref="B1859:B1860"/>
    <mergeCell ref="B1814:B1818"/>
    <mergeCell ref="B1792:B1793"/>
    <mergeCell ref="B1881:B1882"/>
    <mergeCell ref="B1805:B1808"/>
    <mergeCell ref="B1856:B1858"/>
    <mergeCell ref="B1846:B1855"/>
    <mergeCell ref="B1830:B1834"/>
    <mergeCell ref="B1842:B1844"/>
    <mergeCell ref="B1867:B1868"/>
    <mergeCell ref="B1770:B1772"/>
    <mergeCell ref="B1809:B1810"/>
    <mergeCell ref="B1928:B1931"/>
    <mergeCell ref="B1884:B1886"/>
    <mergeCell ref="B1904:B1905"/>
    <mergeCell ref="B1877:B1879"/>
    <mergeCell ref="B1819:B1824"/>
    <mergeCell ref="B1888:B1889"/>
    <mergeCell ref="B1954:B1955"/>
    <mergeCell ref="B2307:B2308"/>
    <mergeCell ref="B2288:B2294"/>
    <mergeCell ref="B2310:B2316"/>
    <mergeCell ref="B2299:B2305"/>
    <mergeCell ref="B2255:B2261"/>
    <mergeCell ref="B2249:B2251"/>
    <mergeCell ref="B2188:B2189"/>
    <mergeCell ref="B2151:B2153"/>
    <mergeCell ref="B2176:B2177"/>
    <mergeCell ref="B2185:B2186"/>
    <mergeCell ref="B2242:B2244"/>
    <mergeCell ref="B2227:B2230"/>
    <mergeCell ref="B2161:B2166"/>
    <mergeCell ref="B2246:B2247"/>
    <mergeCell ref="B2277:B2283"/>
    <mergeCell ref="B2266:B2272"/>
    <mergeCell ref="B2208:B2209"/>
    <mergeCell ref="B2158:B2159"/>
    <mergeCell ref="B2169:B2170"/>
    <mergeCell ref="B1959:B1963"/>
    <mergeCell ref="B1990:B1993"/>
    <mergeCell ref="B2018:B2026"/>
    <mergeCell ref="B2263:B2264"/>
    <mergeCell ref="B1520:B1521"/>
    <mergeCell ref="B1540:B1542"/>
    <mergeCell ref="B1536:B1537"/>
    <mergeCell ref="B1544:B1546"/>
    <mergeCell ref="B1942:B1945"/>
    <mergeCell ref="B1935:B1938"/>
    <mergeCell ref="B1895:B1896"/>
    <mergeCell ref="B1891:B1892"/>
    <mergeCell ref="B1898:B1902"/>
    <mergeCell ref="B1870:B1873"/>
    <mergeCell ref="B1907:B1910"/>
    <mergeCell ref="B1921:B1924"/>
    <mergeCell ref="B1914:B1917"/>
    <mergeCell ref="B1826:B1828"/>
    <mergeCell ref="B1732:B1734"/>
    <mergeCell ref="B1742:B1746"/>
    <mergeCell ref="B1673:B1675"/>
    <mergeCell ref="B1533:B1534"/>
    <mergeCell ref="B1530:B1531"/>
    <mergeCell ref="B1610:B1612"/>
    <mergeCell ref="B1757:B1761"/>
    <mergeCell ref="B1722:B1727"/>
    <mergeCell ref="B1561:B1563"/>
    <mergeCell ref="B1595:B1596"/>
    <mergeCell ref="B1131:B1135"/>
    <mergeCell ref="B1072:B1074"/>
    <mergeCell ref="B1169:B1172"/>
    <mergeCell ref="B1244:B1247"/>
    <mergeCell ref="B1248:B1249"/>
    <mergeCell ref="B1081:B1082"/>
    <mergeCell ref="B1118:B1125"/>
    <mergeCell ref="B1092:B1095"/>
    <mergeCell ref="B1109:B1113"/>
    <mergeCell ref="B1149:B1151"/>
    <mergeCell ref="B1140:B1143"/>
    <mergeCell ref="B1200:B1203"/>
    <mergeCell ref="B1084:B1087"/>
    <mergeCell ref="B1126:B1127"/>
    <mergeCell ref="B1160:B1161"/>
    <mergeCell ref="B1206:B1207"/>
    <mergeCell ref="B1229:B1233"/>
    <mergeCell ref="B1224:B1225"/>
    <mergeCell ref="B1163:B1164"/>
    <mergeCell ref="B1144:B1145"/>
    <mergeCell ref="B1281:B1282"/>
    <mergeCell ref="B1269:B1270"/>
    <mergeCell ref="B1433:B1434"/>
    <mergeCell ref="B1417:B1421"/>
    <mergeCell ref="B1408:B1411"/>
    <mergeCell ref="B1293:B1294"/>
    <mergeCell ref="B1284:B1285"/>
    <mergeCell ref="B1372:B1376"/>
    <mergeCell ref="B1212:B1215"/>
    <mergeCell ref="B1363:B1367"/>
    <mergeCell ref="B1288:B1292"/>
    <mergeCell ref="B1311:B1313"/>
    <mergeCell ref="B1351:B1352"/>
    <mergeCell ref="B1272:B1273"/>
    <mergeCell ref="B1336:B1338"/>
    <mergeCell ref="B1327:B1329"/>
    <mergeCell ref="B1357:B1358"/>
    <mergeCell ref="B1332:B1335"/>
    <mergeCell ref="B1413:B1415"/>
    <mergeCell ref="B1424:B1425"/>
    <mergeCell ref="B1342:B1346"/>
    <mergeCell ref="B4138:B4139"/>
    <mergeCell ref="B4073:B4074"/>
    <mergeCell ref="B4088:B4089"/>
    <mergeCell ref="B1738:B1741"/>
    <mergeCell ref="B1590:B1593"/>
    <mergeCell ref="B1598:B1601"/>
    <mergeCell ref="B1296:B1297"/>
    <mergeCell ref="B1316:B1324"/>
    <mergeCell ref="B1354:B1355"/>
    <mergeCell ref="B1300:B1308"/>
    <mergeCell ref="B1360:B1361"/>
    <mergeCell ref="B1549:B1551"/>
    <mergeCell ref="B1427:B1430"/>
    <mergeCell ref="B1390:B1394"/>
    <mergeCell ref="B1680:B1686"/>
    <mergeCell ref="B1691:B1698"/>
    <mergeCell ref="B1573:B1575"/>
    <mergeCell ref="B1444:B1446"/>
    <mergeCell ref="B1639:B1642"/>
    <mergeCell ref="B1624:B1626"/>
    <mergeCell ref="B1630:B1634"/>
    <mergeCell ref="B1713:B1717"/>
    <mergeCell ref="B1460:B1461"/>
    <mergeCell ref="B1381:B1385"/>
    <mergeCell ref="B4379:B4382"/>
    <mergeCell ref="B4383:B4386"/>
    <mergeCell ref="B4353:B4354"/>
    <mergeCell ref="B4350:B4351"/>
    <mergeCell ref="B4475:B4476"/>
    <mergeCell ref="B3997:B3998"/>
    <mergeCell ref="B4148:B4150"/>
    <mergeCell ref="B4117:B4119"/>
    <mergeCell ref="B4121:B4124"/>
    <mergeCell ref="B4051:B4052"/>
    <mergeCell ref="B4100:B4103"/>
    <mergeCell ref="B4127:B4129"/>
    <mergeCell ref="B4115:B4116"/>
    <mergeCell ref="B4096:B4097"/>
    <mergeCell ref="B4107:B4108"/>
    <mergeCell ref="B4105:B4106"/>
    <mergeCell ref="B4142:B4144"/>
    <mergeCell ref="B4131:B4132"/>
    <mergeCell ref="B4063:B4066"/>
    <mergeCell ref="B4042:B4045"/>
    <mergeCell ref="B4036:B4037"/>
    <mergeCell ref="B4029:B4032"/>
    <mergeCell ref="B4003:B4004"/>
    <mergeCell ref="B4134:B4135"/>
    <mergeCell ref="B4407:B4410"/>
    <mergeCell ref="B4498:B4500"/>
    <mergeCell ref="B4427:B4429"/>
    <mergeCell ref="B4399:B4402"/>
    <mergeCell ref="B4480:B4481"/>
    <mergeCell ref="B4461:B4462"/>
    <mergeCell ref="B4473:B4474"/>
    <mergeCell ref="B4457:B4458"/>
    <mergeCell ref="B4404:B4405"/>
    <mergeCell ref="B4440:B4441"/>
    <mergeCell ref="B4436:B4437"/>
    <mergeCell ref="B4491:B4493"/>
    <mergeCell ref="B4444:B4445"/>
    <mergeCell ref="B4469:B4470"/>
    <mergeCell ref="B4465:B4466"/>
    <mergeCell ref="B4478:B4479"/>
    <mergeCell ref="B4483:B4485"/>
    <mergeCell ref="B4365:B4368"/>
    <mergeCell ref="B4302:B4303"/>
    <mergeCell ref="B4315:B4316"/>
    <mergeCell ref="B4276:B4280"/>
    <mergeCell ref="B4263:B4264"/>
    <mergeCell ref="B4154:B4156"/>
    <mergeCell ref="B4218:B4220"/>
    <mergeCell ref="B4232:B4233"/>
    <mergeCell ref="B4209:B4210"/>
    <mergeCell ref="B4179:B4182"/>
    <mergeCell ref="B4196:B4197"/>
    <mergeCell ref="B4169:B4170"/>
    <mergeCell ref="B4204:B4205"/>
    <mergeCell ref="B4172:B4175"/>
    <mergeCell ref="B4160:B4162"/>
    <mergeCell ref="B4166:B4167"/>
    <mergeCell ref="B4212:B4215"/>
    <mergeCell ref="B4200:B4201"/>
    <mergeCell ref="B4230:B4231"/>
    <mergeCell ref="B4258:B4259"/>
    <mergeCell ref="B4334:B4337"/>
    <mergeCell ref="B4339:B4340"/>
    <mergeCell ref="B4356:B4357"/>
    <mergeCell ref="B4542:B4547"/>
    <mergeCell ref="B4550:B4552"/>
    <mergeCell ref="B4539:B4540"/>
    <mergeCell ref="B4331:B4332"/>
    <mergeCell ref="B4347:B4348"/>
    <mergeCell ref="B4235:B4236"/>
    <mergeCell ref="B4362:B4364"/>
    <mergeCell ref="B4392:B4395"/>
    <mergeCell ref="B4240:B4241"/>
    <mergeCell ref="B4261:B4262"/>
    <mergeCell ref="B4243:B4248"/>
    <mergeCell ref="B4268:B4269"/>
    <mergeCell ref="B4287:B4288"/>
    <mergeCell ref="B4372:B4373"/>
    <mergeCell ref="B4266:B4267"/>
    <mergeCell ref="B4342:B4344"/>
    <mergeCell ref="B4326:B4329"/>
    <mergeCell ref="B4253:B4254"/>
    <mergeCell ref="B4256:B4257"/>
    <mergeCell ref="B4359:B4360"/>
    <mergeCell ref="B4505:B4508"/>
    <mergeCell ref="B4273:B4274"/>
    <mergeCell ref="B4310:B4313"/>
    <mergeCell ref="B4318:B4321"/>
    <mergeCell ref="B4776:B4781"/>
    <mergeCell ref="B4754:B4757"/>
    <mergeCell ref="B4761:B4764"/>
    <mergeCell ref="B4798:B4801"/>
    <mergeCell ref="B4770:B4773"/>
    <mergeCell ref="B4323:B4324"/>
    <mergeCell ref="B4733:B4737"/>
    <mergeCell ref="B4738:B4739"/>
    <mergeCell ref="B4730:B4731"/>
    <mergeCell ref="B4619:B4624"/>
    <mergeCell ref="B4627:B4628"/>
    <mergeCell ref="B4610:B4617"/>
    <mergeCell ref="B4587:B4588"/>
    <mergeCell ref="B4593:B4594"/>
    <mergeCell ref="B4595:B4596"/>
    <mergeCell ref="B4564:B4570"/>
    <mergeCell ref="B4374:B4377"/>
    <mergeCell ref="B4537:B4538"/>
    <mergeCell ref="B4720:B4723"/>
    <mergeCell ref="B4724:B4725"/>
    <mergeCell ref="B4525:B4531"/>
    <mergeCell ref="B4584:B4586"/>
    <mergeCell ref="B4555:B4558"/>
    <mergeCell ref="B4561:B4562"/>
    <mergeCell ref="B5521:B5522"/>
    <mergeCell ref="B5424:B5425"/>
    <mergeCell ref="B58:B59"/>
    <mergeCell ref="B2043:B2050"/>
    <mergeCell ref="B1797:B1799"/>
    <mergeCell ref="B1800:B1801"/>
    <mergeCell ref="B4675:B4686"/>
    <mergeCell ref="B5208:B5209"/>
    <mergeCell ref="B5213:B5214"/>
    <mergeCell ref="B5088:B5089"/>
    <mergeCell ref="B5016:B5017"/>
    <mergeCell ref="B5009:B5011"/>
    <mergeCell ref="B4984:B4991"/>
    <mergeCell ref="B4999:B5006"/>
    <mergeCell ref="B4954:B4956"/>
    <mergeCell ref="B4907:B4915"/>
    <mergeCell ref="B4916:B4919"/>
    <mergeCell ref="B4920:B4921"/>
    <mergeCell ref="B4994:B4996"/>
    <mergeCell ref="B4448:B4454"/>
    <mergeCell ref="B4533:B4535"/>
    <mergeCell ref="B4520:B4524"/>
    <mergeCell ref="B5514:B5515"/>
    <mergeCell ref="B4821:B4825"/>
    <mergeCell ref="B4866:B4868"/>
    <mergeCell ref="B4870:B4872"/>
    <mergeCell ref="B3:I3"/>
    <mergeCell ref="B3642:B3643"/>
    <mergeCell ref="B11:B12"/>
    <mergeCell ref="B5064:B5065"/>
    <mergeCell ref="B5069:B5070"/>
    <mergeCell ref="B4837:B4840"/>
    <mergeCell ref="B4843:B4844"/>
    <mergeCell ref="B4857:B4858"/>
    <mergeCell ref="B4950:B4951"/>
    <mergeCell ref="B4980:B4981"/>
    <mergeCell ref="B4809:B4814"/>
    <mergeCell ref="B4817:B4818"/>
    <mergeCell ref="B4748:B4749"/>
    <mergeCell ref="B4647:B4650"/>
    <mergeCell ref="B4651:B4658"/>
    <mergeCell ref="B4631:B4633"/>
    <mergeCell ref="B4634:B4635"/>
    <mergeCell ref="B4639:B4640"/>
    <mergeCell ref="B4784:B4787"/>
    <mergeCell ref="B4660:B4663"/>
    <mergeCell ref="B4575:B4579"/>
    <mergeCell ref="B4790:B4795"/>
    <mergeCell ref="B5076:B5077"/>
    <mergeCell ref="B4664:B4673"/>
    <mergeCell ref="B5516:B5517"/>
    <mergeCell ref="B5037:B5040"/>
    <mergeCell ref="B5053:B5054"/>
    <mergeCell ref="B5046:B5048"/>
    <mergeCell ref="B5056:B5060"/>
    <mergeCell ref="B5050:B5051"/>
    <mergeCell ref="B5252:B5254"/>
    <mergeCell ref="B4877:B4879"/>
    <mergeCell ref="B4880:B4882"/>
    <mergeCell ref="B4904:B4905"/>
    <mergeCell ref="B4925:B4926"/>
    <mergeCell ref="B4931:B4932"/>
    <mergeCell ref="B4884:B4887"/>
    <mergeCell ref="B4891:B4892"/>
    <mergeCell ref="B4896:B4897"/>
    <mergeCell ref="B5019:B5029"/>
    <mergeCell ref="B4973:B4976"/>
    <mergeCell ref="B4935:B4937"/>
    <mergeCell ref="B5249:B5250"/>
    <mergeCell ref="B4947:B4949"/>
    <mergeCell ref="B5499:B5500"/>
    <mergeCell ref="B4863:B4865"/>
  </mergeCells>
  <phoneticPr fontId="20" type="noConversion"/>
  <pageMargins left="0.51181102362204722" right="0.51181102362204722" top="0.51181102362204722" bottom="0.51181102362204722" header="0" footer="0"/>
  <pageSetup paperSize="5" scale="46" fitToHeight="94" orientation="portrait" r:id="rId1"/>
  <headerFooter differentOddEven="1">
    <oddHeader>&amp;RANALISIS DE PRECIOS UNITARIOS CARDER 2019</oddHeader>
    <oddFooter>Página &amp;P&amp;R&amp;A</oddFooter>
  </headerFooter>
  <rowBreaks count="4" manualBreakCount="4">
    <brk id="2209" min="1" max="9" man="1"/>
    <brk id="2286" min="1" max="9" man="1"/>
    <brk id="4989" min="1" max="9" man="1"/>
    <brk id="5129" min="1" max="9" man="1"/>
  </rowBreaks>
  <ignoredErrors>
    <ignoredError sqref="I66 I73:I74 I120 I126 I138 I142 I145 I149 I152 I156 I162 I168 I171 I173 I176 I180 I225 I236 I260 G335:G338 I353 I369:I370 I364 I398 I560 I500 I569 I542 I551 I591 I606:I607 I603 I637:I638 I626:I627 I643 I655:I656 I661:I662 I672:I674 I678 I690 I696 I722:I723 I745:I746 I650:I651 I770:I771 I840:I841 I844:I846 I851 I862:I863 I870:I871 I881:I882 I912:I913 I927 I936 I946 I954:I955 I963:I964 I972:I973 I1009:I1010 I1017:I1018 I1027:I1028 I1037:I1038 I1048:I1049 I1074:I1075 I1068:I1069 I1085 I1098 I1133:I1135 I1154 I1163:I1164 I1215 I1233:I1234 I1255:I1257 I1264:I1265 I1276:I1277 I1288:I1289 I1338:I1339 I1333:I1334 I1346 I1354 I1360 I1375 I1513 I1521 I1529 I1537 I1546 I1554 I1631 I1636 I1648 I1652:I1653 I1659 I1666:I1668 I1683:I1684 I1687:I1688 I1695:I1696 I1699:I1700 I1710 I1729 I1733 I1736 I1739:I1740 I1747 I1753:I1755 I1762:I1763 I1774 I1778 I1786 I1820 I1824:I1825 I1841:I1842 I1852 I1856:I1857 I1878 I1885 I1892 I1899 I1904 I1859 I1986 I1998 I2008 I2068 I2083 I2113 I2127 I2131 I1807 I1816 I2166:I2169 I2256 I2352 I2356 I2361 I2365:I2366 I2370:I2371 I2394:I2395 I2406:I2407 I2413:I2414 I2419:I2420 I2427:I2429 I2436 I2442 I2448 I2454 I2465 I2470:I2471 I2558 I2568 I2587 I2596 I2603:I2604 I2608 I2656 I2681 I2693 I2704:I2705 I2714 I2723:I2724 I2731:I2732 G2790 I2804 I2812:I2813 I2815:I2816 I2823:I2824 I2837 I2844 I2848 I2856 I2860 I2864:I2865 I2869:I2870 I2877 I2905:I2906 I2912 I2917 I2928 I2934 I2941 G2956 G2962 G2974 I2988 G60 I262 I2995 I3002 I3009 I3012 I3018 I3034 I3042 I3050 I3058 I3069:I3070 I3074:I3075 I3079:I3080 I3084:I3085 I3089:I3090 I3094:I3095 G3070 G3075 G3080 G3085 G3090 G3095 I3134:I3137 I3143 I3150:I3153 I3161 I3169:I3170 I3179 I3185 I3205:I3206 I3213:I3214 I3221:I3222 I3227:I3230 I3236 I3245:I3246 I3250 I3253 I3262 I3259 I3271:I3272 I3276:I3277 I3281 I3286 I3290 I3293 I3284 I3299 I3302 I3308 I3311 I3320 I3333 I3347 I3388 I3395 I3402 I3434:I3435 I3458 I3465 I3472 I3486 I3494 I3502 I3507 I3653 I3657 I3661 I3665 I3669 I3729 I3724:I3726 I3741 I3747:I3749 I3754 I3761:I3762 I3766 I3773:I3774 I3778 I3785:I3786 I3790 I3804 I3818 I3836 I3849 I3914 I3925 I3933 I3938 I3943 I3735:I3739 I3752 I3802 I3813:I3814 I3830:I3834 I3844:I3847 I3910:I3911 I3921:I3922 I3958:I3959 I3953:I3956 I3965:I3968 I3971:I3972 I3978 I4037 I4046 I4074 I814 I822 I806:I807 I801 I827 I832:I833 I819:I820 I1168:I1169 I1172:I1174 I1181:I1182 I1185:I1187 I1194:I1195 I1198:I1200 I4088 I4144:I4145 I4150 I4162:I4163 I4167:I4168 I4176 I4209 I4244 I4249 I4277 I4280:I4281 I4292 I4296 I4409 I4411 I358:I359 I442 I448:I450 I234 I387:I389 I380 I411 I611 I600:I601 I620:I622 I631:I632 I687 I669:I670 I782 I795 I790 I717 I752 I876 I918 I929:I930 I923:I924 I1005:I1006 I1022:I1023 I1032:I1033 I1043:I1044 I1054:I1055 I1104 I1230 I1270:I1271 I1282:I1283 I1294:I1295 I1364:I1366 I1382:I1384 I1715:I1717 I314 I4484:I4486 I1743:I1744 I1847:I1850 I1834 I1836:I1838 I2089 I2162 I2679 I2691 I2756 I2762 I2774 I2747 I4071 I4107 I4388:I4389 I4386 I297:I298 I4273 I2027 I2037:I2039 I2051:I2052 I2107:I2109 I2638:I2639 I1433 I1444 I2147 I2151 I3351 I4119:I4121 I4129:I4131 I4457:I4458 I4493 I4500 I4505 I3355 I3359 I3363 I3367 I3371 I2382 I2389 I3378 I3384 I257 I265 I271 I278 I285 I757:I758 I895 I909 I1313 I1373 I2346 I2375 I2827 I4055 I1419 I1424 I471:I472 I478:I479 I1329 I1093 I3202:I3203 I1223:I1226 I1141:I1146 I4528:I4529 I4532:I4534 I4526 I4522 I4524 I4030:I4031 I2493 I2490 I2487 I2526 I2529 I2532 I4204:I4205 I2206:I2207 I1413 I4469:I4470 I2965 I2959 I2947 I2953 I2971 I2977 I2983 I403 I427 I476 I469 I614 I803 I816 I829 I1247:I1250 I1450 I1772 I1782:I1784 I2002 I2771 I2796:I2797 I1111:I1113 I1392:I1394 I1484:I1485 I1495:I1496 I1506:I1507 I2630:I2633 I4156:I4157 I4550 I392:I394 G2283 I4721 I4724:I4726 I4730 I4498 I4491 I4351 I1064 I1121 I1125 I3026 I4561 I4576 I4627 I4738 I4744 I4755 I4762 I4770 I4784 I4786 I4798:I4800 I4780:I4781 I4794 I4817:I4818 I4823 I4830 I4853 I4859:I4860 I2049 I54 I123 I129 I5202 I4384" formula="1"/>
    <ignoredError sqref="C341:E341 C374:E374 D390:D391 D411:D412 D426:E426 D446:D447 D486:E486 C412 C447 C482:E482 C297:D297 C312:D312 C320:D320 C304:D304 C2835:D2835 C2875:D2875 C4118:D4118 C4128:D4128 D4209:D4210 D4271 C4371:D4371 C211:D211 C215:D215 C222:D222 D235:E235 C288:D288 C352:E352 C391 D477 D606 D802 D805 D815 D818 D828:D829 D831 D1074 D2167 D2108 D1294 D1282 D1270 D1169 D4503 D4496 D4489 D4119 C4129:D4129 D4835 D4847 E390 E411 E446 D470 D582 D588 E829 D4422:D4423 D1782:D1783" unlockedFormula="1"/>
  </ignoredError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FFC0A-3E06-4C30-AB48-C6591A8CB1C7}">
  <dimension ref="B2:L83"/>
  <sheetViews>
    <sheetView showGridLines="0" tabSelected="1" topLeftCell="A50" zoomScale="91" zoomScaleNormal="91" workbookViewId="0">
      <selection activeCell="D14" sqref="D14"/>
    </sheetView>
  </sheetViews>
  <sheetFormatPr baseColWidth="10" defaultRowHeight="11.4" x14ac:dyDescent="0.2"/>
  <cols>
    <col min="3" max="3" width="42.375" customWidth="1"/>
    <col min="4" max="4" width="26.125" customWidth="1"/>
    <col min="5" max="5" width="18" customWidth="1"/>
    <col min="6" max="6" width="16.875" customWidth="1"/>
    <col min="7" max="7" width="25.125" customWidth="1"/>
    <col min="8" max="8" width="30.625" customWidth="1"/>
    <col min="10" max="10" width="46.75" customWidth="1"/>
    <col min="11" max="12" width="14.75" bestFit="1" customWidth="1"/>
  </cols>
  <sheetData>
    <row r="2" spans="2:11" ht="12" thickBot="1" x14ac:dyDescent="0.25"/>
    <row r="3" spans="2:11" ht="32.4" customHeight="1" thickTop="1" thickBot="1" x14ac:dyDescent="0.25">
      <c r="B3" s="766" t="s">
        <v>3337</v>
      </c>
      <c r="C3" s="767"/>
      <c r="D3" s="767"/>
      <c r="E3" s="767"/>
      <c r="F3" s="767"/>
      <c r="G3" s="767"/>
      <c r="H3" s="768"/>
    </row>
    <row r="4" spans="2:11" ht="12.6" thickTop="1" thickBot="1" x14ac:dyDescent="0.25">
      <c r="B4" s="769" t="s">
        <v>3329</v>
      </c>
      <c r="C4" s="770"/>
      <c r="D4" s="769" t="s">
        <v>3330</v>
      </c>
      <c r="E4" s="771"/>
      <c r="F4" s="771"/>
      <c r="G4" s="583"/>
      <c r="H4" s="583"/>
    </row>
    <row r="5" spans="2:11" ht="12.6" thickTop="1" thickBot="1" x14ac:dyDescent="0.25">
      <c r="B5" s="584" t="s">
        <v>1407</v>
      </c>
      <c r="C5" s="585" t="s">
        <v>3331</v>
      </c>
      <c r="D5" s="585" t="s">
        <v>2632</v>
      </c>
      <c r="E5" s="585" t="s">
        <v>3332</v>
      </c>
      <c r="F5" s="585" t="s">
        <v>3333</v>
      </c>
      <c r="G5" s="585" t="s">
        <v>3334</v>
      </c>
      <c r="H5" s="585"/>
    </row>
    <row r="6" spans="2:11" ht="12.6" thickTop="1" thickBot="1" x14ac:dyDescent="0.25">
      <c r="B6" s="586"/>
      <c r="C6" s="778" t="s">
        <v>3370</v>
      </c>
      <c r="D6" s="779"/>
      <c r="E6" s="779"/>
      <c r="F6" s="780"/>
      <c r="G6" s="587">
        <f>G7+G8</f>
        <v>61641686.599573217</v>
      </c>
      <c r="H6" s="588"/>
    </row>
    <row r="7" spans="2:11" ht="41.25" customHeight="1" thickTop="1" thickBot="1" x14ac:dyDescent="0.25">
      <c r="B7" s="525" t="s">
        <v>3400</v>
      </c>
      <c r="C7" s="526" t="s">
        <v>3401</v>
      </c>
      <c r="D7" s="534" t="str">
        <f>'ANALISIS UNITARIOS'!E4341</f>
        <v>Ha</v>
      </c>
      <c r="E7" s="527">
        <f>1.3+2</f>
        <v>3.3</v>
      </c>
      <c r="F7" s="603">
        <f>D82+D83</f>
        <v>10865959.7939355</v>
      </c>
      <c r="G7" s="528">
        <f>E7*F7</f>
        <v>35857667.319987148</v>
      </c>
      <c r="H7" s="527"/>
      <c r="J7" s="611"/>
    </row>
    <row r="8" spans="2:11" ht="23.25" customHeight="1" thickTop="1" thickBot="1" x14ac:dyDescent="0.25">
      <c r="B8" s="525" t="str">
        <f>'ANALISIS UNITARIOS'!B4964</f>
        <v>ITE463</v>
      </c>
      <c r="C8" s="526" t="str">
        <f>'ANALISIS UNITARIOS'!D4964</f>
        <v xml:space="preserve">Cerramiento en poste de guadua  3 hilos de alambre de púas con estacon </v>
      </c>
      <c r="D8" s="534" t="str">
        <f>'ANALISIS UNITARIOS'!E4964</f>
        <v>M</v>
      </c>
      <c r="E8" s="605">
        <f>800+591</f>
        <v>1391</v>
      </c>
      <c r="F8" s="528">
        <f>'ANALISIS UNITARIOS'!G4964</f>
        <v>18536.318676913063</v>
      </c>
      <c r="G8" s="528">
        <f>E8*F8</f>
        <v>25784019.279586069</v>
      </c>
      <c r="H8" s="527"/>
    </row>
    <row r="9" spans="2:11" ht="34.5" customHeight="1" thickTop="1" thickBot="1" x14ac:dyDescent="0.25">
      <c r="B9" s="592"/>
      <c r="C9" s="775" t="s">
        <v>3338</v>
      </c>
      <c r="D9" s="776"/>
      <c r="E9" s="776"/>
      <c r="F9" s="777"/>
      <c r="G9" s="593">
        <f>G10</f>
        <v>32597879.3818065</v>
      </c>
      <c r="H9" s="594"/>
      <c r="J9" s="611"/>
    </row>
    <row r="10" spans="2:11" ht="23.25" customHeight="1" thickBot="1" x14ac:dyDescent="0.25">
      <c r="B10" s="595" t="s">
        <v>3400</v>
      </c>
      <c r="C10" s="604" t="s">
        <v>3401</v>
      </c>
      <c r="D10" s="596" t="s">
        <v>1603</v>
      </c>
      <c r="E10" s="597">
        <v>3</v>
      </c>
      <c r="F10" s="610">
        <f>F7</f>
        <v>10865959.7939355</v>
      </c>
      <c r="G10" s="598">
        <f>E10*F10</f>
        <v>32597879.3818065</v>
      </c>
      <c r="H10" s="599"/>
      <c r="J10" s="535"/>
    </row>
    <row r="11" spans="2:11" ht="23.25" customHeight="1" thickBot="1" x14ac:dyDescent="0.25">
      <c r="F11" s="523" t="s">
        <v>3335</v>
      </c>
      <c r="G11" s="524"/>
      <c r="H11" s="531">
        <f>SUM(G6+G9)</f>
        <v>94239565.981379718</v>
      </c>
    </row>
    <row r="12" spans="2:11" ht="12.6" thickTop="1" thickBot="1" x14ac:dyDescent="0.25">
      <c r="B12" s="530"/>
      <c r="C12" s="529"/>
      <c r="D12" s="530"/>
      <c r="E12" s="530"/>
      <c r="F12" s="532" t="s">
        <v>3392</v>
      </c>
      <c r="G12" s="533">
        <f>H12/H11</f>
        <v>0.57124722965804153</v>
      </c>
      <c r="H12" s="531">
        <f>AU!I48</f>
        <v>53834090.99103938</v>
      </c>
    </row>
    <row r="13" spans="2:11" ht="12.6" thickTop="1" thickBot="1" x14ac:dyDescent="0.25">
      <c r="B13" s="530"/>
      <c r="C13" s="529"/>
      <c r="D13" s="530"/>
      <c r="E13" s="530"/>
      <c r="F13" s="772" t="s">
        <v>3336</v>
      </c>
      <c r="G13" s="773"/>
      <c r="H13" s="531">
        <f>SUM(H11:H12)</f>
        <v>148073656.97241908</v>
      </c>
    </row>
    <row r="14" spans="2:11" ht="12" thickTop="1" x14ac:dyDescent="0.2">
      <c r="B14" s="530"/>
      <c r="C14" s="529"/>
      <c r="D14" s="530"/>
      <c r="E14" s="530"/>
    </row>
    <row r="16" spans="2:11" x14ac:dyDescent="0.2">
      <c r="K16" s="535"/>
    </row>
    <row r="19" spans="3:12" ht="12" x14ac:dyDescent="0.2">
      <c r="C19" s="46" t="s">
        <v>3394</v>
      </c>
    </row>
    <row r="21" spans="3:12" ht="12" x14ac:dyDescent="0.2">
      <c r="F21" s="774"/>
      <c r="G21" s="774"/>
      <c r="H21" s="774"/>
      <c r="K21" t="s">
        <v>3404</v>
      </c>
    </row>
    <row r="22" spans="3:12" x14ac:dyDescent="0.2">
      <c r="H22" s="535"/>
      <c r="J22" s="535"/>
    </row>
    <row r="23" spans="3:12" x14ac:dyDescent="0.2">
      <c r="H23" s="536"/>
      <c r="J23" s="535"/>
    </row>
    <row r="24" spans="3:12" x14ac:dyDescent="0.2">
      <c r="H24" s="536"/>
      <c r="J24" s="535"/>
    </row>
    <row r="25" spans="3:12" x14ac:dyDescent="0.2">
      <c r="J25" s="535"/>
      <c r="L25" s="535"/>
    </row>
    <row r="28" spans="3:12" x14ac:dyDescent="0.2">
      <c r="J28" s="535"/>
    </row>
    <row r="30" spans="3:12" x14ac:dyDescent="0.2">
      <c r="H30" s="537"/>
      <c r="J30" s="576"/>
    </row>
    <row r="32" spans="3:12" ht="12" x14ac:dyDescent="0.2">
      <c r="H32" s="538"/>
    </row>
    <row r="47" spans="3:9" ht="93" customHeight="1" x14ac:dyDescent="0.2">
      <c r="C47" s="765" t="s">
        <v>3395</v>
      </c>
      <c r="D47" s="765"/>
      <c r="E47" s="765"/>
      <c r="F47" s="765"/>
      <c r="G47" s="765"/>
      <c r="H47" s="765"/>
      <c r="I47" s="765"/>
    </row>
    <row r="76" spans="3:5" x14ac:dyDescent="0.2">
      <c r="C76" t="s">
        <v>3398</v>
      </c>
      <c r="D76" s="537">
        <v>9724625</v>
      </c>
    </row>
    <row r="77" spans="3:5" x14ac:dyDescent="0.2">
      <c r="C77" t="s">
        <v>3397</v>
      </c>
      <c r="D77" s="537">
        <v>5586333</v>
      </c>
      <c r="E77" s="600">
        <f>D77/D76</f>
        <v>0.5744522796508863</v>
      </c>
    </row>
    <row r="78" spans="3:5" x14ac:dyDescent="0.2">
      <c r="C78" t="s">
        <v>3396</v>
      </c>
      <c r="D78" s="537">
        <v>2174767</v>
      </c>
      <c r="E78" s="600">
        <f>D78/D76</f>
        <v>0.22363505019473759</v>
      </c>
    </row>
    <row r="80" spans="3:5" ht="12" x14ac:dyDescent="0.2">
      <c r="C80" s="46" t="s">
        <v>3399</v>
      </c>
    </row>
    <row r="81" spans="3:5" x14ac:dyDescent="0.2">
      <c r="C81" t="s">
        <v>3398</v>
      </c>
      <c r="D81" s="536">
        <f>'ANALISIS UNITARIOS'!G4341</f>
        <v>13615001</v>
      </c>
    </row>
    <row r="82" spans="3:5" x14ac:dyDescent="0.2">
      <c r="C82" t="s">
        <v>3397</v>
      </c>
      <c r="D82" s="602">
        <f>D81*E82</f>
        <v>7821168.3618990965</v>
      </c>
      <c r="E82" s="601">
        <f>E77</f>
        <v>0.5744522796508863</v>
      </c>
    </row>
    <row r="83" spans="3:5" x14ac:dyDescent="0.2">
      <c r="C83" t="s">
        <v>3396</v>
      </c>
      <c r="D83" s="537">
        <f>D81*E83</f>
        <v>3044791.4320364026</v>
      </c>
      <c r="E83" s="601">
        <f>E78</f>
        <v>0.22363505019473759</v>
      </c>
    </row>
  </sheetData>
  <mergeCells count="8">
    <mergeCell ref="C47:I47"/>
    <mergeCell ref="B3:H3"/>
    <mergeCell ref="B4:C4"/>
    <mergeCell ref="D4:F4"/>
    <mergeCell ref="F13:G13"/>
    <mergeCell ref="F21:H21"/>
    <mergeCell ref="C9:F9"/>
    <mergeCell ref="C6:F6"/>
  </mergeCell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29C0E-E4E8-469C-BCE2-91E24181F3DD}">
  <dimension ref="B5:I49"/>
  <sheetViews>
    <sheetView topLeftCell="A12" zoomScale="89" zoomScaleNormal="89" workbookViewId="0">
      <selection activeCell="M29" sqref="M29"/>
    </sheetView>
  </sheetViews>
  <sheetFormatPr baseColWidth="10" defaultRowHeight="11.4" x14ac:dyDescent="0.2"/>
  <cols>
    <col min="4" max="4" width="17.375" customWidth="1"/>
    <col min="6" max="6" width="25.875" bestFit="1" customWidth="1"/>
    <col min="8" max="8" width="15.625" customWidth="1"/>
    <col min="9" max="9" width="21.25" customWidth="1"/>
  </cols>
  <sheetData>
    <row r="5" spans="2:9" x14ac:dyDescent="0.2">
      <c r="B5" s="784"/>
      <c r="C5" s="785"/>
      <c r="D5" s="786"/>
      <c r="E5" s="787" t="s">
        <v>3369</v>
      </c>
      <c r="F5" s="788"/>
      <c r="G5" s="788"/>
      <c r="H5" s="788"/>
      <c r="I5" s="789"/>
    </row>
    <row r="6" spans="2:9" x14ac:dyDescent="0.2">
      <c r="B6" s="784"/>
      <c r="C6" s="785"/>
      <c r="D6" s="786"/>
      <c r="E6" s="790"/>
      <c r="F6" s="791"/>
      <c r="G6" s="791"/>
      <c r="H6" s="791"/>
      <c r="I6" s="792"/>
    </row>
    <row r="7" spans="2:9" x14ac:dyDescent="0.2">
      <c r="B7" s="784"/>
      <c r="C7" s="785"/>
      <c r="D7" s="786"/>
      <c r="E7" s="790"/>
      <c r="F7" s="791"/>
      <c r="G7" s="791"/>
      <c r="H7" s="791"/>
      <c r="I7" s="792"/>
    </row>
    <row r="8" spans="2:9" x14ac:dyDescent="0.2">
      <c r="B8" s="784"/>
      <c r="C8" s="785"/>
      <c r="D8" s="786"/>
      <c r="E8" s="790"/>
      <c r="F8" s="791"/>
      <c r="G8" s="791"/>
      <c r="H8" s="791"/>
      <c r="I8" s="792"/>
    </row>
    <row r="9" spans="2:9" x14ac:dyDescent="0.2">
      <c r="B9" s="784"/>
      <c r="C9" s="785"/>
      <c r="D9" s="786"/>
      <c r="E9" s="793"/>
      <c r="F9" s="794"/>
      <c r="G9" s="794"/>
      <c r="H9" s="794"/>
      <c r="I9" s="795"/>
    </row>
    <row r="10" spans="2:9" x14ac:dyDescent="0.2">
      <c r="B10" s="784"/>
      <c r="C10" s="785"/>
      <c r="D10" s="786"/>
      <c r="E10" s="787" t="s">
        <v>3389</v>
      </c>
      <c r="F10" s="788"/>
      <c r="G10" s="788"/>
      <c r="H10" s="788"/>
      <c r="I10" s="789"/>
    </row>
    <row r="11" spans="2:9" x14ac:dyDescent="0.2">
      <c r="B11" s="784"/>
      <c r="C11" s="785"/>
      <c r="D11" s="786"/>
      <c r="E11" s="793"/>
      <c r="F11" s="794"/>
      <c r="G11" s="794"/>
      <c r="H11" s="794"/>
      <c r="I11" s="795"/>
    </row>
    <row r="12" spans="2:9" ht="17.399999999999999" x14ac:dyDescent="0.3">
      <c r="B12" s="796" t="s">
        <v>3339</v>
      </c>
      <c r="C12" s="797"/>
      <c r="D12" s="797"/>
      <c r="E12" s="797"/>
      <c r="F12" s="797"/>
      <c r="G12" s="797"/>
      <c r="H12" s="797"/>
      <c r="I12" s="798"/>
    </row>
    <row r="13" spans="2:9" ht="13.8" x14ac:dyDescent="0.25">
      <c r="B13" s="539" t="s">
        <v>3340</v>
      </c>
      <c r="C13" s="540"/>
      <c r="D13" s="541">
        <f>'PRESUPUESTO '!H11</f>
        <v>94239565.981379718</v>
      </c>
      <c r="E13" s="542"/>
      <c r="F13" s="543" t="s">
        <v>3341</v>
      </c>
      <c r="G13" s="544"/>
      <c r="H13" s="799" t="s">
        <v>3342</v>
      </c>
      <c r="I13" s="800"/>
    </row>
    <row r="14" spans="2:9" ht="13.8" x14ac:dyDescent="0.25">
      <c r="B14" s="545" t="s">
        <v>1407</v>
      </c>
      <c r="C14" s="799" t="s">
        <v>3390</v>
      </c>
      <c r="D14" s="800"/>
      <c r="E14" s="546" t="s">
        <v>3343</v>
      </c>
      <c r="F14" s="547" t="s">
        <v>3344</v>
      </c>
      <c r="G14" s="548" t="s">
        <v>1013</v>
      </c>
      <c r="H14" s="546" t="s">
        <v>3345</v>
      </c>
      <c r="I14" s="549" t="s">
        <v>3346</v>
      </c>
    </row>
    <row r="15" spans="2:9" ht="17.399999999999999" x14ac:dyDescent="0.3">
      <c r="B15" s="550"/>
      <c r="C15" s="801" t="s">
        <v>3347</v>
      </c>
      <c r="D15" s="802"/>
      <c r="E15" s="802"/>
      <c r="F15" s="802"/>
      <c r="G15" s="802"/>
      <c r="H15" s="802"/>
      <c r="I15" s="803"/>
    </row>
    <row r="16" spans="2:9" ht="13.8" x14ac:dyDescent="0.25">
      <c r="B16" s="542">
        <v>1</v>
      </c>
      <c r="C16" s="804" t="s">
        <v>3348</v>
      </c>
      <c r="D16" s="805"/>
      <c r="E16" s="805"/>
      <c r="F16" s="805"/>
      <c r="G16" s="805"/>
      <c r="H16" s="805"/>
      <c r="I16" s="806"/>
    </row>
    <row r="17" spans="2:9" ht="42" customHeight="1" x14ac:dyDescent="0.2">
      <c r="B17" s="551">
        <v>1.01</v>
      </c>
      <c r="C17" s="807"/>
      <c r="D17" s="808"/>
      <c r="E17" s="551"/>
      <c r="F17" s="552"/>
      <c r="G17" s="553"/>
      <c r="H17" s="554"/>
      <c r="I17" s="555">
        <f>+F17*G17*H17</f>
        <v>0</v>
      </c>
    </row>
    <row r="18" spans="2:9" ht="13.8" x14ac:dyDescent="0.2">
      <c r="B18" s="551">
        <v>1.02</v>
      </c>
      <c r="C18" s="807"/>
      <c r="D18" s="808"/>
      <c r="E18" s="551"/>
      <c r="F18" s="552"/>
      <c r="G18" s="553"/>
      <c r="H18" s="554"/>
      <c r="I18" s="555">
        <f>+F18*G18*H18</f>
        <v>0</v>
      </c>
    </row>
    <row r="19" spans="2:9" ht="13.8" x14ac:dyDescent="0.25">
      <c r="B19" s="542"/>
      <c r="C19" s="809" t="s">
        <v>3349</v>
      </c>
      <c r="D19" s="810"/>
      <c r="E19" s="810"/>
      <c r="F19" s="810"/>
      <c r="G19" s="810"/>
      <c r="H19" s="811"/>
      <c r="I19" s="555">
        <f>SUM(I17:I18)</f>
        <v>0</v>
      </c>
    </row>
    <row r="20" spans="2:9" ht="13.8" x14ac:dyDescent="0.25">
      <c r="B20" s="542"/>
      <c r="C20" s="781" t="s">
        <v>3350</v>
      </c>
      <c r="D20" s="782"/>
      <c r="E20" s="782"/>
      <c r="F20" s="782"/>
      <c r="G20" s="783"/>
      <c r="H20" s="556">
        <v>0.60410000000000008</v>
      </c>
      <c r="I20" s="555">
        <f>+I19*H20</f>
        <v>0</v>
      </c>
    </row>
    <row r="21" spans="2:9" ht="15" x14ac:dyDescent="0.25">
      <c r="B21" s="542"/>
      <c r="C21" s="781" t="s">
        <v>3351</v>
      </c>
      <c r="D21" s="782"/>
      <c r="E21" s="782"/>
      <c r="F21" s="782"/>
      <c r="G21" s="783"/>
      <c r="H21" s="557">
        <f>+I21/$D$13</f>
        <v>0</v>
      </c>
      <c r="I21" s="558">
        <f>+I20+I19</f>
        <v>0</v>
      </c>
    </row>
    <row r="22" spans="2:9" ht="13.8" x14ac:dyDescent="0.25">
      <c r="B22" s="542">
        <v>2</v>
      </c>
      <c r="C22" s="804" t="s">
        <v>3391</v>
      </c>
      <c r="D22" s="805"/>
      <c r="E22" s="805"/>
      <c r="F22" s="805"/>
      <c r="G22" s="805"/>
      <c r="H22" s="805"/>
      <c r="I22" s="806"/>
    </row>
    <row r="23" spans="2:9" ht="13.5" customHeight="1" x14ac:dyDescent="0.2">
      <c r="B23" s="551">
        <v>2.0099999999999998</v>
      </c>
      <c r="C23" s="807" t="s">
        <v>3384</v>
      </c>
      <c r="D23" s="808"/>
      <c r="E23" s="551" t="s">
        <v>2935</v>
      </c>
      <c r="F23" s="552">
        <v>5000000</v>
      </c>
      <c r="G23" s="553">
        <v>7</v>
      </c>
      <c r="H23" s="554">
        <v>0.4</v>
      </c>
      <c r="I23" s="555">
        <f t="shared" ref="I23:I24" si="0">+F23*G23*H23</f>
        <v>14000000</v>
      </c>
    </row>
    <row r="24" spans="2:9" ht="36" customHeight="1" x14ac:dyDescent="0.2">
      <c r="B24" s="551">
        <v>2.02</v>
      </c>
      <c r="C24" s="807" t="s">
        <v>3385</v>
      </c>
      <c r="D24" s="808"/>
      <c r="E24" s="551" t="s">
        <v>2935</v>
      </c>
      <c r="F24" s="552">
        <v>2800000</v>
      </c>
      <c r="G24" s="553">
        <v>4</v>
      </c>
      <c r="H24" s="554">
        <v>0.8</v>
      </c>
      <c r="I24" s="555">
        <f t="shared" si="0"/>
        <v>8960000</v>
      </c>
    </row>
    <row r="25" spans="2:9" ht="13.8" x14ac:dyDescent="0.25">
      <c r="B25" s="542"/>
      <c r="C25" s="809" t="s">
        <v>3349</v>
      </c>
      <c r="D25" s="810"/>
      <c r="E25" s="810"/>
      <c r="F25" s="810"/>
      <c r="G25" s="810"/>
      <c r="H25" s="811"/>
      <c r="I25" s="555">
        <f>SUM(I23:I24)</f>
        <v>22960000</v>
      </c>
    </row>
    <row r="26" spans="2:9" ht="15" x14ac:dyDescent="0.25">
      <c r="B26" s="542"/>
      <c r="C26" s="781" t="s">
        <v>3351</v>
      </c>
      <c r="D26" s="782"/>
      <c r="E26" s="782"/>
      <c r="F26" s="782"/>
      <c r="G26" s="783"/>
      <c r="H26" s="557">
        <f>+I26/$D$13</f>
        <v>0.24363439878889659</v>
      </c>
      <c r="I26" s="558">
        <f>SUM(I25)</f>
        <v>22960000</v>
      </c>
    </row>
    <row r="27" spans="2:9" ht="13.8" x14ac:dyDescent="0.2">
      <c r="B27" s="812"/>
      <c r="C27" s="813"/>
      <c r="D27" s="813"/>
      <c r="E27" s="813"/>
      <c r="F27" s="813"/>
      <c r="G27" s="813"/>
      <c r="H27" s="813"/>
      <c r="I27" s="814"/>
    </row>
    <row r="28" spans="2:9" ht="13.8" x14ac:dyDescent="0.25">
      <c r="B28" s="542">
        <v>3</v>
      </c>
      <c r="C28" s="804" t="s">
        <v>3352</v>
      </c>
      <c r="D28" s="805"/>
      <c r="E28" s="805"/>
      <c r="F28" s="805"/>
      <c r="G28" s="805"/>
      <c r="H28" s="805"/>
      <c r="I28" s="805"/>
    </row>
    <row r="29" spans="2:9" ht="44.1" customHeight="1" x14ac:dyDescent="0.2">
      <c r="B29" s="551">
        <v>3.01</v>
      </c>
      <c r="C29" s="815" t="s">
        <v>3353</v>
      </c>
      <c r="D29" s="816" t="s">
        <v>3353</v>
      </c>
      <c r="E29" s="551" t="s">
        <v>2935</v>
      </c>
      <c r="F29" s="552">
        <v>3400000</v>
      </c>
      <c r="G29" s="553">
        <v>7</v>
      </c>
      <c r="H29" s="554">
        <v>0.2</v>
      </c>
      <c r="I29" s="555">
        <f t="shared" ref="I29:I30" si="1">+F29*G29*H29</f>
        <v>4760000</v>
      </c>
    </row>
    <row r="30" spans="2:9" ht="13.5" customHeight="1" x14ac:dyDescent="0.2">
      <c r="B30" s="551">
        <v>3.02</v>
      </c>
      <c r="C30" s="815" t="s">
        <v>3386</v>
      </c>
      <c r="D30" s="816"/>
      <c r="E30" s="551" t="s">
        <v>2935</v>
      </c>
      <c r="F30" s="552">
        <v>3400000</v>
      </c>
      <c r="G30" s="553">
        <v>4</v>
      </c>
      <c r="H30" s="554">
        <v>0.8</v>
      </c>
      <c r="I30" s="555">
        <f t="shared" si="1"/>
        <v>10880000</v>
      </c>
    </row>
    <row r="31" spans="2:9" ht="15" x14ac:dyDescent="0.25">
      <c r="B31" s="542"/>
      <c r="C31" s="781" t="s">
        <v>3351</v>
      </c>
      <c r="D31" s="782"/>
      <c r="E31" s="782"/>
      <c r="F31" s="782"/>
      <c r="G31" s="783"/>
      <c r="H31" s="557">
        <f>+I31/$D$13</f>
        <v>0.16596001729348184</v>
      </c>
      <c r="I31" s="558">
        <f>SUM(I29:I30)</f>
        <v>15640000</v>
      </c>
    </row>
    <row r="32" spans="2:9" ht="13.8" x14ac:dyDescent="0.2">
      <c r="B32" s="812"/>
      <c r="C32" s="813"/>
      <c r="D32" s="813"/>
      <c r="E32" s="813"/>
      <c r="F32" s="813"/>
      <c r="G32" s="813"/>
      <c r="H32" s="813"/>
      <c r="I32" s="814"/>
    </row>
    <row r="33" spans="2:9" ht="13.8" x14ac:dyDescent="0.25">
      <c r="B33" s="542">
        <v>4</v>
      </c>
      <c r="C33" s="781" t="s">
        <v>3354</v>
      </c>
      <c r="D33" s="782"/>
      <c r="E33" s="782"/>
      <c r="F33" s="782"/>
      <c r="G33" s="782"/>
      <c r="H33" s="782"/>
      <c r="I33" s="783"/>
    </row>
    <row r="34" spans="2:9" ht="13.8" x14ac:dyDescent="0.25">
      <c r="B34" s="559">
        <v>4.0199999999999996</v>
      </c>
      <c r="C34" s="815" t="s">
        <v>3387</v>
      </c>
      <c r="D34" s="816"/>
      <c r="E34" s="551" t="s">
        <v>3388</v>
      </c>
      <c r="F34" s="552">
        <v>250000</v>
      </c>
      <c r="G34" s="553">
        <v>1</v>
      </c>
      <c r="H34" s="554" t="s">
        <v>3355</v>
      </c>
      <c r="I34" s="560">
        <f>+F34*G34</f>
        <v>250000</v>
      </c>
    </row>
    <row r="35" spans="2:9" ht="15" x14ac:dyDescent="0.25">
      <c r="B35" s="559"/>
      <c r="C35" s="781" t="s">
        <v>3356</v>
      </c>
      <c r="D35" s="782"/>
      <c r="E35" s="783"/>
      <c r="F35" s="561"/>
      <c r="G35" s="562"/>
      <c r="H35" s="557">
        <f>+I35/$D$13</f>
        <v>2.6528135756630727E-3</v>
      </c>
      <c r="I35" s="558">
        <f>SUM(I34:I34)</f>
        <v>250000</v>
      </c>
    </row>
    <row r="36" spans="2:9" ht="13.8" x14ac:dyDescent="0.2">
      <c r="B36" s="812"/>
      <c r="C36" s="813"/>
      <c r="D36" s="813"/>
      <c r="E36" s="813"/>
      <c r="F36" s="813"/>
      <c r="G36" s="813"/>
      <c r="H36" s="813"/>
      <c r="I36" s="814"/>
    </row>
    <row r="37" spans="2:9" ht="13.8" x14ac:dyDescent="0.25">
      <c r="B37" s="542">
        <v>4</v>
      </c>
      <c r="C37" s="781" t="s">
        <v>3357</v>
      </c>
      <c r="D37" s="782"/>
      <c r="E37" s="782"/>
      <c r="F37" s="782"/>
      <c r="G37" s="782"/>
      <c r="H37" s="782"/>
      <c r="I37" s="783"/>
    </row>
    <row r="38" spans="2:9" ht="26.1" customHeight="1" x14ac:dyDescent="0.2">
      <c r="B38" s="589">
        <v>4.0119999999999996</v>
      </c>
      <c r="C38" s="819" t="s">
        <v>3358</v>
      </c>
      <c r="D38" s="820"/>
      <c r="E38" s="551" t="s">
        <v>3359</v>
      </c>
      <c r="F38" s="590">
        <v>0.01</v>
      </c>
      <c r="G38" s="817">
        <f>D13*0.01</f>
        <v>942395.65981379722</v>
      </c>
      <c r="H38" s="818"/>
      <c r="I38" s="591">
        <f t="shared" ref="I38:I43" si="2">G38</f>
        <v>942395.65981379722</v>
      </c>
    </row>
    <row r="39" spans="2:9" ht="26.1" customHeight="1" x14ac:dyDescent="0.2">
      <c r="B39" s="589">
        <v>4.0199999999999996</v>
      </c>
      <c r="C39" s="815" t="s">
        <v>3360</v>
      </c>
      <c r="D39" s="816"/>
      <c r="E39" s="551" t="s">
        <v>3359</v>
      </c>
      <c r="F39" s="590">
        <v>0.02</v>
      </c>
      <c r="G39" s="817">
        <f>D13*0.02</f>
        <v>1884791.3196275944</v>
      </c>
      <c r="H39" s="818"/>
      <c r="I39" s="591">
        <f t="shared" si="2"/>
        <v>1884791.3196275944</v>
      </c>
    </row>
    <row r="40" spans="2:9" ht="26.1" customHeight="1" x14ac:dyDescent="0.2">
      <c r="B40" s="589">
        <v>4.03</v>
      </c>
      <c r="C40" s="815" t="s">
        <v>3361</v>
      </c>
      <c r="D40" s="816"/>
      <c r="E40" s="551" t="s">
        <v>3359</v>
      </c>
      <c r="F40" s="590">
        <v>7.0000000000000001E-3</v>
      </c>
      <c r="G40" s="817">
        <f>D13*0.007</f>
        <v>659676.96186965809</v>
      </c>
      <c r="H40" s="818"/>
      <c r="I40" s="591">
        <f t="shared" si="2"/>
        <v>659676.96186965809</v>
      </c>
    </row>
    <row r="41" spans="2:9" ht="26.1" customHeight="1" x14ac:dyDescent="0.2">
      <c r="B41" s="589">
        <v>4.04</v>
      </c>
      <c r="C41" s="815" t="s">
        <v>3362</v>
      </c>
      <c r="D41" s="816"/>
      <c r="E41" s="551" t="s">
        <v>3359</v>
      </c>
      <c r="F41" s="590">
        <v>0.05</v>
      </c>
      <c r="G41" s="817">
        <f>D13*0.05</f>
        <v>4711978.2990689864</v>
      </c>
      <c r="H41" s="818"/>
      <c r="I41" s="591">
        <f t="shared" si="2"/>
        <v>4711978.2990689864</v>
      </c>
    </row>
    <row r="42" spans="2:9" ht="26.1" customHeight="1" x14ac:dyDescent="0.2">
      <c r="B42" s="589">
        <v>4.05</v>
      </c>
      <c r="C42" s="815" t="s">
        <v>3363</v>
      </c>
      <c r="D42" s="816"/>
      <c r="E42" s="551" t="s">
        <v>3359</v>
      </c>
      <c r="F42" s="590">
        <v>1.4999999999999999E-2</v>
      </c>
      <c r="G42" s="817">
        <f>D13*0.015</f>
        <v>1413593.4897206957</v>
      </c>
      <c r="H42" s="818"/>
      <c r="I42" s="591">
        <f t="shared" si="2"/>
        <v>1413593.4897206957</v>
      </c>
    </row>
    <row r="43" spans="2:9" ht="26.1" customHeight="1" x14ac:dyDescent="0.2">
      <c r="B43" s="589">
        <v>4.0599999999999996</v>
      </c>
      <c r="C43" s="815" t="s">
        <v>3364</v>
      </c>
      <c r="D43" s="816"/>
      <c r="E43" s="551" t="s">
        <v>3359</v>
      </c>
      <c r="F43" s="590">
        <v>7.0000000000000001E-3</v>
      </c>
      <c r="G43" s="817">
        <f>D13*0.007</f>
        <v>659676.96186965809</v>
      </c>
      <c r="H43" s="818"/>
      <c r="I43" s="591">
        <f t="shared" si="2"/>
        <v>659676.96186965809</v>
      </c>
    </row>
    <row r="44" spans="2:9" ht="15" x14ac:dyDescent="0.25">
      <c r="B44" s="559"/>
      <c r="C44" s="781" t="s">
        <v>3365</v>
      </c>
      <c r="D44" s="782"/>
      <c r="E44" s="783"/>
      <c r="F44" s="563"/>
      <c r="G44" s="821">
        <f>I44/D13</f>
        <v>0.10900000000000003</v>
      </c>
      <c r="H44" s="822"/>
      <c r="I44" s="558">
        <f>SUM(I38:I43)</f>
        <v>10272112.691970391</v>
      </c>
    </row>
    <row r="45" spans="2:9" ht="13.8" x14ac:dyDescent="0.25">
      <c r="B45" s="564"/>
      <c r="C45" s="565"/>
      <c r="D45" s="565"/>
      <c r="E45" s="582"/>
      <c r="F45" s="566"/>
      <c r="G45" s="567"/>
      <c r="H45" s="568"/>
      <c r="I45" s="569"/>
    </row>
    <row r="46" spans="2:9" ht="13.8" x14ac:dyDescent="0.25">
      <c r="B46" s="823" t="s">
        <v>3366</v>
      </c>
      <c r="C46" s="824"/>
      <c r="D46" s="824"/>
      <c r="E46" s="824"/>
      <c r="F46" s="825"/>
      <c r="G46" s="570"/>
      <c r="H46" s="571">
        <f>G44+H35+H31+H26+H21</f>
        <v>0.52124722965804149</v>
      </c>
      <c r="I46" s="572">
        <f>I31+I35+I44+I26</f>
        <v>49122112.691970393</v>
      </c>
    </row>
    <row r="47" spans="2:9" ht="13.8" x14ac:dyDescent="0.25">
      <c r="B47" s="823" t="s">
        <v>3367</v>
      </c>
      <c r="C47" s="824"/>
      <c r="D47" s="824"/>
      <c r="E47" s="824"/>
      <c r="F47" s="825"/>
      <c r="G47" s="570"/>
      <c r="H47" s="571">
        <v>0.05</v>
      </c>
      <c r="I47" s="572">
        <f>+D13*H47</f>
        <v>4711978.2990689864</v>
      </c>
    </row>
    <row r="48" spans="2:9" ht="15" x14ac:dyDescent="0.25">
      <c r="B48" s="823" t="s">
        <v>3368</v>
      </c>
      <c r="C48" s="824"/>
      <c r="D48" s="824"/>
      <c r="E48" s="824"/>
      <c r="F48" s="825"/>
      <c r="G48" s="573"/>
      <c r="H48" s="571">
        <f>+H46+H47</f>
        <v>0.57124722965804153</v>
      </c>
      <c r="I48" s="574">
        <f>SUM(I46:I47)</f>
        <v>53834090.99103938</v>
      </c>
    </row>
    <row r="49" spans="2:9" ht="13.2" x14ac:dyDescent="0.3">
      <c r="B49" s="575"/>
      <c r="C49" s="575"/>
      <c r="D49" s="575"/>
      <c r="E49" s="575"/>
      <c r="F49" s="575"/>
      <c r="G49" s="575"/>
      <c r="H49" s="575"/>
      <c r="I49" s="575"/>
    </row>
  </sheetData>
  <mergeCells count="46">
    <mergeCell ref="C43:D43"/>
    <mergeCell ref="G43:H43"/>
    <mergeCell ref="G44:H44"/>
    <mergeCell ref="C44:E44"/>
    <mergeCell ref="B48:F48"/>
    <mergeCell ref="B46:F46"/>
    <mergeCell ref="B47:F47"/>
    <mergeCell ref="C42:D42"/>
    <mergeCell ref="G42:H42"/>
    <mergeCell ref="C33:I33"/>
    <mergeCell ref="C34:D34"/>
    <mergeCell ref="C35:E35"/>
    <mergeCell ref="B36:I36"/>
    <mergeCell ref="C37:I37"/>
    <mergeCell ref="C38:D38"/>
    <mergeCell ref="G38:H38"/>
    <mergeCell ref="C39:D39"/>
    <mergeCell ref="G39:H39"/>
    <mergeCell ref="C40:D40"/>
    <mergeCell ref="G40:H40"/>
    <mergeCell ref="C41:D41"/>
    <mergeCell ref="G41:H41"/>
    <mergeCell ref="B32:I32"/>
    <mergeCell ref="C21:G21"/>
    <mergeCell ref="C22:I22"/>
    <mergeCell ref="C23:D23"/>
    <mergeCell ref="C24:D24"/>
    <mergeCell ref="C25:H25"/>
    <mergeCell ref="C29:D29"/>
    <mergeCell ref="C26:G26"/>
    <mergeCell ref="B27:I27"/>
    <mergeCell ref="C28:I28"/>
    <mergeCell ref="C30:D30"/>
    <mergeCell ref="C31:G31"/>
    <mergeCell ref="C20:G20"/>
    <mergeCell ref="B5:D11"/>
    <mergeCell ref="E5:I9"/>
    <mergeCell ref="E10:I11"/>
    <mergeCell ref="B12:I12"/>
    <mergeCell ref="H13:I13"/>
    <mergeCell ref="C14:D14"/>
    <mergeCell ref="C15:I15"/>
    <mergeCell ref="C16:I16"/>
    <mergeCell ref="C17:D17"/>
    <mergeCell ref="C18:D18"/>
    <mergeCell ref="C19:H1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91132-7937-4AF1-B45D-BEA29E3F2785}">
  <dimension ref="C5:J14"/>
  <sheetViews>
    <sheetView showGridLines="0" workbookViewId="0">
      <selection activeCell="C13" sqref="C13"/>
    </sheetView>
  </sheetViews>
  <sheetFormatPr baseColWidth="10" defaultRowHeight="11.4" x14ac:dyDescent="0.2"/>
  <cols>
    <col min="3" max="3" width="67.75" customWidth="1"/>
  </cols>
  <sheetData>
    <row r="5" spans="3:10" ht="13.8" x14ac:dyDescent="0.2">
      <c r="C5" s="577"/>
      <c r="D5" s="577"/>
      <c r="E5" s="577"/>
      <c r="F5" s="577"/>
      <c r="G5" s="577"/>
      <c r="H5" s="577"/>
      <c r="I5" s="577"/>
      <c r="J5" s="577"/>
    </row>
    <row r="6" spans="3:10" ht="13.8" x14ac:dyDescent="0.2">
      <c r="C6" s="578" t="s">
        <v>3371</v>
      </c>
      <c r="D6" s="578" t="s">
        <v>3372</v>
      </c>
      <c r="E6" s="578" t="s">
        <v>3373</v>
      </c>
      <c r="F6" s="578" t="s">
        <v>3374</v>
      </c>
      <c r="G6" s="578" t="s">
        <v>3375</v>
      </c>
      <c r="H6" s="578" t="s">
        <v>3376</v>
      </c>
      <c r="I6" s="578" t="s">
        <v>3377</v>
      </c>
      <c r="J6" s="578" t="s">
        <v>3378</v>
      </c>
    </row>
    <row r="7" spans="3:10" ht="13.8" x14ac:dyDescent="0.2">
      <c r="C7" s="826" t="s">
        <v>3382</v>
      </c>
      <c r="D7" s="827"/>
      <c r="E7" s="827"/>
      <c r="F7" s="827"/>
      <c r="G7" s="827"/>
      <c r="H7" s="827"/>
      <c r="I7" s="827"/>
      <c r="J7" s="828"/>
    </row>
    <row r="8" spans="3:10" ht="13.8" x14ac:dyDescent="0.2">
      <c r="C8" s="607" t="s">
        <v>3403</v>
      </c>
      <c r="D8" s="608"/>
      <c r="E8" s="606"/>
      <c r="F8" s="606"/>
      <c r="G8" s="606"/>
      <c r="H8" s="606"/>
      <c r="I8" s="606"/>
      <c r="J8" s="606"/>
    </row>
    <row r="9" spans="3:10" ht="13.8" x14ac:dyDescent="0.2">
      <c r="C9" s="579" t="s">
        <v>3402</v>
      </c>
      <c r="E9" s="580"/>
      <c r="F9" s="580"/>
      <c r="G9" s="609"/>
      <c r="H9" s="579"/>
      <c r="I9" s="579"/>
      <c r="J9" s="579"/>
    </row>
    <row r="10" spans="3:10" ht="13.8" x14ac:dyDescent="0.2">
      <c r="C10" s="579" t="s">
        <v>3381</v>
      </c>
      <c r="D10" s="581"/>
      <c r="E10" s="579"/>
      <c r="F10" s="579"/>
      <c r="G10" s="609"/>
      <c r="H10" s="580"/>
      <c r="I10" s="580"/>
      <c r="J10" s="579"/>
    </row>
    <row r="11" spans="3:10" ht="13.8" x14ac:dyDescent="0.2">
      <c r="C11" s="826" t="s">
        <v>3383</v>
      </c>
      <c r="D11" s="827"/>
      <c r="E11" s="827"/>
      <c r="F11" s="827"/>
      <c r="G11" s="827"/>
      <c r="H11" s="827"/>
      <c r="I11" s="827"/>
      <c r="J11" s="828"/>
    </row>
    <row r="12" spans="3:10" ht="13.8" x14ac:dyDescent="0.2">
      <c r="C12" s="579" t="s">
        <v>3379</v>
      </c>
      <c r="D12" s="580"/>
      <c r="E12" s="580"/>
      <c r="F12" s="580"/>
      <c r="G12" s="580"/>
      <c r="H12" s="579"/>
      <c r="I12" s="579"/>
      <c r="J12" s="579"/>
    </row>
    <row r="13" spans="3:10" ht="13.8" x14ac:dyDescent="0.2">
      <c r="C13" s="579" t="s">
        <v>3393</v>
      </c>
      <c r="D13" s="579"/>
      <c r="E13" s="579"/>
      <c r="F13" s="580"/>
      <c r="G13" s="580"/>
      <c r="H13" s="580"/>
      <c r="I13" s="579"/>
      <c r="J13" s="579"/>
    </row>
    <row r="14" spans="3:10" ht="13.8" x14ac:dyDescent="0.2">
      <c r="C14" s="579" t="s">
        <v>3380</v>
      </c>
      <c r="D14" s="579"/>
      <c r="E14" s="579"/>
      <c r="F14" s="579"/>
      <c r="G14" s="579"/>
      <c r="H14" s="580"/>
      <c r="I14" s="580"/>
      <c r="J14" s="580"/>
    </row>
  </sheetData>
  <mergeCells count="2">
    <mergeCell ref="C7:J7"/>
    <mergeCell ref="C11:J11"/>
  </mergeCells>
  <phoneticPr fontId="2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tabColor theme="5"/>
  </sheetPr>
  <dimension ref="B1:W29"/>
  <sheetViews>
    <sheetView showGridLines="0" topLeftCell="K1" workbookViewId="0">
      <selection activeCell="B29" sqref="B29:U29"/>
    </sheetView>
  </sheetViews>
  <sheetFormatPr baseColWidth="10" defaultColWidth="9.125" defaultRowHeight="19.5" customHeight="1" x14ac:dyDescent="0.2"/>
  <cols>
    <col min="1" max="1" width="2.125" customWidth="1"/>
    <col min="2" max="2" width="16.875" style="2" customWidth="1"/>
    <col min="3" max="3" width="15.625" style="2" customWidth="1"/>
    <col min="4" max="8" width="14.375" style="2" customWidth="1"/>
    <col min="9" max="9" width="20.375" style="2" customWidth="1"/>
    <col min="10" max="11" width="16.625" style="2" customWidth="1"/>
    <col min="12" max="12" width="16.375" style="2" customWidth="1"/>
    <col min="13" max="13" width="18.625" style="2" customWidth="1"/>
    <col min="14" max="14" width="17.875" style="2" customWidth="1"/>
    <col min="15" max="15" width="11.875" style="2" customWidth="1"/>
    <col min="16" max="16" width="9.125" style="2" customWidth="1"/>
    <col min="17" max="17" width="8.75" style="2" customWidth="1"/>
    <col min="18" max="18" width="12.375" style="2" customWidth="1"/>
    <col min="19" max="19" width="11.375" style="2" customWidth="1"/>
    <col min="20" max="20" width="12.875" style="2" customWidth="1"/>
    <col min="21" max="21" width="18.375" style="2" customWidth="1"/>
  </cols>
  <sheetData>
    <row r="1" spans="2:23" ht="18" customHeight="1" x14ac:dyDescent="0.2">
      <c r="B1" s="6" t="s">
        <v>1390</v>
      </c>
      <c r="C1" s="7"/>
      <c r="D1" s="7"/>
      <c r="E1" s="7"/>
      <c r="F1" s="7"/>
      <c r="G1" s="7"/>
      <c r="H1" s="7"/>
      <c r="I1" s="7"/>
      <c r="J1" s="7"/>
      <c r="K1" s="7"/>
      <c r="L1" s="7"/>
      <c r="M1" s="7"/>
      <c r="N1" s="7"/>
      <c r="O1" s="7"/>
      <c r="P1" s="7"/>
      <c r="Q1" s="7"/>
      <c r="R1" s="7"/>
      <c r="S1" s="7"/>
      <c r="T1" s="7"/>
      <c r="U1" s="7"/>
      <c r="W1" t="e">
        <f>CompanyName &amp; " CUSTOMER"</f>
        <v>#REF!</v>
      </c>
    </row>
    <row r="2" spans="2:23" ht="22.5" customHeight="1" x14ac:dyDescent="0.2">
      <c r="B2" s="8" t="e">
        <f>CompanyName</f>
        <v>#REF!</v>
      </c>
      <c r="C2" s="9"/>
      <c r="D2" s="9"/>
      <c r="E2" s="9"/>
      <c r="F2" s="9"/>
      <c r="G2" s="10"/>
      <c r="H2" s="10"/>
      <c r="I2" s="9"/>
      <c r="J2" s="9"/>
      <c r="K2" s="9"/>
      <c r="L2" s="9"/>
      <c r="M2" s="9"/>
      <c r="N2" s="9"/>
      <c r="O2" s="9"/>
      <c r="P2" s="9"/>
      <c r="Q2" s="9"/>
      <c r="R2" s="9"/>
      <c r="S2" s="9"/>
      <c r="T2" s="9"/>
      <c r="U2" s="9"/>
    </row>
    <row r="3" spans="2:23" ht="36" customHeight="1" x14ac:dyDescent="0.2">
      <c r="B3" s="1" t="s">
        <v>1389</v>
      </c>
      <c r="C3" s="9"/>
      <c r="D3" s="9"/>
      <c r="E3" s="9"/>
      <c r="F3" s="9"/>
      <c r="G3" s="1"/>
      <c r="H3" s="1"/>
      <c r="I3" s="9"/>
      <c r="J3" s="9"/>
      <c r="K3" s="9"/>
      <c r="L3" s="9"/>
      <c r="M3" s="9"/>
      <c r="N3" s="9"/>
      <c r="O3" s="9"/>
      <c r="P3" s="9"/>
      <c r="Q3" s="9"/>
      <c r="R3" s="9"/>
      <c r="S3" s="9"/>
      <c r="T3" s="9"/>
      <c r="U3" s="9"/>
    </row>
    <row r="4" spans="2:23" ht="9" customHeight="1" x14ac:dyDescent="0.2">
      <c r="B4" s="7"/>
      <c r="C4" s="7"/>
      <c r="D4" s="7"/>
      <c r="E4" s="7"/>
      <c r="F4" s="7"/>
      <c r="G4" s="7"/>
      <c r="H4" s="7"/>
      <c r="I4" s="7"/>
      <c r="J4" s="7"/>
      <c r="K4" s="7"/>
      <c r="L4" s="7"/>
      <c r="M4" s="7"/>
      <c r="N4" s="7"/>
      <c r="O4" s="7"/>
      <c r="P4" s="7"/>
      <c r="Q4" s="7"/>
      <c r="R4" s="7"/>
      <c r="S4" s="7"/>
      <c r="T4" s="7"/>
      <c r="U4" s="7"/>
    </row>
    <row r="6" spans="2:23" ht="19.5" customHeight="1" x14ac:dyDescent="0.2">
      <c r="B6" s="2" t="s">
        <v>157</v>
      </c>
      <c r="C6" s="2" t="s">
        <v>1378</v>
      </c>
      <c r="D6" s="2" t="s">
        <v>1379</v>
      </c>
      <c r="E6" s="2" t="s">
        <v>152</v>
      </c>
      <c r="F6" s="2" t="s">
        <v>140</v>
      </c>
      <c r="G6" s="2" t="s">
        <v>143</v>
      </c>
      <c r="H6" s="2" t="s">
        <v>1405</v>
      </c>
      <c r="I6" s="2" t="s">
        <v>1391</v>
      </c>
      <c r="J6" s="2" t="s">
        <v>144</v>
      </c>
      <c r="K6" s="2" t="s">
        <v>145</v>
      </c>
      <c r="L6" s="2" t="s">
        <v>154</v>
      </c>
      <c r="M6" s="2" t="s">
        <v>1392</v>
      </c>
      <c r="N6" s="2" t="s">
        <v>146</v>
      </c>
      <c r="O6" s="2" t="s">
        <v>147</v>
      </c>
      <c r="P6" s="2" t="s">
        <v>148</v>
      </c>
      <c r="Q6" s="2" t="s">
        <v>151</v>
      </c>
      <c r="R6" s="2" t="s">
        <v>153</v>
      </c>
      <c r="S6" s="2" t="s">
        <v>156</v>
      </c>
      <c r="T6" s="2" t="s">
        <v>149</v>
      </c>
      <c r="U6" s="2" t="s">
        <v>150</v>
      </c>
    </row>
    <row r="7" spans="2:23" ht="19.5" customHeight="1" x14ac:dyDescent="0.2">
      <c r="B7" s="2" t="s">
        <v>158</v>
      </c>
      <c r="C7" s="2" t="s">
        <v>166</v>
      </c>
      <c r="D7" s="2" t="s">
        <v>1393</v>
      </c>
      <c r="E7" s="2" t="s">
        <v>1406</v>
      </c>
      <c r="F7" s="3">
        <v>1235550123</v>
      </c>
      <c r="G7" s="3">
        <v>1235550131</v>
      </c>
      <c r="H7" s="3">
        <v>1235550139</v>
      </c>
      <c r="I7" s="4" t="s">
        <v>1394</v>
      </c>
      <c r="J7" s="5" t="s">
        <v>1396</v>
      </c>
      <c r="K7" s="4" t="s">
        <v>1395</v>
      </c>
      <c r="L7" s="4" t="s">
        <v>1397</v>
      </c>
      <c r="M7" s="4" t="s">
        <v>1398</v>
      </c>
      <c r="N7" s="4" t="s">
        <v>1401</v>
      </c>
      <c r="O7" s="2" t="s">
        <v>1402</v>
      </c>
      <c r="P7" s="2" t="s">
        <v>1403</v>
      </c>
      <c r="Q7" s="2">
        <v>98052</v>
      </c>
      <c r="R7" s="2" t="s">
        <v>1404</v>
      </c>
      <c r="S7" s="4"/>
    </row>
    <row r="8" spans="2:23" ht="19.5" customHeight="1" x14ac:dyDescent="0.2">
      <c r="B8" s="2" t="s">
        <v>159</v>
      </c>
      <c r="C8" s="2" t="s">
        <v>1000</v>
      </c>
      <c r="D8" s="2" t="s">
        <v>1382</v>
      </c>
      <c r="E8" s="2" t="s">
        <v>155</v>
      </c>
      <c r="F8" s="3">
        <v>1235550124</v>
      </c>
      <c r="G8" s="3">
        <v>1235550132</v>
      </c>
      <c r="H8" s="3">
        <v>1235550140</v>
      </c>
      <c r="I8" s="4" t="s">
        <v>1005</v>
      </c>
      <c r="J8" s="5"/>
      <c r="K8" s="4"/>
      <c r="L8" s="4"/>
      <c r="M8" s="4"/>
      <c r="N8" s="4"/>
      <c r="S8" s="4"/>
    </row>
    <row r="9" spans="2:23" ht="19.5" customHeight="1" x14ac:dyDescent="0.2">
      <c r="B9" s="2" t="s">
        <v>160</v>
      </c>
      <c r="C9" s="2" t="s">
        <v>167</v>
      </c>
      <c r="D9" s="2" t="s">
        <v>994</v>
      </c>
      <c r="E9" s="2" t="s">
        <v>1406</v>
      </c>
      <c r="F9" s="3">
        <v>1235550125</v>
      </c>
      <c r="G9" s="3">
        <v>1235550133</v>
      </c>
      <c r="H9" s="3">
        <v>1235550141</v>
      </c>
      <c r="I9" s="4" t="s">
        <v>1006</v>
      </c>
      <c r="J9" s="5"/>
      <c r="K9" s="4"/>
      <c r="L9" s="4"/>
      <c r="M9" s="4"/>
      <c r="N9" s="4"/>
      <c r="S9" s="4"/>
    </row>
    <row r="10" spans="2:23" ht="19.5" customHeight="1" x14ac:dyDescent="0.2">
      <c r="B10" s="2" t="s">
        <v>161</v>
      </c>
      <c r="C10" s="2" t="s">
        <v>168</v>
      </c>
      <c r="D10" s="2" t="s">
        <v>995</v>
      </c>
      <c r="E10" s="2" t="s">
        <v>155</v>
      </c>
      <c r="F10" s="3">
        <v>1235550126</v>
      </c>
      <c r="G10" s="3">
        <v>1235550134</v>
      </c>
      <c r="H10" s="3">
        <v>1235550142</v>
      </c>
      <c r="I10" s="4" t="s">
        <v>1384</v>
      </c>
      <c r="J10" s="5"/>
      <c r="K10" s="4"/>
      <c r="L10" s="4"/>
      <c r="M10" s="4"/>
      <c r="N10" s="4"/>
      <c r="S10" s="4"/>
    </row>
    <row r="11" spans="2:23" ht="19.5" customHeight="1" x14ac:dyDescent="0.2">
      <c r="B11" s="2" t="s">
        <v>162</v>
      </c>
      <c r="C11" s="2" t="s">
        <v>169</v>
      </c>
      <c r="D11" s="2" t="s">
        <v>996</v>
      </c>
      <c r="E11" s="2" t="s">
        <v>155</v>
      </c>
      <c r="F11" s="3" t="s">
        <v>1001</v>
      </c>
      <c r="G11" s="3">
        <v>1235550135</v>
      </c>
      <c r="H11" s="3">
        <v>1235550143</v>
      </c>
      <c r="I11" s="4" t="s">
        <v>1385</v>
      </c>
      <c r="J11" s="5"/>
      <c r="K11" s="4"/>
      <c r="L11" s="4"/>
      <c r="M11" s="4"/>
      <c r="N11" s="4"/>
      <c r="S11" s="4"/>
    </row>
    <row r="12" spans="2:23" ht="19.5" customHeight="1" x14ac:dyDescent="0.2">
      <c r="B12" s="2" t="s">
        <v>163</v>
      </c>
      <c r="C12" s="2" t="s">
        <v>170</v>
      </c>
      <c r="D12" s="2" t="s">
        <v>997</v>
      </c>
      <c r="E12" s="2" t="s">
        <v>155</v>
      </c>
      <c r="F12" s="3" t="s">
        <v>1002</v>
      </c>
      <c r="G12" s="3">
        <v>1235550136</v>
      </c>
      <c r="H12" s="3">
        <v>1235550144</v>
      </c>
      <c r="I12" s="4" t="s">
        <v>1386</v>
      </c>
      <c r="J12" s="5"/>
      <c r="K12" s="4"/>
      <c r="L12" s="4"/>
      <c r="M12" s="4"/>
      <c r="N12" s="4"/>
      <c r="S12" s="4"/>
    </row>
    <row r="13" spans="2:23" ht="19.5" customHeight="1" x14ac:dyDescent="0.2">
      <c r="B13" s="2" t="s">
        <v>164</v>
      </c>
      <c r="C13" s="2" t="s">
        <v>171</v>
      </c>
      <c r="D13" s="2" t="s">
        <v>1383</v>
      </c>
      <c r="E13" s="2" t="s">
        <v>155</v>
      </c>
      <c r="F13" s="3" t="s">
        <v>1003</v>
      </c>
      <c r="G13" s="3">
        <v>1235550137</v>
      </c>
      <c r="H13" s="3">
        <v>1235550145</v>
      </c>
      <c r="I13" s="4" t="s">
        <v>1387</v>
      </c>
      <c r="J13" s="5"/>
      <c r="K13" s="4"/>
      <c r="L13" s="4"/>
      <c r="M13" s="4"/>
      <c r="N13" s="4"/>
      <c r="S13" s="4"/>
    </row>
    <row r="14" spans="2:23" ht="19.5" customHeight="1" x14ac:dyDescent="0.2">
      <c r="B14" s="2" t="s">
        <v>165</v>
      </c>
      <c r="C14" s="2" t="s">
        <v>993</v>
      </c>
      <c r="D14" s="2" t="s">
        <v>998</v>
      </c>
      <c r="E14" s="2" t="s">
        <v>155</v>
      </c>
      <c r="F14" s="3" t="s">
        <v>1381</v>
      </c>
      <c r="G14" s="3">
        <v>1235550138</v>
      </c>
      <c r="H14" s="3">
        <v>1235550146</v>
      </c>
      <c r="I14" s="4" t="s">
        <v>1388</v>
      </c>
      <c r="J14" s="5"/>
      <c r="K14" s="4"/>
      <c r="L14" s="4"/>
      <c r="M14" s="4"/>
      <c r="N14" s="4"/>
      <c r="S14" s="4"/>
    </row>
    <row r="15" spans="2:23" ht="19.5" customHeight="1" x14ac:dyDescent="0.2">
      <c r="J15" s="11"/>
    </row>
    <row r="26" spans="2:21" ht="19.5" customHeight="1" x14ac:dyDescent="0.2">
      <c r="B26" s="2" t="s">
        <v>999</v>
      </c>
    </row>
    <row r="28" spans="2:21" ht="19.5" customHeight="1" x14ac:dyDescent="0.2">
      <c r="B28" s="2" t="s">
        <v>157</v>
      </c>
      <c r="C28" s="2" t="s">
        <v>1378</v>
      </c>
      <c r="D28" s="2" t="s">
        <v>1379</v>
      </c>
      <c r="E28" s="2" t="s">
        <v>152</v>
      </c>
      <c r="F28" s="2" t="s">
        <v>140</v>
      </c>
      <c r="G28" s="2" t="s">
        <v>143</v>
      </c>
      <c r="H28" s="2" t="s">
        <v>141</v>
      </c>
      <c r="I28" s="2" t="s">
        <v>142</v>
      </c>
      <c r="J28" s="2" t="s">
        <v>144</v>
      </c>
      <c r="K28" s="2" t="s">
        <v>145</v>
      </c>
      <c r="L28" s="2" t="s">
        <v>154</v>
      </c>
      <c r="M28" s="2" t="s">
        <v>1392</v>
      </c>
      <c r="N28" s="2" t="s">
        <v>146</v>
      </c>
      <c r="O28" s="2" t="s">
        <v>147</v>
      </c>
      <c r="P28" s="2" t="s">
        <v>148</v>
      </c>
      <c r="Q28" s="2" t="s">
        <v>151</v>
      </c>
      <c r="R28" s="2" t="s">
        <v>153</v>
      </c>
      <c r="S28" s="2" t="s">
        <v>156</v>
      </c>
      <c r="T28" s="2" t="s">
        <v>149</v>
      </c>
      <c r="U28" s="2" t="s">
        <v>150</v>
      </c>
    </row>
    <row r="29" spans="2:21" ht="19.5" customHeight="1" x14ac:dyDescent="0.2">
      <c r="B29" s="12" t="s">
        <v>1399</v>
      </c>
      <c r="C29" s="12" t="s">
        <v>1400</v>
      </c>
      <c r="D29" s="12"/>
      <c r="E29" s="12"/>
      <c r="F29" s="13"/>
      <c r="G29" s="13"/>
      <c r="H29" s="13"/>
      <c r="I29" s="14"/>
      <c r="J29" s="15"/>
      <c r="K29" s="14"/>
      <c r="L29" s="14"/>
      <c r="M29" s="14"/>
      <c r="N29" s="14"/>
      <c r="O29" s="12"/>
      <c r="P29" s="12"/>
      <c r="Q29" s="12"/>
      <c r="R29" s="12"/>
      <c r="S29" s="14"/>
      <c r="T29" s="12"/>
      <c r="U29" s="12"/>
    </row>
  </sheetData>
  <phoneticPr fontId="20" type="noConversion"/>
  <dataValidations count="9">
    <dataValidation allowBlank="1" showInputMessage="1" showErrorMessage="1" promptTitle="Twitter Address" prompt="_x000a_@xxx" sqref="J29" xr:uid="{00000000-0002-0000-0600-000000000000}"/>
    <dataValidation allowBlank="1" showInputMessage="1" showErrorMessage="1" promptTitle="LinkedIn Public Profile Address" prompt="_x000a_Just enter the unique portion._x000a__x000a_www.linkedin.com/     _x000a__x000a_will be added for you." sqref="L29" xr:uid="{00000000-0002-0000-0600-000001000000}"/>
    <dataValidation allowBlank="1" showInputMessage="1" showErrorMessage="1" promptTitle="Website" prompt="_x000a_xxxx.xxx" sqref="M29" xr:uid="{00000000-0002-0000-0600-000002000000}"/>
    <dataValidation allowBlank="1" showInputMessage="1" showErrorMessage="1" promptTitle="Facebook Address" prompt="Just enter the unique portion._x000a__x000a_www.facebook.com/     will be added for you." sqref="K7:K14 K29" xr:uid="{00000000-0002-0000-0600-000003000000}"/>
    <dataValidation allowBlank="1" showInputMessage="1" showErrorMessage="1" promptTitle="Email Address" prompt="_x000a_xxx@xxx.xxx" sqref="I29" xr:uid="{00000000-0002-0000-0600-000004000000}"/>
    <dataValidation allowBlank="1" showInputMessage="1" showErrorMessage="1" promptTitle="Twitter Address" prompt="_x000a_xxx_x000a__x000a__x000a_Note: the &quot;@&quot; will be added for you." sqref="J7:J14" xr:uid="{00000000-0002-0000-0600-000005000000}"/>
    <dataValidation allowBlank="1" showInputMessage="1" showErrorMessage="1" promptTitle="Website" prompt="xxxx.xxx" sqref="M7:M14" xr:uid="{00000000-0002-0000-0600-000006000000}"/>
    <dataValidation allowBlank="1" showInputMessage="1" promptTitle="Email Address" prompt="xxx@xxx.xxx" sqref="I7:I14" xr:uid="{00000000-0002-0000-0600-000007000000}"/>
    <dataValidation allowBlank="1" showInputMessage="1" showErrorMessage="1" promptTitle="LinkedIn Public Profile Address" prompt="_x000a_Just enter the unique portion._x000a__x000a_www.linkedin.com/in/    _x000a__x000a_will be added for you." sqref="L7:L14" xr:uid="{00000000-0002-0000-0600-000008000000}"/>
  </dataValidations>
  <hyperlinks>
    <hyperlink ref="I9" r:id="rId1" xr:uid="{00000000-0004-0000-0600-000000000000}"/>
    <hyperlink ref="I10" r:id="rId2" xr:uid="{00000000-0004-0000-0600-000001000000}"/>
    <hyperlink ref="I11" r:id="rId3" xr:uid="{00000000-0004-0000-0600-000002000000}"/>
    <hyperlink ref="I12" r:id="rId4" xr:uid="{00000000-0004-0000-0600-000003000000}"/>
    <hyperlink ref="I13" r:id="rId5" xr:uid="{00000000-0004-0000-0600-000004000000}"/>
    <hyperlink ref="I14" r:id="rId6" xr:uid="{00000000-0004-0000-0600-000005000000}"/>
    <hyperlink ref="I8" r:id="rId7" xr:uid="{00000000-0004-0000-0600-000006000000}"/>
    <hyperlink ref="I7" r:id="rId8" xr:uid="{00000000-0004-0000-0600-000007000000}"/>
    <hyperlink ref="J7" r:id="rId9" xr:uid="{00000000-0004-0000-0600-000008000000}"/>
    <hyperlink ref="M7" r:id="rId10" xr:uid="{00000000-0004-0000-0600-000009000000}"/>
    <hyperlink ref="L7" r:id="rId11" xr:uid="{00000000-0004-0000-0600-00000A000000}"/>
    <hyperlink ref="N7" r:id="rId12" xr:uid="{00000000-0004-0000-0600-00000B000000}"/>
    <hyperlink ref="K7" r:id="rId13" xr:uid="{00000000-0004-0000-0600-00000C000000}"/>
  </hyperlinks>
  <pageMargins left="0.7" right="0.7" top="0.75" bottom="0.75" header="0.3" footer="0.3"/>
  <pageSetup orientation="portrait" r:id="rId14"/>
  <tableParts count="2">
    <tablePart r:id="rId15"/>
    <tablePart r:id="rId1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D064DEC1-D1DD-4D6E-84FD-C42E574FBE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Aclaraciòn </vt:lpstr>
      <vt:lpstr>LISTA DE INSUMOS</vt:lpstr>
      <vt:lpstr>ANÁLISIS MANO DE OBRA</vt:lpstr>
      <vt:lpstr>ANALISIS UNITARIOS</vt:lpstr>
      <vt:lpstr>PRESUPUESTO </vt:lpstr>
      <vt:lpstr>AU</vt:lpstr>
      <vt:lpstr>PROYECCIÓN EN TIEMPO</vt:lpstr>
      <vt:lpstr>Datos de ejemplo</vt:lpstr>
      <vt:lpstr>'ANÁLISIS MANO DE OBRA'!Área_de_impresión</vt:lpstr>
      <vt:lpstr>'ANALISIS UNITARIOS'!Área_de_impresión</vt:lpstr>
      <vt:lpstr>'LISTA DE INSUMOS'!Área_de_impresión</vt:lpstr>
      <vt:lpstr>CompanyContactsHeader</vt:lpstr>
      <vt:lpstr>'ANALISIS UNITARIOS'!Títulos_a_imprimir</vt:lpstr>
      <vt:lpstr>'LISTA DE INSUMOS'!Títulos_a_imprimir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Andrés Toro</cp:lastModifiedBy>
  <cp:lastPrinted>2025-01-27T20:04:15Z</cp:lastPrinted>
  <dcterms:created xsi:type="dcterms:W3CDTF">2013-10-05T22:31:37Z</dcterms:created>
  <dcterms:modified xsi:type="dcterms:W3CDTF">2025-04-28T14:51:41Z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TC029301029991</vt:lpwstr>
  </property>
</Properties>
</file>